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sahmad\Downloads\FIM\data\"/>
    </mc:Choice>
  </mc:AlternateContent>
  <xr:revisionPtr revIDLastSave="0" documentId="13_ncr:1_{FEF82F44-E420-4756-9AC8-0216BB83AD19}" xr6:coauthVersionLast="47" xr6:coauthVersionMax="47" xr10:uidLastSave="{00000000-0000-0000-0000-000000000000}"/>
  <bookViews>
    <workbookView xWindow="28680" yWindow="-120" windowWidth="29040" windowHeight="15720" firstSheet="19" activeTab="25"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October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0"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45" i="70" l="1"/>
  <c r="AB12" i="70" s="1"/>
  <c r="AE90" i="80" s="1"/>
  <c r="AD90" i="80"/>
  <c r="AC90" i="80"/>
  <c r="AB10" i="48"/>
  <c r="AE38" i="80" s="1"/>
  <c r="AC10" i="48"/>
  <c r="AC25" i="48"/>
  <c r="AD25" i="48"/>
  <c r="AE25" i="48"/>
  <c r="AF25" i="48"/>
  <c r="AG25" i="48"/>
  <c r="AH25" i="48"/>
  <c r="AI25" i="48"/>
  <c r="AJ25" i="48"/>
  <c r="AB25" i="48"/>
  <c r="L100" i="55"/>
  <c r="L101" i="55"/>
  <c r="L102" i="55"/>
  <c r="L103" i="55"/>
  <c r="L104" i="55"/>
  <c r="L105" i="55"/>
  <c r="L106" i="55"/>
  <c r="L107" i="55"/>
  <c r="L108" i="55"/>
  <c r="L109" i="55"/>
  <c r="L110" i="55"/>
  <c r="L111" i="55"/>
  <c r="L112" i="55"/>
  <c r="L113" i="55"/>
  <c r="L114" i="55"/>
  <c r="L115" i="55"/>
  <c r="L116" i="55"/>
  <c r="L118" i="55"/>
  <c r="L119" i="55"/>
  <c r="L121" i="55"/>
  <c r="L124" i="55"/>
  <c r="L125" i="55"/>
  <c r="L126" i="55"/>
  <c r="L127" i="55"/>
  <c r="L128" i="55"/>
  <c r="L72" i="55"/>
  <c r="L81" i="55"/>
  <c r="L96" i="55"/>
  <c r="AD85" i="80"/>
  <c r="AW36" i="20"/>
  <c r="AE30" i="80"/>
  <c r="AE31" i="80"/>
  <c r="AE32" i="80"/>
  <c r="AE33" i="80"/>
  <c r="AE37" i="80"/>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M12" i="21"/>
  <c r="L12" i="21"/>
  <c r="J12" i="21"/>
  <c r="G12" i="21"/>
  <c r="V11" i="21"/>
  <c r="U11" i="21"/>
  <c r="T11" i="21"/>
  <c r="S11" i="21"/>
  <c r="R11" i="21"/>
  <c r="G81" i="21" s="1"/>
  <c r="Q11" i="21"/>
  <c r="P11" i="21"/>
  <c r="O11" i="21"/>
  <c r="N11" i="21"/>
  <c r="M11" i="21"/>
  <c r="L11" i="21"/>
  <c r="K11" i="21"/>
  <c r="J11" i="21"/>
  <c r="I11" i="21"/>
  <c r="H11" i="21"/>
  <c r="G11" i="21"/>
  <c r="F11" i="21"/>
  <c r="E11" i="21"/>
  <c r="C11" i="21"/>
  <c r="U10" i="21"/>
  <c r="T10" i="21"/>
  <c r="Q10" i="21"/>
  <c r="P10" i="21"/>
  <c r="O10" i="21"/>
  <c r="N10" i="21"/>
  <c r="E10" i="21"/>
  <c r="C10" i="21"/>
  <c r="U9" i="21"/>
  <c r="N9" i="21"/>
  <c r="I9" i="21"/>
  <c r="H9" i="21"/>
  <c r="G9" i="21"/>
  <c r="F9" i="21"/>
  <c r="E9" i="21"/>
  <c r="C9" i="21"/>
  <c r="C8" i="21"/>
  <c r="I7" i="21"/>
  <c r="G7" i="21"/>
  <c r="E7" i="21"/>
  <c r="D7" i="21"/>
  <c r="U6" i="21"/>
  <c r="R6" i="21"/>
  <c r="Q6" i="21"/>
  <c r="Q23" i="21" s="1"/>
  <c r="P6" i="21"/>
  <c r="P24" i="21" s="1"/>
  <c r="N6" i="21"/>
  <c r="I6" i="21"/>
  <c r="G6" i="21"/>
  <c r="F6" i="21"/>
  <c r="D6" i="21"/>
  <c r="R4" i="21"/>
  <c r="D4" i="21"/>
  <c r="C4" i="21"/>
  <c r="R3" i="21"/>
  <c r="J3" i="21"/>
  <c r="G3" i="21"/>
  <c r="F3" i="21"/>
  <c r="E3" i="21"/>
  <c r="D3" i="21"/>
  <c r="E1" i="21"/>
  <c r="E12" i="21" s="1"/>
  <c r="D1" i="21"/>
  <c r="C19" i="6"/>
  <c r="B19" i="6"/>
  <c r="U16" i="6"/>
  <c r="T16" i="6"/>
  <c r="T17" i="6" s="1"/>
  <c r="S16" i="6"/>
  <c r="V49" i="21" s="1"/>
  <c r="R16" i="6"/>
  <c r="U49" i="21" s="1"/>
  <c r="Q16" i="6"/>
  <c r="P16" i="6"/>
  <c r="S49" i="21" s="1"/>
  <c r="O16" i="6"/>
  <c r="R49" i="21" s="1"/>
  <c r="N16" i="6"/>
  <c r="Q49" i="21" s="1"/>
  <c r="C9" i="6"/>
  <c r="D9" i="6" s="1"/>
  <c r="E6" i="21" s="1"/>
  <c r="U6" i="6"/>
  <c r="T6" i="6"/>
  <c r="U3" i="21" s="1"/>
  <c r="S6" i="6"/>
  <c r="R6" i="6"/>
  <c r="Q6" i="6"/>
  <c r="P6" i="6"/>
  <c r="O6" i="6"/>
  <c r="P3" i="21" s="1"/>
  <c r="N6" i="6"/>
  <c r="O3" i="21" s="1"/>
  <c r="M6" i="6"/>
  <c r="N3" i="21" s="1"/>
  <c r="L6" i="6"/>
  <c r="K6" i="6"/>
  <c r="L3" i="21" s="1"/>
  <c r="J6" i="6"/>
  <c r="K3" i="21" s="1"/>
  <c r="I6" i="6"/>
  <c r="H6" i="6"/>
  <c r="I3" i="21" s="1"/>
  <c r="G6" i="6"/>
  <c r="H3" i="21" s="1"/>
  <c r="F6" i="6"/>
  <c r="E6" i="6"/>
  <c r="D6" i="6"/>
  <c r="C6" i="6"/>
  <c r="B6" i="6"/>
  <c r="C3" i="21" s="1"/>
  <c r="BJ16" i="5"/>
  <c r="BI16" i="5"/>
  <c r="BH16" i="5"/>
  <c r="BG16" i="5"/>
  <c r="BF16" i="5"/>
  <c r="BE16" i="5"/>
  <c r="BD16" i="5"/>
  <c r="BC16" i="5"/>
  <c r="BB16" i="5"/>
  <c r="AZ16" i="5"/>
  <c r="AY16" i="5"/>
  <c r="AX16" i="5"/>
  <c r="AW16" i="5"/>
  <c r="AV16" i="5"/>
  <c r="AU16" i="5"/>
  <c r="M16" i="5" s="1"/>
  <c r="AT16" i="5"/>
  <c r="AS16" i="5"/>
  <c r="K16" i="5" s="1"/>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N15" i="5"/>
  <c r="M15" i="5"/>
  <c r="K15" i="5"/>
  <c r="J15" i="5"/>
  <c r="I15" i="5"/>
  <c r="H15" i="5"/>
  <c r="G15" i="5"/>
  <c r="F15" i="5"/>
  <c r="D15" i="5"/>
  <c r="C15" i="5"/>
  <c r="B15" i="5"/>
  <c r="E15" i="5" s="1"/>
  <c r="N14" i="5"/>
  <c r="M14" i="5"/>
  <c r="K14" i="5"/>
  <c r="J14" i="5"/>
  <c r="I14" i="5"/>
  <c r="H14" i="5"/>
  <c r="G14" i="5"/>
  <c r="D14" i="5"/>
  <c r="F14" i="5" s="1"/>
  <c r="C14" i="5"/>
  <c r="B14" i="5"/>
  <c r="E14" i="5" s="1"/>
  <c r="N13" i="5"/>
  <c r="M13" i="5"/>
  <c r="K13" i="5"/>
  <c r="J13" i="5"/>
  <c r="I13" i="5"/>
  <c r="H13" i="5"/>
  <c r="G13" i="5"/>
  <c r="E13" i="5"/>
  <c r="D13" i="5"/>
  <c r="F13" i="5" s="1"/>
  <c r="C13" i="5"/>
  <c r="B13" i="5"/>
  <c r="N12" i="5"/>
  <c r="M12" i="5"/>
  <c r="K12" i="5"/>
  <c r="J12" i="5"/>
  <c r="I12" i="5"/>
  <c r="H12" i="5"/>
  <c r="G12" i="5"/>
  <c r="D12" i="5"/>
  <c r="C12" i="5"/>
  <c r="C16" i="5" s="1"/>
  <c r="B12" i="5"/>
  <c r="E12" i="5" s="1"/>
  <c r="N11" i="5"/>
  <c r="M11" i="5"/>
  <c r="K11" i="5"/>
  <c r="J11" i="5"/>
  <c r="I11" i="5"/>
  <c r="H11" i="5"/>
  <c r="G11" i="5"/>
  <c r="D11" i="5"/>
  <c r="C11" i="5"/>
  <c r="F11" i="5" s="1"/>
  <c r="B11" i="5"/>
  <c r="E11" i="5" s="1"/>
  <c r="N10" i="5"/>
  <c r="M10" i="5"/>
  <c r="V12" i="21" s="1"/>
  <c r="K10" i="5"/>
  <c r="V10" i="21" s="1"/>
  <c r="J10" i="5"/>
  <c r="V9" i="21" s="1"/>
  <c r="I10" i="5"/>
  <c r="H10" i="5"/>
  <c r="V7" i="21" s="1"/>
  <c r="G10" i="5"/>
  <c r="V6" i="21" s="1"/>
  <c r="F10" i="5"/>
  <c r="V5" i="21" s="1"/>
  <c r="E10" i="5"/>
  <c r="V4" i="21" s="1"/>
  <c r="D10" i="5"/>
  <c r="C10" i="5"/>
  <c r="B10" i="5"/>
  <c r="N9" i="5"/>
  <c r="M9" i="5"/>
  <c r="K9" i="5"/>
  <c r="R10" i="21" s="1"/>
  <c r="J9" i="5"/>
  <c r="R9" i="21" s="1"/>
  <c r="I9" i="5"/>
  <c r="H9" i="5"/>
  <c r="T7" i="21" s="1"/>
  <c r="G9" i="5"/>
  <c r="T6" i="21" s="1"/>
  <c r="E9" i="5"/>
  <c r="D9" i="5"/>
  <c r="C9" i="5"/>
  <c r="T3" i="21" s="1"/>
  <c r="B9" i="5"/>
  <c r="N8" i="5"/>
  <c r="M8" i="5"/>
  <c r="K8" i="5"/>
  <c r="J8" i="5"/>
  <c r="I8" i="5"/>
  <c r="H8" i="5"/>
  <c r="O7" i="21" s="1"/>
  <c r="G8" i="5"/>
  <c r="O6" i="21" s="1"/>
  <c r="F8" i="5"/>
  <c r="O5" i="21" s="1"/>
  <c r="D8" i="5"/>
  <c r="C8" i="5"/>
  <c r="Q3" i="21" s="1"/>
  <c r="B8" i="5"/>
  <c r="N7" i="5"/>
  <c r="M7" i="5"/>
  <c r="K12" i="21" s="1"/>
  <c r="K7" i="5"/>
  <c r="K10" i="21" s="1"/>
  <c r="J7" i="5"/>
  <c r="K9" i="21" s="1"/>
  <c r="I7" i="5"/>
  <c r="H7" i="5"/>
  <c r="J7" i="21" s="1"/>
  <c r="G7" i="5"/>
  <c r="D7" i="5"/>
  <c r="F7" i="5" s="1"/>
  <c r="C7" i="5"/>
  <c r="M3" i="21" s="1"/>
  <c r="B7" i="5"/>
  <c r="N6" i="5"/>
  <c r="M6" i="5"/>
  <c r="F12" i="21" s="1"/>
  <c r="K6" i="5"/>
  <c r="G10" i="21" s="1"/>
  <c r="J6" i="5"/>
  <c r="I6" i="5"/>
  <c r="H6" i="5"/>
  <c r="G6" i="5"/>
  <c r="D6" i="5"/>
  <c r="F6" i="5" s="1"/>
  <c r="C6" i="5"/>
  <c r="B6" i="5"/>
  <c r="N5" i="5"/>
  <c r="E13" i="21" s="1"/>
  <c r="E14" i="21" s="1"/>
  <c r="E15" i="21" s="1"/>
  <c r="M5" i="5"/>
  <c r="C12" i="21" s="1"/>
  <c r="L5" i="5"/>
  <c r="L16" i="5" s="1"/>
  <c r="K5" i="5"/>
  <c r="J5" i="5"/>
  <c r="J16" i="5" s="1"/>
  <c r="I5" i="5"/>
  <c r="H5" i="5"/>
  <c r="C7" i="21" s="1"/>
  <c r="G5" i="5"/>
  <c r="E5" i="5"/>
  <c r="D5" i="5"/>
  <c r="C5" i="5"/>
  <c r="B5" i="5"/>
  <c r="F17" i="27"/>
  <c r="F16" i="27"/>
  <c r="F15" i="27"/>
  <c r="F14" i="27"/>
  <c r="F13" i="27"/>
  <c r="F12" i="27"/>
  <c r="F11" i="27"/>
  <c r="F9" i="27"/>
  <c r="F8" i="27"/>
  <c r="F7" i="27"/>
  <c r="F6" i="27"/>
  <c r="F5" i="27"/>
  <c r="B3" i="27"/>
  <c r="N194" i="65"/>
  <c r="O194" i="65" s="1"/>
  <c r="P194" i="65" s="1"/>
  <c r="Q194" i="65" s="1"/>
  <c r="M194" i="65"/>
  <c r="J193" i="65"/>
  <c r="K193" i="65" s="1"/>
  <c r="L193" i="65" s="1"/>
  <c r="M193" i="65" s="1"/>
  <c r="J192" i="65"/>
  <c r="K192" i="65" s="1"/>
  <c r="L192" i="65" s="1"/>
  <c r="M192" i="65" s="1"/>
  <c r="F192" i="65"/>
  <c r="G192" i="65" s="1"/>
  <c r="H192" i="65" s="1"/>
  <c r="I192" i="65" s="1"/>
  <c r="P191" i="65"/>
  <c r="Q191" i="65" s="1"/>
  <c r="N191" i="65"/>
  <c r="O191" i="65" s="1"/>
  <c r="R190" i="65"/>
  <c r="S190" i="65" s="1"/>
  <c r="N190" i="65"/>
  <c r="O190" i="65" s="1"/>
  <c r="P190" i="65" s="1"/>
  <c r="Q190" i="65" s="1"/>
  <c r="L190" i="65"/>
  <c r="M190" i="65" s="1"/>
  <c r="J190" i="65"/>
  <c r="K190" i="65" s="1"/>
  <c r="S188" i="65"/>
  <c r="R188" i="65"/>
  <c r="N188" i="65"/>
  <c r="O188" i="65" s="1"/>
  <c r="P188" i="65" s="1"/>
  <c r="Q188" i="65" s="1"/>
  <c r="K188" i="65"/>
  <c r="L188" i="65" s="1"/>
  <c r="M188" i="65" s="1"/>
  <c r="J188" i="65"/>
  <c r="F188" i="65"/>
  <c r="G188" i="65" s="1"/>
  <c r="H188" i="65" s="1"/>
  <c r="I188" i="65" s="1"/>
  <c r="E188" i="65"/>
  <c r="D188" i="65"/>
  <c r="H187" i="65"/>
  <c r="I187" i="65" s="1"/>
  <c r="D187" i="65"/>
  <c r="E187" i="65" s="1"/>
  <c r="R186" i="65"/>
  <c r="S186" i="65" s="1"/>
  <c r="J186" i="65"/>
  <c r="K186" i="65" s="1"/>
  <c r="L186" i="65" s="1"/>
  <c r="M186" i="65" s="1"/>
  <c r="F186" i="65"/>
  <c r="G186" i="65" s="1"/>
  <c r="H186" i="65" s="1"/>
  <c r="I186" i="65" s="1"/>
  <c r="O185" i="65"/>
  <c r="P185" i="65" s="1"/>
  <c r="Q185" i="65" s="1"/>
  <c r="N185" i="65"/>
  <c r="S184" i="65"/>
  <c r="F184" i="65"/>
  <c r="G184" i="65" s="1"/>
  <c r="H184" i="65" s="1"/>
  <c r="I184" i="65" s="1"/>
  <c r="M179" i="65"/>
  <c r="L179" i="65"/>
  <c r="K179" i="65"/>
  <c r="F179" i="65"/>
  <c r="J194" i="65" s="1"/>
  <c r="K194" i="65" s="1"/>
  <c r="L194" i="65" s="1"/>
  <c r="E179" i="65"/>
  <c r="F194" i="65" s="1"/>
  <c r="G194" i="65" s="1"/>
  <c r="H194" i="65" s="1"/>
  <c r="I194" i="65" s="1"/>
  <c r="D179" i="65"/>
  <c r="D194" i="65" s="1"/>
  <c r="E194" i="65" s="1"/>
  <c r="O178" i="65"/>
  <c r="J178" i="65"/>
  <c r="I178" i="65"/>
  <c r="H178" i="65"/>
  <c r="R193" i="65" s="1"/>
  <c r="S193" i="65" s="1"/>
  <c r="F178" i="65"/>
  <c r="O177" i="65"/>
  <c r="M177" i="65"/>
  <c r="J177" i="65"/>
  <c r="H177" i="65"/>
  <c r="R192" i="65" s="1"/>
  <c r="S192" i="65" s="1"/>
  <c r="F177" i="65"/>
  <c r="M176" i="65"/>
  <c r="I176" i="65"/>
  <c r="H176" i="65"/>
  <c r="R191" i="65" s="1"/>
  <c r="S191" i="65" s="1"/>
  <c r="N175" i="65"/>
  <c r="L175" i="65"/>
  <c r="K175" i="65"/>
  <c r="G175" i="65"/>
  <c r="F175" i="65"/>
  <c r="D175" i="65"/>
  <c r="D190" i="65" s="1"/>
  <c r="E190" i="65" s="1"/>
  <c r="O174" i="65"/>
  <c r="N174" i="65"/>
  <c r="L174" i="65"/>
  <c r="I174" i="65"/>
  <c r="E174" i="65"/>
  <c r="F189" i="65" s="1"/>
  <c r="G189" i="65" s="1"/>
  <c r="H189" i="65" s="1"/>
  <c r="I189" i="65" s="1"/>
  <c r="J172" i="65"/>
  <c r="H172" i="65"/>
  <c r="R187" i="65" s="1"/>
  <c r="S187" i="65" s="1"/>
  <c r="G172" i="65"/>
  <c r="N187" i="65" s="1"/>
  <c r="O187" i="65" s="1"/>
  <c r="P187" i="65" s="1"/>
  <c r="Q187" i="65" s="1"/>
  <c r="F172" i="65"/>
  <c r="J187" i="65" s="1"/>
  <c r="K187" i="65" s="1"/>
  <c r="L187" i="65" s="1"/>
  <c r="M187" i="65" s="1"/>
  <c r="E172" i="65"/>
  <c r="F187" i="65" s="1"/>
  <c r="G187" i="65" s="1"/>
  <c r="O171" i="65"/>
  <c r="N171" i="65"/>
  <c r="H171" i="65"/>
  <c r="F171" i="65"/>
  <c r="E171" i="65"/>
  <c r="O170" i="65"/>
  <c r="M170" i="65"/>
  <c r="L170" i="65"/>
  <c r="J170" i="65"/>
  <c r="I170" i="65"/>
  <c r="O169" i="65"/>
  <c r="N169" i="65"/>
  <c r="M169" i="65"/>
  <c r="L169" i="65"/>
  <c r="K169" i="65"/>
  <c r="J169" i="65"/>
  <c r="I169" i="65"/>
  <c r="H169" i="65"/>
  <c r="R184" i="65" s="1"/>
  <c r="G169" i="65"/>
  <c r="N184" i="65" s="1"/>
  <c r="O184" i="65" s="1"/>
  <c r="P184" i="65" s="1"/>
  <c r="Q184" i="65" s="1"/>
  <c r="F169" i="65"/>
  <c r="J184" i="65" s="1"/>
  <c r="K184" i="65" s="1"/>
  <c r="L184" i="65" s="1"/>
  <c r="M184" i="65" s="1"/>
  <c r="E169" i="65"/>
  <c r="D169" i="65"/>
  <c r="D184" i="65" s="1"/>
  <c r="E184" i="65" s="1"/>
  <c r="O85" i="65"/>
  <c r="N85" i="65"/>
  <c r="N178" i="65" s="1"/>
  <c r="M85" i="65"/>
  <c r="M178" i="65" s="1"/>
  <c r="L85" i="65"/>
  <c r="L178" i="65" s="1"/>
  <c r="K85" i="65"/>
  <c r="K178" i="65" s="1"/>
  <c r="J85" i="65"/>
  <c r="I85" i="65"/>
  <c r="H85" i="65"/>
  <c r="G85" i="65"/>
  <c r="G178" i="65" s="1"/>
  <c r="N193" i="65" s="1"/>
  <c r="O193" i="65" s="1"/>
  <c r="P193" i="65" s="1"/>
  <c r="Q193" i="65" s="1"/>
  <c r="F85" i="65"/>
  <c r="E85" i="65"/>
  <c r="E178" i="65" s="1"/>
  <c r="F193" i="65" s="1"/>
  <c r="G193" i="65" s="1"/>
  <c r="H193" i="65" s="1"/>
  <c r="I193" i="65" s="1"/>
  <c r="D85" i="65"/>
  <c r="D178" i="65" s="1"/>
  <c r="D193" i="65" s="1"/>
  <c r="E193" i="65" s="1"/>
  <c r="O84" i="65"/>
  <c r="N84" i="65"/>
  <c r="N177" i="65" s="1"/>
  <c r="M84" i="65"/>
  <c r="L84" i="65"/>
  <c r="L177" i="65" s="1"/>
  <c r="K84" i="65"/>
  <c r="K177" i="65" s="1"/>
  <c r="J84" i="65"/>
  <c r="I84" i="65"/>
  <c r="I177" i="65" s="1"/>
  <c r="H84" i="65"/>
  <c r="G84" i="65"/>
  <c r="G177" i="65" s="1"/>
  <c r="N192" i="65" s="1"/>
  <c r="O192" i="65" s="1"/>
  <c r="P192" i="65" s="1"/>
  <c r="Q192" i="65" s="1"/>
  <c r="F84" i="65"/>
  <c r="E84" i="65"/>
  <c r="E177" i="65" s="1"/>
  <c r="D84" i="65"/>
  <c r="D177" i="65" s="1"/>
  <c r="D192" i="65" s="1"/>
  <c r="E192" i="65" s="1"/>
  <c r="O83" i="65"/>
  <c r="O179" i="65" s="1"/>
  <c r="N83" i="65"/>
  <c r="N179" i="65" s="1"/>
  <c r="M83" i="65"/>
  <c r="L83" i="65"/>
  <c r="K83" i="65"/>
  <c r="J83" i="65"/>
  <c r="J179" i="65" s="1"/>
  <c r="I83" i="65"/>
  <c r="I179" i="65" s="1"/>
  <c r="H83" i="65"/>
  <c r="H179" i="65" s="1"/>
  <c r="R194" i="65" s="1"/>
  <c r="S194" i="65" s="1"/>
  <c r="G83" i="65"/>
  <c r="G179" i="65" s="1"/>
  <c r="F83" i="65"/>
  <c r="E83" i="65"/>
  <c r="D83" i="65"/>
  <c r="O74" i="65"/>
  <c r="O172" i="65" s="1"/>
  <c r="N74" i="65"/>
  <c r="N172" i="65" s="1"/>
  <c r="M74" i="65"/>
  <c r="M172" i="65" s="1"/>
  <c r="L74" i="65"/>
  <c r="L172" i="65" s="1"/>
  <c r="K74" i="65"/>
  <c r="K172" i="65" s="1"/>
  <c r="J74" i="65"/>
  <c r="I74" i="65"/>
  <c r="I172" i="65" s="1"/>
  <c r="H74" i="65"/>
  <c r="G74" i="65"/>
  <c r="F74" i="65"/>
  <c r="E74" i="65"/>
  <c r="D74" i="65"/>
  <c r="D172" i="65" s="1"/>
  <c r="O73" i="65"/>
  <c r="O176" i="65" s="1"/>
  <c r="N73" i="65"/>
  <c r="N176" i="65" s="1"/>
  <c r="M73" i="65"/>
  <c r="L73" i="65"/>
  <c r="L176" i="65" s="1"/>
  <c r="K73" i="65"/>
  <c r="K176" i="65" s="1"/>
  <c r="J73" i="65"/>
  <c r="J176" i="65" s="1"/>
  <c r="I73" i="65"/>
  <c r="H73" i="65"/>
  <c r="G73" i="65"/>
  <c r="G176" i="65" s="1"/>
  <c r="F73" i="65"/>
  <c r="F176" i="65" s="1"/>
  <c r="J191" i="65" s="1"/>
  <c r="K191" i="65" s="1"/>
  <c r="L191" i="65" s="1"/>
  <c r="M191" i="65" s="1"/>
  <c r="E73" i="65"/>
  <c r="E176" i="65" s="1"/>
  <c r="F191" i="65" s="1"/>
  <c r="G191" i="65" s="1"/>
  <c r="H191" i="65" s="1"/>
  <c r="I191" i="65" s="1"/>
  <c r="D73" i="65"/>
  <c r="D176" i="65" s="1"/>
  <c r="D191" i="65" s="1"/>
  <c r="E191" i="65" s="1"/>
  <c r="O72" i="65"/>
  <c r="O175" i="65" s="1"/>
  <c r="N72" i="65"/>
  <c r="M72" i="65"/>
  <c r="M175" i="65" s="1"/>
  <c r="L72" i="65"/>
  <c r="K72" i="65"/>
  <c r="J72" i="65"/>
  <c r="J175" i="65" s="1"/>
  <c r="I72" i="65"/>
  <c r="I175" i="65" s="1"/>
  <c r="H72" i="65"/>
  <c r="H175" i="65" s="1"/>
  <c r="G72" i="65"/>
  <c r="F72" i="65"/>
  <c r="E72" i="65"/>
  <c r="E175" i="65" s="1"/>
  <c r="F190" i="65" s="1"/>
  <c r="G190" i="65" s="1"/>
  <c r="H190" i="65" s="1"/>
  <c r="I190" i="65" s="1"/>
  <c r="D72" i="65"/>
  <c r="O71" i="65"/>
  <c r="N71" i="65"/>
  <c r="M71" i="65"/>
  <c r="M174" i="65" s="1"/>
  <c r="L71" i="65"/>
  <c r="K71" i="65"/>
  <c r="K174" i="65" s="1"/>
  <c r="J71" i="65"/>
  <c r="J174" i="65" s="1"/>
  <c r="I71" i="65"/>
  <c r="H71" i="65"/>
  <c r="H174" i="65" s="1"/>
  <c r="R189" i="65" s="1"/>
  <c r="S189" i="65" s="1"/>
  <c r="G71" i="65"/>
  <c r="G174" i="65" s="1"/>
  <c r="N189" i="65" s="1"/>
  <c r="O189" i="65" s="1"/>
  <c r="P189" i="65" s="1"/>
  <c r="Q189" i="65" s="1"/>
  <c r="F71" i="65"/>
  <c r="F174" i="65" s="1"/>
  <c r="J189" i="65" s="1"/>
  <c r="K189" i="65" s="1"/>
  <c r="L189" i="65" s="1"/>
  <c r="M189" i="65" s="1"/>
  <c r="E71" i="65"/>
  <c r="D71" i="65"/>
  <c r="D174" i="65" s="1"/>
  <c r="D189" i="65" s="1"/>
  <c r="E189" i="65" s="1"/>
  <c r="O70" i="65"/>
  <c r="N70" i="65"/>
  <c r="N170" i="65" s="1"/>
  <c r="M70" i="65"/>
  <c r="L70" i="65"/>
  <c r="K70" i="65"/>
  <c r="K170" i="65" s="1"/>
  <c r="J70" i="65"/>
  <c r="I70" i="65"/>
  <c r="H70" i="65"/>
  <c r="H170" i="65" s="1"/>
  <c r="R185" i="65" s="1"/>
  <c r="S185" i="65" s="1"/>
  <c r="G70" i="65"/>
  <c r="G170" i="65" s="1"/>
  <c r="F70" i="65"/>
  <c r="F170" i="65" s="1"/>
  <c r="J185" i="65" s="1"/>
  <c r="K185" i="65" s="1"/>
  <c r="L185" i="65" s="1"/>
  <c r="M185" i="65" s="1"/>
  <c r="E70" i="65"/>
  <c r="E170" i="65" s="1"/>
  <c r="F185" i="65" s="1"/>
  <c r="G185" i="65" s="1"/>
  <c r="H185" i="65" s="1"/>
  <c r="I185" i="65" s="1"/>
  <c r="D70" i="65"/>
  <c r="D170" i="65" s="1"/>
  <c r="D185" i="65" s="1"/>
  <c r="E185" i="65" s="1"/>
  <c r="O69" i="65"/>
  <c r="N69" i="65"/>
  <c r="M69" i="65"/>
  <c r="M171" i="65" s="1"/>
  <c r="L69" i="65"/>
  <c r="L171" i="65" s="1"/>
  <c r="K69" i="65"/>
  <c r="K171" i="65" s="1"/>
  <c r="J69" i="65"/>
  <c r="J171" i="65" s="1"/>
  <c r="I69" i="65"/>
  <c r="I171" i="65" s="1"/>
  <c r="H69" i="65"/>
  <c r="G69" i="65"/>
  <c r="G171" i="65" s="1"/>
  <c r="N186" i="65" s="1"/>
  <c r="O186" i="65" s="1"/>
  <c r="P186" i="65" s="1"/>
  <c r="Q186" i="65" s="1"/>
  <c r="F69" i="65"/>
  <c r="E69" i="65"/>
  <c r="D69" i="65"/>
  <c r="D171" i="65" s="1"/>
  <c r="D186" i="65" s="1"/>
  <c r="E186" i="65" s="1"/>
  <c r="M11" i="29"/>
  <c r="L11" i="29"/>
  <c r="J11" i="29"/>
  <c r="T10" i="29"/>
  <c r="S10" i="29"/>
  <c r="P10" i="29"/>
  <c r="N10" i="29"/>
  <c r="T9" i="29"/>
  <c r="S9" i="29"/>
  <c r="R9" i="29"/>
  <c r="R10" i="29" s="1"/>
  <c r="Q9" i="29"/>
  <c r="Q10" i="29" s="1"/>
  <c r="P9" i="29"/>
  <c r="O9" i="29"/>
  <c r="O10" i="29" s="1"/>
  <c r="N9" i="29"/>
  <c r="M9" i="29"/>
  <c r="M10" i="29" s="1"/>
  <c r="L9" i="29"/>
  <c r="K9" i="29"/>
  <c r="K11" i="29" s="1"/>
  <c r="J9" i="29"/>
  <c r="R16" i="40"/>
  <c r="J15" i="40"/>
  <c r="T13" i="40"/>
  <c r="S13" i="40"/>
  <c r="R13" i="40"/>
  <c r="R14" i="40" s="1"/>
  <c r="Q13" i="40"/>
  <c r="P13" i="40"/>
  <c r="O13" i="40"/>
  <c r="N13" i="40"/>
  <c r="M13" i="40"/>
  <c r="M14" i="40" s="1"/>
  <c r="L13" i="40"/>
  <c r="K13" i="40"/>
  <c r="K14" i="40" s="1"/>
  <c r="K16" i="40" s="1"/>
  <c r="J13" i="40"/>
  <c r="J14" i="40" s="1"/>
  <c r="J17" i="40" s="1"/>
  <c r="T12" i="40"/>
  <c r="S12" i="40"/>
  <c r="R12" i="40"/>
  <c r="Q12" i="40"/>
  <c r="P12" i="40"/>
  <c r="O12" i="40"/>
  <c r="N12" i="40"/>
  <c r="M12" i="40"/>
  <c r="L12" i="40"/>
  <c r="K12" i="40"/>
  <c r="J12" i="40"/>
  <c r="T11" i="40"/>
  <c r="T14" i="40" s="1"/>
  <c r="T16" i="40" s="1"/>
  <c r="S11" i="40"/>
  <c r="R11" i="40"/>
  <c r="Q11" i="40"/>
  <c r="P11" i="40"/>
  <c r="O11" i="40"/>
  <c r="N11" i="40"/>
  <c r="M11" i="40"/>
  <c r="L11" i="40"/>
  <c r="K11" i="40"/>
  <c r="J11" i="40"/>
  <c r="L67" i="38"/>
  <c r="L70" i="38" s="1"/>
  <c r="K67" i="38"/>
  <c r="J67" i="38"/>
  <c r="L66" i="38"/>
  <c r="L71" i="38" s="1"/>
  <c r="L65" i="38"/>
  <c r="L64" i="38"/>
  <c r="N56" i="38"/>
  <c r="M56" i="38"/>
  <c r="P55" i="38"/>
  <c r="P56" i="38" s="1"/>
  <c r="P54" i="38"/>
  <c r="O54" i="38"/>
  <c r="N54" i="38"/>
  <c r="N55" i="38" s="1"/>
  <c r="P48" i="38" s="1"/>
  <c r="M54" i="38"/>
  <c r="M55" i="38" s="1"/>
  <c r="L54" i="38"/>
  <c r="L55" i="38" s="1"/>
  <c r="N48" i="38" s="1"/>
  <c r="K54" i="38"/>
  <c r="K55" i="38" s="1"/>
  <c r="J54" i="38"/>
  <c r="P53" i="38"/>
  <c r="O53" i="38"/>
  <c r="O55" i="38" s="1"/>
  <c r="N53" i="38"/>
  <c r="J65" i="38" s="1"/>
  <c r="J70" i="38" s="1"/>
  <c r="M53" i="38"/>
  <c r="I65" i="38" s="1"/>
  <c r="L53" i="38"/>
  <c r="K53" i="38"/>
  <c r="J53" i="38"/>
  <c r="Q45" i="38"/>
  <c r="J45" i="38"/>
  <c r="Q44" i="38"/>
  <c r="J44" i="38"/>
  <c r="J43" i="38"/>
  <c r="S42" i="38"/>
  <c r="S43" i="38" s="1"/>
  <c r="S44" i="38" s="1"/>
  <c r="S45" i="38" s="1"/>
  <c r="Q42" i="38"/>
  <c r="J42" i="38"/>
  <c r="Q41" i="38"/>
  <c r="J41" i="38"/>
  <c r="S40" i="38"/>
  <c r="S41" i="38" s="1"/>
  <c r="Q40" i="38"/>
  <c r="P40" i="38"/>
  <c r="J40" i="38"/>
  <c r="T39" i="38"/>
  <c r="T40" i="38" s="1"/>
  <c r="T41" i="38" s="1"/>
  <c r="P41" i="38" s="1"/>
  <c r="S39" i="38"/>
  <c r="Q39" i="38"/>
  <c r="J39" i="38"/>
  <c r="T38" i="38"/>
  <c r="S38" i="38"/>
  <c r="J38" i="38"/>
  <c r="R37" i="38"/>
  <c r="Q37" i="38"/>
  <c r="J37" i="38"/>
  <c r="P37" i="38" s="1"/>
  <c r="J36" i="38"/>
  <c r="P36" i="38" s="1"/>
  <c r="J35" i="38"/>
  <c r="T34" i="38"/>
  <c r="T35" i="38" s="1"/>
  <c r="T36" i="38" s="1"/>
  <c r="J34" i="38"/>
  <c r="P34" i="38" s="1"/>
  <c r="P33" i="38"/>
  <c r="J33" i="38"/>
  <c r="P32" i="38"/>
  <c r="J32" i="38"/>
  <c r="J31" i="38"/>
  <c r="P31" i="38" s="1"/>
  <c r="J30" i="38"/>
  <c r="T29" i="38"/>
  <c r="T30" i="38" s="1"/>
  <c r="T31" i="38" s="1"/>
  <c r="T32" i="38" s="1"/>
  <c r="T33" i="38" s="1"/>
  <c r="S29" i="38"/>
  <c r="S30" i="38" s="1"/>
  <c r="O29" i="38"/>
  <c r="J29" i="38"/>
  <c r="P29" i="38" s="1"/>
  <c r="Q29" i="38" s="1"/>
  <c r="T28" i="38"/>
  <c r="S28" i="38"/>
  <c r="J28" i="38"/>
  <c r="P27" i="38"/>
  <c r="O27" i="38"/>
  <c r="J27" i="38"/>
  <c r="N26" i="38"/>
  <c r="J26" i="38"/>
  <c r="J25" i="38"/>
  <c r="S24" i="38"/>
  <c r="M24" i="38" s="1"/>
  <c r="O24" i="38"/>
  <c r="N24" i="38"/>
  <c r="J24" i="38"/>
  <c r="S23" i="38"/>
  <c r="M23" i="38" s="1"/>
  <c r="O23" i="38" s="1"/>
  <c r="N23" i="38"/>
  <c r="J23" i="38"/>
  <c r="J22" i="38"/>
  <c r="M22" i="38" s="1"/>
  <c r="N22" i="38" s="1"/>
  <c r="J21" i="38"/>
  <c r="M20" i="38"/>
  <c r="J20" i="38"/>
  <c r="M19" i="38"/>
  <c r="J19" i="38"/>
  <c r="J18" i="38"/>
  <c r="J17" i="38"/>
  <c r="M17" i="38" s="1"/>
  <c r="M16" i="38"/>
  <c r="J16" i="38"/>
  <c r="M15" i="38"/>
  <c r="J15" i="38"/>
  <c r="S14" i="38"/>
  <c r="L14" i="38" s="1"/>
  <c r="N14" i="38" s="1"/>
  <c r="M14" i="38"/>
  <c r="J14" i="38"/>
  <c r="M13" i="38"/>
  <c r="J13" i="38"/>
  <c r="L12" i="38"/>
  <c r="J12" i="38"/>
  <c r="M11" i="38"/>
  <c r="J11" i="38"/>
  <c r="AJ80" i="70"/>
  <c r="AI80" i="70"/>
  <c r="AH80" i="70"/>
  <c r="AG80" i="70"/>
  <c r="AF80" i="70"/>
  <c r="AE80" i="70"/>
  <c r="AD80" i="70"/>
  <c r="AC80" i="70"/>
  <c r="AB80" i="70"/>
  <c r="AA80" i="70"/>
  <c r="Z80" i="70"/>
  <c r="Y80" i="70"/>
  <c r="X80" i="70"/>
  <c r="W80" i="70"/>
  <c r="AI76" i="70"/>
  <c r="AF76" i="70"/>
  <c r="AI75" i="70"/>
  <c r="AC75" i="70"/>
  <c r="AB75" i="70"/>
  <c r="AA75" i="70"/>
  <c r="AF74" i="70"/>
  <c r="AC74" i="70"/>
  <c r="AB74" i="70"/>
  <c r="Y74" i="70"/>
  <c r="AJ73" i="70"/>
  <c r="AJ76" i="70" s="1"/>
  <c r="AI73" i="70"/>
  <c r="AH73" i="70"/>
  <c r="AH76" i="70" s="1"/>
  <c r="AG73" i="70"/>
  <c r="AG76" i="70" s="1"/>
  <c r="AF73" i="70"/>
  <c r="AF49" i="70" s="1"/>
  <c r="AE73" i="70"/>
  <c r="AE76" i="70" s="1"/>
  <c r="AD73" i="70"/>
  <c r="AE49" i="70" s="1"/>
  <c r="AE16" i="70" s="1"/>
  <c r="AE25" i="70" s="1"/>
  <c r="AC73" i="70"/>
  <c r="AC76" i="70" s="1"/>
  <c r="AB73" i="70"/>
  <c r="AB76" i="70" s="1"/>
  <c r="AA73" i="70"/>
  <c r="AA76" i="70" s="1"/>
  <c r="Z73" i="70"/>
  <c r="Z76" i="70" s="1"/>
  <c r="Y73" i="70"/>
  <c r="Y76" i="70" s="1"/>
  <c r="X73" i="70"/>
  <c r="X76" i="70" s="1"/>
  <c r="W73" i="70"/>
  <c r="W76" i="70" s="1"/>
  <c r="V73" i="70"/>
  <c r="U73" i="70"/>
  <c r="T73" i="70"/>
  <c r="S73" i="70"/>
  <c r="AJ72" i="70"/>
  <c r="AI72" i="70"/>
  <c r="AH72" i="70"/>
  <c r="AI48" i="70" s="1"/>
  <c r="AG72" i="70"/>
  <c r="AF72" i="70"/>
  <c r="AE72" i="70"/>
  <c r="AD72" i="70"/>
  <c r="AD48" i="70" s="1"/>
  <c r="AC72" i="70"/>
  <c r="AD75" i="70" s="1"/>
  <c r="AB72" i="70"/>
  <c r="AA72" i="70"/>
  <c r="Z72" i="70"/>
  <c r="Y72" i="70"/>
  <c r="X72" i="70"/>
  <c r="X75" i="70" s="1"/>
  <c r="W72" i="70"/>
  <c r="V72" i="70"/>
  <c r="W75" i="70" s="1"/>
  <c r="U72" i="70"/>
  <c r="T72" i="70"/>
  <c r="S72" i="70"/>
  <c r="AJ71" i="70"/>
  <c r="AI71" i="70"/>
  <c r="AH71" i="70"/>
  <c r="AH74" i="70" s="1"/>
  <c r="AG71" i="70"/>
  <c r="AG74" i="70" s="1"/>
  <c r="AF71" i="70"/>
  <c r="AE71" i="70"/>
  <c r="AE74" i="70" s="1"/>
  <c r="AD71" i="70"/>
  <c r="AC71" i="70"/>
  <c r="AB71" i="70"/>
  <c r="AA71" i="70"/>
  <c r="AB46" i="70" s="1"/>
  <c r="Z71" i="70"/>
  <c r="Y71" i="70"/>
  <c r="X71" i="70"/>
  <c r="X74" i="70" s="1"/>
  <c r="W71" i="70"/>
  <c r="W74" i="70" s="1"/>
  <c r="V71" i="70"/>
  <c r="U71" i="70"/>
  <c r="T71" i="70"/>
  <c r="S71" i="70"/>
  <c r="AA52" i="70"/>
  <c r="Z52" i="70"/>
  <c r="Y52" i="70"/>
  <c r="Y20" i="70" s="1"/>
  <c r="Y27" i="70" s="1"/>
  <c r="X52" i="70"/>
  <c r="W52" i="70"/>
  <c r="V52" i="70"/>
  <c r="U52" i="70"/>
  <c r="U20" i="70" s="1"/>
  <c r="U27" i="70" s="1"/>
  <c r="T52" i="70"/>
  <c r="S52" i="70"/>
  <c r="S20" i="70" s="1"/>
  <c r="S27" i="70" s="1"/>
  <c r="R52" i="70"/>
  <c r="Q52" i="70"/>
  <c r="P52" i="70"/>
  <c r="P20" i="70" s="1"/>
  <c r="P27" i="70" s="1"/>
  <c r="O52" i="70"/>
  <c r="N52" i="70"/>
  <c r="N20" i="70" s="1"/>
  <c r="M52" i="70"/>
  <c r="L52" i="70"/>
  <c r="K52" i="70"/>
  <c r="K20" i="70" s="1"/>
  <c r="K27" i="70" s="1"/>
  <c r="J52" i="70"/>
  <c r="I52" i="70"/>
  <c r="H52" i="70"/>
  <c r="G52" i="70"/>
  <c r="G20" i="70" s="1"/>
  <c r="F52" i="70"/>
  <c r="E52" i="70"/>
  <c r="D52" i="70"/>
  <c r="AI51" i="70"/>
  <c r="AF51" i="70"/>
  <c r="AA51" i="70"/>
  <c r="Z51" i="70"/>
  <c r="Z18" i="70" s="1"/>
  <c r="Z26" i="70" s="1"/>
  <c r="Y51" i="70"/>
  <c r="X51" i="70"/>
  <c r="W51" i="70"/>
  <c r="V51" i="70"/>
  <c r="U51" i="70"/>
  <c r="U18" i="70" s="1"/>
  <c r="U26" i="70" s="1"/>
  <c r="T51" i="70"/>
  <c r="S51" i="70"/>
  <c r="S18" i="70" s="1"/>
  <c r="R51" i="70"/>
  <c r="Q51" i="70"/>
  <c r="Q18" i="70" s="1"/>
  <c r="Q26" i="70" s="1"/>
  <c r="P51" i="70"/>
  <c r="O51" i="70"/>
  <c r="N51" i="70"/>
  <c r="M51" i="70"/>
  <c r="L51" i="70"/>
  <c r="L18" i="70" s="1"/>
  <c r="L26" i="70" s="1"/>
  <c r="K51" i="70"/>
  <c r="J51" i="70"/>
  <c r="I51" i="70"/>
  <c r="H51" i="70"/>
  <c r="G51" i="70"/>
  <c r="G18" i="70" s="1"/>
  <c r="G26" i="70" s="1"/>
  <c r="F51" i="70"/>
  <c r="E51" i="70"/>
  <c r="E18" i="70" s="1"/>
  <c r="D51" i="70"/>
  <c r="AJ49" i="70"/>
  <c r="AI49" i="70"/>
  <c r="AH49" i="70"/>
  <c r="AH51" i="70" s="1"/>
  <c r="AH52" i="70" s="1"/>
  <c r="AG49" i="70"/>
  <c r="AG51" i="70" s="1"/>
  <c r="AG18" i="70" s="1"/>
  <c r="AA49" i="70"/>
  <c r="Z49" i="70"/>
  <c r="Z16" i="70" s="1"/>
  <c r="Z25" i="70" s="1"/>
  <c r="Y49" i="70"/>
  <c r="X49" i="70"/>
  <c r="X16" i="70" s="1"/>
  <c r="W49" i="70"/>
  <c r="V49" i="70"/>
  <c r="U49" i="70"/>
  <c r="T49" i="70"/>
  <c r="S49" i="70"/>
  <c r="R49" i="70"/>
  <c r="Q49" i="70"/>
  <c r="Q16" i="70" s="1"/>
  <c r="P49" i="70"/>
  <c r="O49" i="70"/>
  <c r="N49" i="70"/>
  <c r="M49" i="70"/>
  <c r="L49" i="70"/>
  <c r="L16" i="70" s="1"/>
  <c r="K49" i="70"/>
  <c r="J49" i="70"/>
  <c r="J16" i="70" s="1"/>
  <c r="I49" i="70"/>
  <c r="H49" i="70"/>
  <c r="H16" i="70" s="1"/>
  <c r="H25" i="70" s="1"/>
  <c r="G49" i="70"/>
  <c r="F49" i="70"/>
  <c r="E49" i="70"/>
  <c r="D49" i="70"/>
  <c r="AB48" i="70"/>
  <c r="AA48" i="70"/>
  <c r="Z48" i="70"/>
  <c r="Z14" i="70" s="1"/>
  <c r="Z24" i="70" s="1"/>
  <c r="Y48" i="70"/>
  <c r="X48" i="70"/>
  <c r="W48" i="70"/>
  <c r="V48" i="70"/>
  <c r="V14" i="70" s="1"/>
  <c r="U48" i="70"/>
  <c r="T48" i="70"/>
  <c r="S48" i="70"/>
  <c r="R48" i="70"/>
  <c r="Q48" i="70"/>
  <c r="Q14" i="70" s="1"/>
  <c r="P48" i="70"/>
  <c r="O48" i="70"/>
  <c r="O14" i="70" s="1"/>
  <c r="N48" i="70"/>
  <c r="M48" i="70"/>
  <c r="L48" i="70"/>
  <c r="L14" i="70" s="1"/>
  <c r="L24" i="70" s="1"/>
  <c r="K48" i="70"/>
  <c r="J48" i="70"/>
  <c r="I48" i="70"/>
  <c r="H48" i="70"/>
  <c r="H14" i="70" s="1"/>
  <c r="H24" i="70" s="1"/>
  <c r="G48" i="70"/>
  <c r="F48" i="70"/>
  <c r="E48" i="70"/>
  <c r="D48" i="70"/>
  <c r="AG46" i="70"/>
  <c r="AG45" i="70" s="1"/>
  <c r="AF46" i="70"/>
  <c r="AF45" i="70" s="1"/>
  <c r="AE46" i="70"/>
  <c r="AE45" i="70" s="1"/>
  <c r="AC46" i="70"/>
  <c r="AC45" i="70" s="1"/>
  <c r="Y46" i="70"/>
  <c r="X46" i="70"/>
  <c r="W46" i="70"/>
  <c r="V46" i="70"/>
  <c r="U46" i="70"/>
  <c r="T46" i="70"/>
  <c r="S46" i="70"/>
  <c r="R46" i="70"/>
  <c r="Q46" i="70"/>
  <c r="P46" i="70"/>
  <c r="O46" i="70"/>
  <c r="N46" i="70"/>
  <c r="M46" i="70"/>
  <c r="L46" i="70"/>
  <c r="K46" i="70"/>
  <c r="J46" i="70"/>
  <c r="I46" i="70"/>
  <c r="H46" i="70"/>
  <c r="G46" i="70"/>
  <c r="F46" i="70"/>
  <c r="E46" i="70"/>
  <c r="D46" i="70"/>
  <c r="AA45" i="70"/>
  <c r="AA12" i="70" s="1"/>
  <c r="Z45" i="70"/>
  <c r="Y45" i="70"/>
  <c r="X45" i="70"/>
  <c r="X12" i="70" s="1"/>
  <c r="X23" i="70" s="1"/>
  <c r="W45" i="70"/>
  <c r="W12" i="70" s="1"/>
  <c r="W23" i="70" s="1"/>
  <c r="V45" i="70"/>
  <c r="V12" i="70" s="1"/>
  <c r="U45" i="70"/>
  <c r="T45" i="70"/>
  <c r="T12" i="70" s="1"/>
  <c r="T23" i="70" s="1"/>
  <c r="S45" i="70"/>
  <c r="R45" i="70"/>
  <c r="Q45" i="70"/>
  <c r="P45" i="70"/>
  <c r="O45" i="70"/>
  <c r="N45" i="70"/>
  <c r="M45" i="70"/>
  <c r="M12" i="70" s="1"/>
  <c r="L45" i="70"/>
  <c r="K45" i="70"/>
  <c r="J45" i="70"/>
  <c r="I45" i="70"/>
  <c r="I12" i="70" s="1"/>
  <c r="I23" i="70" s="1"/>
  <c r="H45" i="70"/>
  <c r="H12" i="70" s="1"/>
  <c r="H23" i="70" s="1"/>
  <c r="G45" i="70"/>
  <c r="F45" i="70"/>
  <c r="F12" i="70" s="1"/>
  <c r="F23" i="70" s="1"/>
  <c r="E45" i="70"/>
  <c r="D45" i="70"/>
  <c r="R27" i="70"/>
  <c r="O27" i="70"/>
  <c r="N27" i="70"/>
  <c r="G27" i="70"/>
  <c r="AH26" i="70"/>
  <c r="AG26" i="70"/>
  <c r="S26" i="70"/>
  <c r="R26" i="70"/>
  <c r="E26" i="70"/>
  <c r="AI25" i="70"/>
  <c r="Y25" i="70"/>
  <c r="X25" i="70"/>
  <c r="Q25" i="70"/>
  <c r="L25" i="70"/>
  <c r="J25" i="70"/>
  <c r="D25" i="70"/>
  <c r="AB24" i="70"/>
  <c r="V24" i="70"/>
  <c r="Q24" i="70"/>
  <c r="O24" i="70"/>
  <c r="I24" i="70"/>
  <c r="AG23" i="70"/>
  <c r="AF23" i="70"/>
  <c r="AE23" i="70"/>
  <c r="AA23" i="70"/>
  <c r="V23" i="70"/>
  <c r="R23" i="70"/>
  <c r="Q23" i="70"/>
  <c r="N23" i="70"/>
  <c r="M23" i="70"/>
  <c r="J23" i="70"/>
  <c r="D23" i="70"/>
  <c r="AH20" i="70"/>
  <c r="AH27" i="70" s="1"/>
  <c r="AA20" i="70"/>
  <c r="AA27" i="70" s="1"/>
  <c r="Z20" i="70"/>
  <c r="Z27" i="70" s="1"/>
  <c r="X20" i="70"/>
  <c r="X27" i="70" s="1"/>
  <c r="W20" i="70"/>
  <c r="W27" i="70" s="1"/>
  <c r="V20" i="70"/>
  <c r="V27" i="70" s="1"/>
  <c r="T20" i="70"/>
  <c r="T27" i="70" s="1"/>
  <c r="R20" i="70"/>
  <c r="Q20" i="70"/>
  <c r="Q27" i="70" s="1"/>
  <c r="O20" i="70"/>
  <c r="M20" i="70"/>
  <c r="M27" i="70" s="1"/>
  <c r="L20" i="70"/>
  <c r="L27" i="70" s="1"/>
  <c r="J20" i="70"/>
  <c r="J27" i="70" s="1"/>
  <c r="I20" i="70"/>
  <c r="I27" i="70" s="1"/>
  <c r="H20" i="70"/>
  <c r="H27" i="70" s="1"/>
  <c r="F20" i="70"/>
  <c r="F27" i="70" s="1"/>
  <c r="E20" i="70"/>
  <c r="E27" i="70" s="1"/>
  <c r="D20" i="70"/>
  <c r="D27" i="70" s="1"/>
  <c r="AH18" i="70"/>
  <c r="AA18" i="70"/>
  <c r="AA26" i="70" s="1"/>
  <c r="Y18" i="70"/>
  <c r="Y26" i="70" s="1"/>
  <c r="X18" i="70"/>
  <c r="X26" i="70" s="1"/>
  <c r="W18" i="70"/>
  <c r="W26" i="70" s="1"/>
  <c r="V18" i="70"/>
  <c r="V26" i="70" s="1"/>
  <c r="T18" i="70"/>
  <c r="T26" i="70" s="1"/>
  <c r="R18" i="70"/>
  <c r="P18" i="70"/>
  <c r="P26" i="70" s="1"/>
  <c r="O18" i="70"/>
  <c r="O26" i="70" s="1"/>
  <c r="N18" i="70"/>
  <c r="N26" i="70" s="1"/>
  <c r="M18" i="70"/>
  <c r="M26" i="70" s="1"/>
  <c r="K18" i="70"/>
  <c r="K26" i="70" s="1"/>
  <c r="J18" i="70"/>
  <c r="J26" i="70" s="1"/>
  <c r="I18" i="70"/>
  <c r="I26" i="70" s="1"/>
  <c r="H18" i="70"/>
  <c r="H26" i="70" s="1"/>
  <c r="F18" i="70"/>
  <c r="F26" i="70" s="1"/>
  <c r="D18" i="70"/>
  <c r="D26" i="70" s="1"/>
  <c r="AI16" i="70"/>
  <c r="AH16" i="70"/>
  <c r="AH25" i="70" s="1"/>
  <c r="AG16" i="70"/>
  <c r="AG25" i="70" s="1"/>
  <c r="AF16" i="70"/>
  <c r="AF25" i="70" s="1"/>
  <c r="AA16" i="70"/>
  <c r="AA25" i="70" s="1"/>
  <c r="Y16" i="70"/>
  <c r="W16" i="70"/>
  <c r="W25" i="70" s="1"/>
  <c r="V16" i="70"/>
  <c r="V25" i="70" s="1"/>
  <c r="U16" i="70"/>
  <c r="U25" i="70" s="1"/>
  <c r="T16" i="70"/>
  <c r="T25" i="70" s="1"/>
  <c r="S16" i="70"/>
  <c r="S25" i="70" s="1"/>
  <c r="R16" i="70"/>
  <c r="R25" i="70" s="1"/>
  <c r="P16" i="70"/>
  <c r="P25" i="70" s="1"/>
  <c r="O16" i="70"/>
  <c r="O25" i="70" s="1"/>
  <c r="N16" i="70"/>
  <c r="N25" i="70" s="1"/>
  <c r="M16" i="70"/>
  <c r="M25" i="70" s="1"/>
  <c r="K16" i="70"/>
  <c r="K25" i="70" s="1"/>
  <c r="I16" i="70"/>
  <c r="I25" i="70" s="1"/>
  <c r="G16" i="70"/>
  <c r="G25" i="70" s="1"/>
  <c r="F16" i="70"/>
  <c r="F25" i="70" s="1"/>
  <c r="E16" i="70"/>
  <c r="E25" i="70" s="1"/>
  <c r="D16" i="70"/>
  <c r="AI14" i="70"/>
  <c r="AI24" i="70" s="1"/>
  <c r="AD14" i="70"/>
  <c r="AD24" i="70" s="1"/>
  <c r="AB14" i="70"/>
  <c r="AA14" i="70"/>
  <c r="AA24" i="70" s="1"/>
  <c r="Y14" i="70"/>
  <c r="Y24" i="70" s="1"/>
  <c r="X14" i="70"/>
  <c r="X24" i="70" s="1"/>
  <c r="W14" i="70"/>
  <c r="W24" i="70" s="1"/>
  <c r="U14" i="70"/>
  <c r="U24" i="70" s="1"/>
  <c r="T14" i="70"/>
  <c r="T24" i="70" s="1"/>
  <c r="S14" i="70"/>
  <c r="S24" i="70" s="1"/>
  <c r="R14" i="70"/>
  <c r="R24" i="70" s="1"/>
  <c r="P14" i="70"/>
  <c r="P24" i="70" s="1"/>
  <c r="N14" i="70"/>
  <c r="N24" i="70" s="1"/>
  <c r="M14" i="70"/>
  <c r="M24" i="70" s="1"/>
  <c r="K14" i="70"/>
  <c r="K24" i="70" s="1"/>
  <c r="J14" i="70"/>
  <c r="J24" i="70" s="1"/>
  <c r="I14" i="70"/>
  <c r="G14" i="70"/>
  <c r="G24" i="70" s="1"/>
  <c r="F14" i="70"/>
  <c r="F24" i="70" s="1"/>
  <c r="E14" i="70"/>
  <c r="E24" i="70" s="1"/>
  <c r="D14" i="70"/>
  <c r="D24" i="70" s="1"/>
  <c r="AG12" i="70"/>
  <c r="AF12" i="70"/>
  <c r="AE12" i="70"/>
  <c r="AC12" i="70"/>
  <c r="AC23" i="70" s="1"/>
  <c r="Z12" i="70"/>
  <c r="Z23" i="70" s="1"/>
  <c r="Y12" i="70"/>
  <c r="Y23" i="70" s="1"/>
  <c r="U12" i="70"/>
  <c r="U23" i="70" s="1"/>
  <c r="S12" i="70"/>
  <c r="S23" i="70" s="1"/>
  <c r="R12" i="70"/>
  <c r="Q12" i="70"/>
  <c r="P12" i="70"/>
  <c r="P23" i="70" s="1"/>
  <c r="O12" i="70"/>
  <c r="O23" i="70" s="1"/>
  <c r="N12" i="70"/>
  <c r="L12" i="70"/>
  <c r="L23" i="70" s="1"/>
  <c r="K12" i="70"/>
  <c r="K23" i="70" s="1"/>
  <c r="J12" i="70"/>
  <c r="G12" i="70"/>
  <c r="G23" i="70" s="1"/>
  <c r="E12" i="70"/>
  <c r="E23" i="70" s="1"/>
  <c r="D12" i="70"/>
  <c r="G151" i="48"/>
  <c r="L149" i="48"/>
  <c r="Q148" i="48"/>
  <c r="P148" i="48"/>
  <c r="L147" i="48"/>
  <c r="J147" i="48"/>
  <c r="R146" i="48"/>
  <c r="N146" i="48"/>
  <c r="Q145" i="48"/>
  <c r="L145" i="48"/>
  <c r="H145" i="48"/>
  <c r="AB138" i="48"/>
  <c r="AB137" i="48"/>
  <c r="AC137" i="48" s="1"/>
  <c r="AD137" i="48" s="1"/>
  <c r="AE137" i="48" s="1"/>
  <c r="AF137" i="48" s="1"/>
  <c r="AG137" i="48" s="1"/>
  <c r="H136" i="48"/>
  <c r="AA133" i="48"/>
  <c r="Z133" i="48"/>
  <c r="Y133" i="48"/>
  <c r="X133" i="48"/>
  <c r="W133" i="48"/>
  <c r="V133" i="48"/>
  <c r="U133" i="48"/>
  <c r="T133" i="48"/>
  <c r="S133" i="48"/>
  <c r="S151" i="48" s="1"/>
  <c r="R133" i="48"/>
  <c r="R151" i="48" s="1"/>
  <c r="Q133" i="48"/>
  <c r="Q151" i="48" s="1"/>
  <c r="P133" i="48"/>
  <c r="P151" i="48" s="1"/>
  <c r="O133" i="48"/>
  <c r="N133" i="48"/>
  <c r="N151" i="48" s="1"/>
  <c r="M133" i="48"/>
  <c r="M151" i="48" s="1"/>
  <c r="L133" i="48"/>
  <c r="K133" i="48"/>
  <c r="J133" i="48"/>
  <c r="I133" i="48"/>
  <c r="I151" i="48" s="1"/>
  <c r="H133" i="48"/>
  <c r="G133" i="48"/>
  <c r="F133" i="48"/>
  <c r="AA132" i="48"/>
  <c r="Z132" i="48"/>
  <c r="Y132" i="48"/>
  <c r="AF24" i="48" s="1"/>
  <c r="X132" i="48"/>
  <c r="W132" i="48"/>
  <c r="V132" i="48"/>
  <c r="U132" i="48"/>
  <c r="T132" i="48"/>
  <c r="S132" i="48"/>
  <c r="S150" i="48" s="1"/>
  <c r="R132" i="48"/>
  <c r="Q132" i="48"/>
  <c r="P132" i="48"/>
  <c r="P150" i="48" s="1"/>
  <c r="O132" i="48"/>
  <c r="O150" i="48" s="1"/>
  <c r="N132" i="48"/>
  <c r="N150" i="48" s="1"/>
  <c r="M132" i="48"/>
  <c r="M150" i="48" s="1"/>
  <c r="L132" i="48"/>
  <c r="L150" i="48" s="1"/>
  <c r="K132" i="48"/>
  <c r="K150" i="48" s="1"/>
  <c r="J132" i="48"/>
  <c r="J150" i="48" s="1"/>
  <c r="I132" i="48"/>
  <c r="H132" i="48"/>
  <c r="H150" i="48" s="1"/>
  <c r="G132" i="48"/>
  <c r="G150" i="48" s="1"/>
  <c r="F132" i="48"/>
  <c r="AA131" i="48"/>
  <c r="Z131" i="48"/>
  <c r="Y131" i="48"/>
  <c r="R131" i="48"/>
  <c r="P131" i="48"/>
  <c r="M131" i="48"/>
  <c r="M149" i="48" s="1"/>
  <c r="L131" i="48"/>
  <c r="K131" i="48"/>
  <c r="AA130" i="48"/>
  <c r="Z130" i="48"/>
  <c r="Y130" i="48"/>
  <c r="X130" i="48"/>
  <c r="W130" i="48"/>
  <c r="W126" i="48" s="1"/>
  <c r="V130" i="48"/>
  <c r="U130" i="48"/>
  <c r="T130" i="48"/>
  <c r="S130" i="48"/>
  <c r="S148" i="48" s="1"/>
  <c r="R130" i="48"/>
  <c r="R148" i="48" s="1"/>
  <c r="Q130" i="48"/>
  <c r="P130" i="48"/>
  <c r="O130" i="48"/>
  <c r="N130" i="48"/>
  <c r="M130" i="48"/>
  <c r="M148" i="48" s="1"/>
  <c r="L130" i="48"/>
  <c r="L148" i="48" s="1"/>
  <c r="K130" i="48"/>
  <c r="J130" i="48"/>
  <c r="I130" i="48"/>
  <c r="I148" i="48" s="1"/>
  <c r="H130" i="48"/>
  <c r="G130" i="48"/>
  <c r="G148" i="48" s="1"/>
  <c r="F130" i="48"/>
  <c r="AA129" i="48"/>
  <c r="Z129" i="48"/>
  <c r="Y129" i="48"/>
  <c r="X129" i="48"/>
  <c r="W129" i="48"/>
  <c r="V129" i="48"/>
  <c r="U129" i="48"/>
  <c r="T129" i="48"/>
  <c r="S129" i="48"/>
  <c r="R129" i="48"/>
  <c r="Q129" i="48"/>
  <c r="P129" i="48"/>
  <c r="P147" i="48" s="1"/>
  <c r="O129" i="48"/>
  <c r="O147" i="48" s="1"/>
  <c r="N129" i="48"/>
  <c r="M129" i="48"/>
  <c r="L129" i="48"/>
  <c r="K129" i="48"/>
  <c r="J129" i="48"/>
  <c r="I129" i="48"/>
  <c r="H129" i="48"/>
  <c r="G129" i="48"/>
  <c r="G147" i="48" s="1"/>
  <c r="F129" i="48"/>
  <c r="AA128" i="48"/>
  <c r="Z128" i="48"/>
  <c r="Y128" i="48"/>
  <c r="Y126" i="48" s="1"/>
  <c r="X128" i="48"/>
  <c r="W128" i="48"/>
  <c r="V128" i="48"/>
  <c r="U128" i="48"/>
  <c r="U126" i="48" s="1"/>
  <c r="T128" i="48"/>
  <c r="S128" i="48"/>
  <c r="R128" i="48"/>
  <c r="Q128" i="48"/>
  <c r="P128" i="48"/>
  <c r="P146" i="48" s="1"/>
  <c r="O128" i="48"/>
  <c r="O146" i="48" s="1"/>
  <c r="N128" i="48"/>
  <c r="M128" i="48"/>
  <c r="L128" i="48"/>
  <c r="K128" i="48"/>
  <c r="J128" i="48"/>
  <c r="I128" i="48"/>
  <c r="I146" i="48" s="1"/>
  <c r="H128" i="48"/>
  <c r="G128" i="48"/>
  <c r="F128" i="48"/>
  <c r="AA127" i="48"/>
  <c r="Z127" i="48"/>
  <c r="Y127" i="48"/>
  <c r="X127" i="48"/>
  <c r="W127" i="48"/>
  <c r="W131" i="48" s="1"/>
  <c r="V127" i="48"/>
  <c r="V131" i="48" s="1"/>
  <c r="U127" i="48"/>
  <c r="U131" i="48" s="1"/>
  <c r="T127" i="48"/>
  <c r="S127" i="48"/>
  <c r="R127" i="48"/>
  <c r="Q127" i="48"/>
  <c r="Q131" i="48" s="1"/>
  <c r="P127" i="48"/>
  <c r="O127" i="48"/>
  <c r="N127" i="48"/>
  <c r="N131" i="48" s="1"/>
  <c r="N149" i="48" s="1"/>
  <c r="M127" i="48"/>
  <c r="M145" i="48" s="1"/>
  <c r="L127" i="48"/>
  <c r="K127" i="48"/>
  <c r="J127" i="48"/>
  <c r="I127" i="48"/>
  <c r="H127" i="48"/>
  <c r="H131" i="48" s="1"/>
  <c r="G127" i="48"/>
  <c r="G131" i="48" s="1"/>
  <c r="F127" i="48"/>
  <c r="AA126" i="48"/>
  <c r="N126" i="48"/>
  <c r="AD123" i="48"/>
  <c r="AE123" i="48" s="1"/>
  <c r="AF123" i="48" s="1"/>
  <c r="AG123" i="48" s="1"/>
  <c r="AH123" i="48" s="1"/>
  <c r="AI123" i="48" s="1"/>
  <c r="AJ123" i="48" s="1"/>
  <c r="AB123" i="48"/>
  <c r="AC123" i="48" s="1"/>
  <c r="Z123" i="48"/>
  <c r="P123" i="48"/>
  <c r="AA122" i="48"/>
  <c r="AB122" i="48" s="1"/>
  <c r="AC122" i="48" s="1"/>
  <c r="AD122" i="48" s="1"/>
  <c r="AE122" i="48" s="1"/>
  <c r="AF122" i="48" s="1"/>
  <c r="AG122" i="48" s="1"/>
  <c r="AH122" i="48" s="1"/>
  <c r="AI122" i="48" s="1"/>
  <c r="AJ122" i="48" s="1"/>
  <c r="U122" i="48"/>
  <c r="M122" i="48"/>
  <c r="V121" i="48"/>
  <c r="R121" i="48"/>
  <c r="H121" i="48"/>
  <c r="AJ108" i="48"/>
  <c r="AI108" i="48"/>
  <c r="AH108"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2" i="48"/>
  <c r="F101" i="48"/>
  <c r="E101" i="48"/>
  <c r="F100" i="48"/>
  <c r="E100" i="48"/>
  <c r="M95" i="48"/>
  <c r="L95" i="48"/>
  <c r="K95" i="48"/>
  <c r="J95" i="48"/>
  <c r="I95" i="48"/>
  <c r="H95" i="48"/>
  <c r="G95" i="48"/>
  <c r="F95" i="48"/>
  <c r="E95" i="48"/>
  <c r="E103" i="48" s="1"/>
  <c r="M94" i="48"/>
  <c r="L94" i="48"/>
  <c r="I94" i="48"/>
  <c r="H94" i="48"/>
  <c r="M93" i="48"/>
  <c r="L93" i="48"/>
  <c r="K93" i="48"/>
  <c r="J93" i="48"/>
  <c r="I93" i="48"/>
  <c r="H93" i="48"/>
  <c r="G93" i="48"/>
  <c r="F93" i="48"/>
  <c r="E93" i="48"/>
  <c r="M92" i="48"/>
  <c r="L92" i="48"/>
  <c r="K92" i="48"/>
  <c r="J92" i="48"/>
  <c r="I92" i="48"/>
  <c r="H92" i="48"/>
  <c r="G92" i="48"/>
  <c r="F92" i="48"/>
  <c r="E92" i="48"/>
  <c r="F80" i="48"/>
  <c r="F103" i="48" s="1"/>
  <c r="E80" i="48"/>
  <c r="E79" i="48"/>
  <c r="F78" i="48"/>
  <c r="E78" i="48"/>
  <c r="F77" i="48"/>
  <c r="E77" i="48"/>
  <c r="M64" i="48"/>
  <c r="L64" i="48"/>
  <c r="K64" i="48"/>
  <c r="K94" i="48" s="1"/>
  <c r="J64" i="48"/>
  <c r="J94" i="48" s="1"/>
  <c r="I64" i="48"/>
  <c r="H64" i="48"/>
  <c r="G64" i="48"/>
  <c r="G94" i="48" s="1"/>
  <c r="F64" i="48"/>
  <c r="E64" i="48"/>
  <c r="E94" i="48" s="1"/>
  <c r="M62" i="48"/>
  <c r="AJ57" i="48"/>
  <c r="AI57" i="48"/>
  <c r="AH57" i="48"/>
  <c r="AJ54" i="48"/>
  <c r="AI54" i="48"/>
  <c r="AH54" i="48"/>
  <c r="AG54" i="48"/>
  <c r="AF54" i="48"/>
  <c r="AE54" i="48"/>
  <c r="AD54" i="48"/>
  <c r="AC54" i="48"/>
  <c r="AB54" i="48"/>
  <c r="AA54" i="48"/>
  <c r="Z54" i="48"/>
  <c r="Y54" i="48"/>
  <c r="U28" i="48"/>
  <c r="R28" i="48"/>
  <c r="Q28" i="48"/>
  <c r="H28" i="48"/>
  <c r="T27" i="48"/>
  <c r="G27" i="48"/>
  <c r="F27" i="48"/>
  <c r="AA25" i="48"/>
  <c r="Z25" i="48"/>
  <c r="Z138" i="48" s="1"/>
  <c r="AA138" i="48" s="1"/>
  <c r="Y25" i="48"/>
  <c r="X25" i="48"/>
  <c r="X138" i="48" s="1"/>
  <c r="W25" i="48"/>
  <c r="V25" i="48"/>
  <c r="V138" i="48" s="1"/>
  <c r="U25" i="48"/>
  <c r="U138" i="48" s="1"/>
  <c r="T25" i="48"/>
  <c r="T138" i="48" s="1"/>
  <c r="S25" i="48"/>
  <c r="S138" i="48" s="1"/>
  <c r="R25" i="48"/>
  <c r="R138" i="48" s="1"/>
  <c r="Q25" i="48"/>
  <c r="Q138" i="48" s="1"/>
  <c r="P25" i="48"/>
  <c r="P138" i="48" s="1"/>
  <c r="O25" i="48"/>
  <c r="O138" i="48" s="1"/>
  <c r="N25" i="48"/>
  <c r="N138" i="48" s="1"/>
  <c r="M25" i="48"/>
  <c r="M138" i="48" s="1"/>
  <c r="L25" i="48"/>
  <c r="L138" i="48" s="1"/>
  <c r="K25" i="48"/>
  <c r="J25" i="48"/>
  <c r="J138" i="48" s="1"/>
  <c r="I25" i="48"/>
  <c r="H25" i="48"/>
  <c r="H138" i="48" s="1"/>
  <c r="G25" i="48"/>
  <c r="G138" i="48" s="1"/>
  <c r="F25" i="48"/>
  <c r="F138" i="48" s="1"/>
  <c r="AD24" i="48"/>
  <c r="AC24" i="48"/>
  <c r="AB24" i="48"/>
  <c r="AA24" i="48"/>
  <c r="AA137" i="48" s="1"/>
  <c r="Z24" i="48"/>
  <c r="Y24" i="48"/>
  <c r="Y137" i="48" s="1"/>
  <c r="X24" i="48"/>
  <c r="W24" i="48"/>
  <c r="W137" i="48" s="1"/>
  <c r="V24" i="48"/>
  <c r="V137" i="48" s="1"/>
  <c r="U24" i="48"/>
  <c r="U137" i="48" s="1"/>
  <c r="T24" i="48"/>
  <c r="T137" i="48" s="1"/>
  <c r="S24" i="48"/>
  <c r="R24" i="48"/>
  <c r="R137" i="48" s="1"/>
  <c r="Q24" i="48"/>
  <c r="P24" i="48"/>
  <c r="P137" i="48" s="1"/>
  <c r="O24" i="48"/>
  <c r="O137" i="48" s="1"/>
  <c r="N24" i="48"/>
  <c r="N137" i="48" s="1"/>
  <c r="M24" i="48"/>
  <c r="M137" i="48" s="1"/>
  <c r="L24" i="48"/>
  <c r="L137" i="48" s="1"/>
  <c r="K24" i="48"/>
  <c r="K137" i="48" s="1"/>
  <c r="J24" i="48"/>
  <c r="I24" i="48"/>
  <c r="I137" i="48" s="1"/>
  <c r="H24" i="48"/>
  <c r="H137" i="48" s="1"/>
  <c r="G24" i="48"/>
  <c r="F24" i="48"/>
  <c r="F137" i="48" s="1"/>
  <c r="AA23" i="48"/>
  <c r="AA136" i="48" s="1"/>
  <c r="AB136" i="48" s="1"/>
  <c r="Z23" i="48"/>
  <c r="Y23" i="48"/>
  <c r="X23" i="48"/>
  <c r="W23" i="48"/>
  <c r="W136" i="48" s="1"/>
  <c r="V23" i="48"/>
  <c r="V136" i="48" s="1"/>
  <c r="U23" i="48"/>
  <c r="U136" i="48" s="1"/>
  <c r="T23" i="48"/>
  <c r="S23" i="48"/>
  <c r="R23" i="48"/>
  <c r="R136" i="48" s="1"/>
  <c r="Q23" i="48"/>
  <c r="Q136" i="48" s="1"/>
  <c r="P23" i="48"/>
  <c r="P136" i="48" s="1"/>
  <c r="O23" i="48"/>
  <c r="O28" i="48" s="1"/>
  <c r="N23" i="48"/>
  <c r="M23" i="48"/>
  <c r="M136" i="48" s="1"/>
  <c r="L23" i="48"/>
  <c r="K23" i="48"/>
  <c r="K136" i="48" s="1"/>
  <c r="J23" i="48"/>
  <c r="I23" i="48"/>
  <c r="H23" i="48"/>
  <c r="G23" i="48"/>
  <c r="F23" i="48"/>
  <c r="AJ22" i="48"/>
  <c r="AI22" i="48"/>
  <c r="AH22" i="48"/>
  <c r="AG22" i="48"/>
  <c r="AF22" i="48"/>
  <c r="AE22" i="48"/>
  <c r="AD22" i="48"/>
  <c r="AC22" i="48"/>
  <c r="AB22" i="48"/>
  <c r="AA22" i="48"/>
  <c r="Z22" i="48"/>
  <c r="AA21" i="48"/>
  <c r="Z21" i="48"/>
  <c r="Y21" i="48"/>
  <c r="Y19" i="48" s="1"/>
  <c r="X21" i="48"/>
  <c r="W21" i="48"/>
  <c r="W135" i="48" s="1"/>
  <c r="V21" i="48"/>
  <c r="U21" i="48"/>
  <c r="U19" i="48" s="1"/>
  <c r="T21" i="48"/>
  <c r="S21" i="48"/>
  <c r="R21" i="48"/>
  <c r="Q21" i="48"/>
  <c r="P21" i="48"/>
  <c r="O21" i="48"/>
  <c r="N21" i="48"/>
  <c r="M21" i="48"/>
  <c r="L21" i="48"/>
  <c r="K21" i="48"/>
  <c r="K19" i="48" s="1"/>
  <c r="J21" i="48"/>
  <c r="I21" i="48"/>
  <c r="H21" i="48"/>
  <c r="G21" i="48"/>
  <c r="G19" i="48" s="1"/>
  <c r="F21" i="48"/>
  <c r="T19" i="48"/>
  <c r="T26" i="48" s="1"/>
  <c r="S19" i="48"/>
  <c r="H19" i="48"/>
  <c r="AA16" i="48"/>
  <c r="AA123" i="48" s="1"/>
  <c r="Z16" i="48"/>
  <c r="Y16" i="48"/>
  <c r="X16" i="48"/>
  <c r="X123" i="48" s="1"/>
  <c r="W16" i="48"/>
  <c r="V16" i="48"/>
  <c r="V123" i="48" s="1"/>
  <c r="U16" i="48"/>
  <c r="U123" i="48" s="1"/>
  <c r="T16" i="48"/>
  <c r="T123" i="48" s="1"/>
  <c r="S16" i="48"/>
  <c r="S123" i="48" s="1"/>
  <c r="R16" i="48"/>
  <c r="R123" i="48" s="1"/>
  <c r="Q16" i="48"/>
  <c r="P16" i="48"/>
  <c r="O16" i="48"/>
  <c r="O123" i="48" s="1"/>
  <c r="N16" i="48"/>
  <c r="N123" i="48" s="1"/>
  <c r="I103" i="48" s="1"/>
  <c r="J103" i="48" s="1"/>
  <c r="K103" i="48" s="1"/>
  <c r="L103" i="48" s="1"/>
  <c r="M16" i="48"/>
  <c r="M123" i="48" s="1"/>
  <c r="H103" i="48" s="1"/>
  <c r="L16" i="48"/>
  <c r="H41" i="48" s="1"/>
  <c r="K16" i="48"/>
  <c r="J16" i="48"/>
  <c r="J123" i="48" s="1"/>
  <c r="I16" i="48"/>
  <c r="H16" i="48"/>
  <c r="G16" i="48"/>
  <c r="F16" i="48"/>
  <c r="AA14" i="48"/>
  <c r="Z14" i="48"/>
  <c r="Z122" i="48" s="1"/>
  <c r="Y14" i="48"/>
  <c r="Y122" i="48" s="1"/>
  <c r="X14" i="48"/>
  <c r="X122" i="48" s="1"/>
  <c r="W14" i="48"/>
  <c r="W122" i="48" s="1"/>
  <c r="V14" i="48"/>
  <c r="V122" i="48" s="1"/>
  <c r="U14" i="48"/>
  <c r="T14" i="48"/>
  <c r="T122" i="48" s="1"/>
  <c r="S14" i="48"/>
  <c r="R14" i="48"/>
  <c r="R122" i="48" s="1"/>
  <c r="Q14" i="48"/>
  <c r="Q122" i="48" s="1"/>
  <c r="P14" i="48"/>
  <c r="O14" i="48"/>
  <c r="O122" i="48" s="1"/>
  <c r="N14" i="48"/>
  <c r="N122" i="48" s="1"/>
  <c r="H102" i="48" s="1"/>
  <c r="M14" i="48"/>
  <c r="L14" i="48"/>
  <c r="K14" i="48"/>
  <c r="K122" i="48" s="1"/>
  <c r="J14" i="48"/>
  <c r="J122" i="48" s="1"/>
  <c r="I14" i="48"/>
  <c r="I122" i="48" s="1"/>
  <c r="H14" i="48"/>
  <c r="G14" i="48"/>
  <c r="F14" i="48"/>
  <c r="AA12" i="48"/>
  <c r="Z12" i="48"/>
  <c r="Z121" i="48" s="1"/>
  <c r="Y12" i="48"/>
  <c r="X12" i="48"/>
  <c r="W12" i="48"/>
  <c r="V12" i="48"/>
  <c r="U12" i="48"/>
  <c r="T12" i="48"/>
  <c r="S12" i="48"/>
  <c r="R12" i="48"/>
  <c r="R9" i="48" s="1"/>
  <c r="Q12" i="48"/>
  <c r="Q121" i="48" s="1"/>
  <c r="P12" i="48"/>
  <c r="O12" i="48"/>
  <c r="N12" i="48"/>
  <c r="N121" i="48" s="1"/>
  <c r="H101" i="48" s="1"/>
  <c r="I101" i="48" s="1"/>
  <c r="J101" i="48" s="1"/>
  <c r="K101" i="48" s="1"/>
  <c r="L101" i="48" s="1"/>
  <c r="M12" i="48"/>
  <c r="M121" i="48" s="1"/>
  <c r="L12" i="48"/>
  <c r="L121" i="48" s="1"/>
  <c r="K12" i="48"/>
  <c r="J12" i="48"/>
  <c r="I12" i="48"/>
  <c r="H12" i="48"/>
  <c r="G12" i="48"/>
  <c r="G28" i="48" s="1"/>
  <c r="F12" i="48"/>
  <c r="F28" i="48" s="1"/>
  <c r="AA10" i="48"/>
  <c r="Z10" i="48"/>
  <c r="Y10" i="48"/>
  <c r="X10" i="48"/>
  <c r="X27" i="48" s="1"/>
  <c r="W10" i="48"/>
  <c r="W27" i="48" s="1"/>
  <c r="V10" i="48"/>
  <c r="U10" i="48"/>
  <c r="T10" i="48"/>
  <c r="T9" i="48" s="1"/>
  <c r="S10" i="48"/>
  <c r="S27" i="48" s="1"/>
  <c r="R10" i="48"/>
  <c r="Q10" i="48"/>
  <c r="I38" i="48" s="1"/>
  <c r="P10" i="48"/>
  <c r="O10" i="48"/>
  <c r="O27" i="48" s="1"/>
  <c r="N10" i="48"/>
  <c r="M10" i="48"/>
  <c r="L10" i="48"/>
  <c r="K10" i="48"/>
  <c r="J10" i="48"/>
  <c r="I10" i="48"/>
  <c r="I27" i="48" s="1"/>
  <c r="H10" i="48"/>
  <c r="G10" i="48"/>
  <c r="F10" i="48"/>
  <c r="F9" i="48" s="1"/>
  <c r="X9" i="48"/>
  <c r="P9" i="48"/>
  <c r="O9" i="48"/>
  <c r="M9" i="48"/>
  <c r="I9" i="48"/>
  <c r="F81" i="78"/>
  <c r="F66" i="78"/>
  <c r="F63" i="78"/>
  <c r="F60" i="78"/>
  <c r="F57" i="78"/>
  <c r="F54" i="78"/>
  <c r="J52" i="78"/>
  <c r="K51" i="78"/>
  <c r="L51" i="78" s="1"/>
  <c r="F51" i="78"/>
  <c r="K50" i="78"/>
  <c r="L50" i="78" s="1"/>
  <c r="L49" i="78"/>
  <c r="K49" i="78"/>
  <c r="M48" i="78"/>
  <c r="N48" i="78" s="1"/>
  <c r="L48" i="78"/>
  <c r="K48" i="78"/>
  <c r="F48" i="78"/>
  <c r="N47" i="78"/>
  <c r="M47" i="78"/>
  <c r="K47" i="78"/>
  <c r="L47" i="78" s="1"/>
  <c r="M46" i="78"/>
  <c r="N46" i="78" s="1"/>
  <c r="L46" i="78"/>
  <c r="K46" i="78"/>
  <c r="N45" i="78"/>
  <c r="M45" i="78"/>
  <c r="L45" i="78"/>
  <c r="K45" i="78"/>
  <c r="F45" i="78"/>
  <c r="K44" i="78"/>
  <c r="N43" i="78"/>
  <c r="M43" i="78"/>
  <c r="L43" i="78"/>
  <c r="K43" i="78"/>
  <c r="N42" i="78"/>
  <c r="M42" i="78"/>
  <c r="K42" i="78"/>
  <c r="L42" i="78" s="1"/>
  <c r="F42" i="78"/>
  <c r="M41" i="78"/>
  <c r="N41" i="78" s="1"/>
  <c r="L41" i="78"/>
  <c r="K41" i="78"/>
  <c r="K40" i="78"/>
  <c r="K39" i="78"/>
  <c r="L39" i="78" s="1"/>
  <c r="F39" i="78"/>
  <c r="N38" i="78"/>
  <c r="M38" i="78"/>
  <c r="L38" i="78"/>
  <c r="K38" i="78"/>
  <c r="M37" i="78"/>
  <c r="N37" i="78" s="1"/>
  <c r="L37" i="78"/>
  <c r="K37" i="78"/>
  <c r="M36" i="78"/>
  <c r="N36" i="78" s="1"/>
  <c r="L36" i="78"/>
  <c r="K36" i="78"/>
  <c r="F36" i="78"/>
  <c r="M35" i="78"/>
  <c r="N35" i="78" s="1"/>
  <c r="L35" i="78"/>
  <c r="K35" i="78"/>
  <c r="N34" i="78"/>
  <c r="M34" i="78"/>
  <c r="M33" i="78"/>
  <c r="F33" i="78"/>
  <c r="N32" i="78"/>
  <c r="N31" i="78"/>
  <c r="N30" i="78"/>
  <c r="M30" i="78"/>
  <c r="F30" i="78"/>
  <c r="M29" i="78"/>
  <c r="N29" i="78" s="1"/>
  <c r="M28" i="78"/>
  <c r="N28" i="78" s="1"/>
  <c r="N27" i="78"/>
  <c r="M27" i="78"/>
  <c r="F27" i="78"/>
  <c r="B27" i="78"/>
  <c r="B28" i="78" s="1"/>
  <c r="B29" i="78" s="1"/>
  <c r="B30" i="78" s="1"/>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AH18" i="78"/>
  <c r="AJ14" i="78"/>
  <c r="AG14" i="78"/>
  <c r="AF14" i="78"/>
  <c r="AC14" i="78"/>
  <c r="Y14" i="78"/>
  <c r="X14" i="78"/>
  <c r="W14" i="78"/>
  <c r="S14" i="78"/>
  <c r="AI13" i="78"/>
  <c r="AI14" i="78" s="1"/>
  <c r="AH13" i="78"/>
  <c r="AH14" i="78" s="1"/>
  <c r="AG13" i="78"/>
  <c r="AF13" i="78"/>
  <c r="AE13" i="78"/>
  <c r="AE14" i="78" s="1"/>
  <c r="AD13" i="78"/>
  <c r="AD14" i="78" s="1"/>
  <c r="AC13" i="78"/>
  <c r="AB13" i="78"/>
  <c r="AB14" i="78" s="1"/>
  <c r="AA13" i="78"/>
  <c r="AA14" i="78" s="1"/>
  <c r="Z13" i="78"/>
  <c r="Z14" i="78" s="1"/>
  <c r="Y13" i="78"/>
  <c r="X13" i="78"/>
  <c r="W13" i="78"/>
  <c r="V13" i="78"/>
  <c r="V14" i="78" s="1"/>
  <c r="U13" i="78"/>
  <c r="U14" i="78" s="1"/>
  <c r="T13" i="78"/>
  <c r="T14" i="78" s="1"/>
  <c r="S13" i="78"/>
  <c r="X15" i="77"/>
  <c r="AA7" i="77"/>
  <c r="AA19" i="77" s="1"/>
  <c r="Z7" i="77"/>
  <c r="Z19" i="77" s="1"/>
  <c r="X7" i="77"/>
  <c r="Q7" i="77"/>
  <c r="G130" i="75"/>
  <c r="F130" i="75"/>
  <c r="V106" i="75"/>
  <c r="V105" i="75"/>
  <c r="U105" i="75"/>
  <c r="T105" i="75"/>
  <c r="S105" i="75"/>
  <c r="R105" i="75"/>
  <c r="Q105" i="75"/>
  <c r="P105" i="75"/>
  <c r="O105" i="75"/>
  <c r="N105" i="75"/>
  <c r="M105" i="75"/>
  <c r="L105" i="75"/>
  <c r="K105" i="75"/>
  <c r="J105" i="75"/>
  <c r="I105" i="75"/>
  <c r="H105" i="75"/>
  <c r="G105" i="75"/>
  <c r="F105" i="75"/>
  <c r="E105" i="75"/>
  <c r="D105" i="75"/>
  <c r="W104" i="75"/>
  <c r="W106" i="75" s="1"/>
  <c r="W105" i="75" s="1"/>
  <c r="V104" i="75"/>
  <c r="U104" i="75"/>
  <c r="U106" i="75" s="1"/>
  <c r="AG99" i="75"/>
  <c r="AF99" i="75"/>
  <c r="AE99" i="75"/>
  <c r="AD99" i="75"/>
  <c r="G99" i="75"/>
  <c r="V96" i="75"/>
  <c r="U96" i="75"/>
  <c r="T96" i="75"/>
  <c r="S96" i="75"/>
  <c r="R96" i="75"/>
  <c r="Q96" i="75"/>
  <c r="P96" i="75"/>
  <c r="O96" i="75"/>
  <c r="N96" i="75"/>
  <c r="M96" i="75"/>
  <c r="L96" i="75"/>
  <c r="K96" i="75"/>
  <c r="J96" i="75"/>
  <c r="I96" i="75"/>
  <c r="H96" i="75"/>
  <c r="G96" i="75"/>
  <c r="F96" i="75"/>
  <c r="E96" i="75"/>
  <c r="D96" i="75"/>
  <c r="V87" i="75"/>
  <c r="Q87" i="75"/>
  <c r="N87" i="75"/>
  <c r="V86" i="75"/>
  <c r="U86" i="75"/>
  <c r="T86" i="75"/>
  <c r="S86" i="75"/>
  <c r="S87" i="75" s="1"/>
  <c r="R86" i="75"/>
  <c r="R87" i="75" s="1"/>
  <c r="Q86" i="75"/>
  <c r="P86" i="75"/>
  <c r="O86" i="75"/>
  <c r="O87" i="75" s="1"/>
  <c r="N86" i="75"/>
  <c r="M86" i="75"/>
  <c r="M87" i="75" s="1"/>
  <c r="L86" i="75"/>
  <c r="L87" i="75" s="1"/>
  <c r="K86" i="75"/>
  <c r="K87" i="75" s="1"/>
  <c r="J86" i="75"/>
  <c r="I86" i="75"/>
  <c r="H86" i="75"/>
  <c r="G86" i="75"/>
  <c r="L85" i="75" s="1"/>
  <c r="L34" i="75" s="1"/>
  <c r="F86" i="75"/>
  <c r="V85" i="75" s="1"/>
  <c r="E86" i="75"/>
  <c r="D86"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I38" i="75"/>
  <c r="D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AB33" i="75"/>
  <c r="AB38" i="75" s="1"/>
  <c r="N33" i="75"/>
  <c r="M33" i="75"/>
  <c r="M38" i="75" s="1"/>
  <c r="Y32"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D28" i="75" s="1"/>
  <c r="AB23" i="75"/>
  <c r="N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N38" i="75" s="1"/>
  <c r="M21" i="75"/>
  <c r="L21" i="75"/>
  <c r="L38" i="75" s="1"/>
  <c r="K21" i="75"/>
  <c r="K38" i="75" s="1"/>
  <c r="J21" i="75"/>
  <c r="J38" i="75" s="1"/>
  <c r="I21" i="75"/>
  <c r="H21" i="75"/>
  <c r="H38" i="75" s="1"/>
  <c r="G21" i="75"/>
  <c r="G38" i="75" s="1"/>
  <c r="F21" i="75"/>
  <c r="E21" i="75"/>
  <c r="D21" i="75"/>
  <c r="D99" i="75" s="1"/>
  <c r="AC18" i="75"/>
  <c r="AB18" i="75"/>
  <c r="AA18" i="75"/>
  <c r="Z18" i="75"/>
  <c r="Y18" i="75"/>
  <c r="X18" i="75"/>
  <c r="W18" i="75"/>
  <c r="V18" i="75"/>
  <c r="U18" i="75"/>
  <c r="T18" i="75"/>
  <c r="S18" i="75"/>
  <c r="R18" i="75"/>
  <c r="Q18" i="75"/>
  <c r="P18" i="75"/>
  <c r="O18" i="75"/>
  <c r="N18" i="75"/>
  <c r="M18" i="75"/>
  <c r="L18" i="75"/>
  <c r="K18" i="75"/>
  <c r="J18" i="75"/>
  <c r="I18" i="75"/>
  <c r="H18" i="75"/>
  <c r="Z17" i="75"/>
  <c r="S17" i="75"/>
  <c r="L17" i="75"/>
  <c r="V15" i="75"/>
  <c r="T13" i="75"/>
  <c r="S13" i="75"/>
  <c r="R13" i="75"/>
  <c r="Q13" i="75"/>
  <c r="P13" i="75"/>
  <c r="O13" i="75"/>
  <c r="N13" i="75"/>
  <c r="M13" i="75"/>
  <c r="V12" i="75"/>
  <c r="U12" i="75"/>
  <c r="T12" i="75"/>
  <c r="S12" i="75"/>
  <c r="R12" i="75"/>
  <c r="Q12" i="75"/>
  <c r="P12" i="75"/>
  <c r="O12" i="75"/>
  <c r="N12" i="75"/>
  <c r="M12" i="75"/>
  <c r="L12" i="75"/>
  <c r="D133" i="75" s="1"/>
  <c r="D137" i="75" s="1"/>
  <c r="K12" i="75"/>
  <c r="J12" i="75"/>
  <c r="I12" i="75"/>
  <c r="H12" i="75"/>
  <c r="G12" i="75"/>
  <c r="F12" i="75"/>
  <c r="E12" i="75"/>
  <c r="D12" i="75"/>
  <c r="G99" i="59"/>
  <c r="G95" i="59"/>
  <c r="F95" i="59"/>
  <c r="W71" i="59"/>
  <c r="V71" i="59"/>
  <c r="AA70" i="59"/>
  <c r="Z70" i="59"/>
  <c r="Y70" i="59"/>
  <c r="Z69" i="59" s="1"/>
  <c r="Z71" i="59" s="1"/>
  <c r="X70" i="59"/>
  <c r="W70" i="59"/>
  <c r="V70" i="59"/>
  <c r="U70" i="59"/>
  <c r="V69" i="59" s="1"/>
  <c r="T70" i="59"/>
  <c r="S70" i="59"/>
  <c r="R70" i="59"/>
  <c r="Q70" i="59"/>
  <c r="P70" i="59"/>
  <c r="O70" i="59"/>
  <c r="N70" i="59"/>
  <c r="M70" i="59"/>
  <c r="L70" i="59"/>
  <c r="K70" i="59"/>
  <c r="J70" i="59"/>
  <c r="I70" i="59"/>
  <c r="H70" i="59"/>
  <c r="G70" i="59"/>
  <c r="F70" i="59"/>
  <c r="E70" i="59"/>
  <c r="D70" i="59"/>
  <c r="AA69" i="59"/>
  <c r="AA71" i="59" s="1"/>
  <c r="X69" i="59"/>
  <c r="X71" i="59" s="1"/>
  <c r="W69" i="59"/>
  <c r="AA61" i="59"/>
  <c r="Z61" i="59"/>
  <c r="Y61" i="59"/>
  <c r="X61" i="59"/>
  <c r="W61" i="59"/>
  <c r="V61" i="59"/>
  <c r="U61" i="59"/>
  <c r="T61" i="59"/>
  <c r="S61" i="59"/>
  <c r="R61" i="59"/>
  <c r="Q61" i="59"/>
  <c r="P61" i="59"/>
  <c r="O61" i="59"/>
  <c r="N61" i="59"/>
  <c r="M61" i="59"/>
  <c r="L61" i="59"/>
  <c r="K61" i="59"/>
  <c r="J61" i="59"/>
  <c r="I61" i="59"/>
  <c r="H61" i="59"/>
  <c r="G61" i="59"/>
  <c r="F61" i="59"/>
  <c r="E61" i="59"/>
  <c r="D61" i="59"/>
  <c r="W52" i="59"/>
  <c r="P52" i="59"/>
  <c r="J52" i="59"/>
  <c r="AA51" i="59"/>
  <c r="Z51" i="59"/>
  <c r="Y51" i="59"/>
  <c r="X51" i="59"/>
  <c r="W51" i="59"/>
  <c r="V51" i="59"/>
  <c r="U51" i="59"/>
  <c r="T51" i="59"/>
  <c r="S51" i="59"/>
  <c r="S52" i="59" s="1"/>
  <c r="R51" i="59"/>
  <c r="R50" i="59" s="1"/>
  <c r="R26" i="59" s="1"/>
  <c r="Q51" i="59"/>
  <c r="P51" i="59"/>
  <c r="O51" i="59"/>
  <c r="N51" i="59"/>
  <c r="M51" i="59"/>
  <c r="L51" i="59"/>
  <c r="K51" i="59"/>
  <c r="J51" i="59"/>
  <c r="I51" i="59"/>
  <c r="H51" i="59"/>
  <c r="G51" i="59"/>
  <c r="F51" i="59"/>
  <c r="E51" i="59"/>
  <c r="D51" i="59"/>
  <c r="AA50" i="59"/>
  <c r="S50" i="59"/>
  <c r="S26" i="59" s="1"/>
  <c r="W37" i="59"/>
  <c r="Q37" i="59"/>
  <c r="Q38" i="59" s="1"/>
  <c r="AA36" i="59"/>
  <c r="Z36" i="59"/>
  <c r="Y36" i="59"/>
  <c r="X36" i="59"/>
  <c r="W36" i="59"/>
  <c r="V36" i="59"/>
  <c r="U36" i="59"/>
  <c r="T36" i="59"/>
  <c r="S36" i="59"/>
  <c r="R36" i="59"/>
  <c r="Q36" i="59"/>
  <c r="P36" i="59"/>
  <c r="O36" i="59"/>
  <c r="N36" i="59"/>
  <c r="M36" i="59"/>
  <c r="L36" i="59"/>
  <c r="K36" i="59"/>
  <c r="J36" i="59"/>
  <c r="I36" i="59"/>
  <c r="H36" i="59"/>
  <c r="G36" i="59"/>
  <c r="F36" i="59"/>
  <c r="E36" i="59"/>
  <c r="D36" i="59"/>
  <c r="AJ32" i="59"/>
  <c r="AI32" i="59"/>
  <c r="AH32" i="59"/>
  <c r="AG32" i="59"/>
  <c r="AF32" i="59"/>
  <c r="AE32" i="59"/>
  <c r="AD32" i="59"/>
  <c r="AC32" i="59"/>
  <c r="AB32" i="59"/>
  <c r="AA32" i="59"/>
  <c r="Z32" i="59"/>
  <c r="Y32" i="59"/>
  <c r="X32" i="59"/>
  <c r="W32" i="59"/>
  <c r="V32" i="59"/>
  <c r="U32" i="59"/>
  <c r="T32" i="59"/>
  <c r="S32" i="59"/>
  <c r="AJ30" i="59"/>
  <c r="AI30" i="59"/>
  <c r="AH30" i="59"/>
  <c r="AG30" i="59"/>
  <c r="AF30" i="59"/>
  <c r="AB30" i="59"/>
  <c r="D30"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AB25" i="59"/>
  <c r="N25" i="59"/>
  <c r="N30" i="59" s="1"/>
  <c r="M25" i="59"/>
  <c r="AF24" i="59"/>
  <c r="Y24" i="59"/>
  <c r="T21" i="59"/>
  <c r="S21" i="59"/>
  <c r="R21" i="59"/>
  <c r="Q21" i="59"/>
  <c r="P21" i="59"/>
  <c r="O21" i="59"/>
  <c r="N21" i="59"/>
  <c r="M21" i="59"/>
  <c r="M30" i="59" s="1"/>
  <c r="L21" i="59"/>
  <c r="L30" i="59" s="1"/>
  <c r="K21" i="59"/>
  <c r="K30" i="59" s="1"/>
  <c r="J21" i="59"/>
  <c r="J30" i="59" s="1"/>
  <c r="I21" i="59"/>
  <c r="I30" i="59" s="1"/>
  <c r="H21" i="59"/>
  <c r="H30" i="59" s="1"/>
  <c r="G21" i="59"/>
  <c r="F21" i="59"/>
  <c r="E21" i="59"/>
  <c r="D21" i="59"/>
  <c r="D64" i="59" s="1"/>
  <c r="AC18" i="59"/>
  <c r="AB18" i="59"/>
  <c r="AA18" i="59"/>
  <c r="Z18" i="59"/>
  <c r="Y18" i="59"/>
  <c r="X18" i="59"/>
  <c r="W18" i="59"/>
  <c r="V18" i="59"/>
  <c r="U18" i="59"/>
  <c r="T18" i="59"/>
  <c r="S18" i="59"/>
  <c r="R18" i="59"/>
  <c r="Q18" i="59"/>
  <c r="P18" i="59"/>
  <c r="O18" i="59"/>
  <c r="N18" i="59"/>
  <c r="M18" i="59"/>
  <c r="L18" i="59"/>
  <c r="K18" i="59"/>
  <c r="J18" i="59"/>
  <c r="I18" i="59"/>
  <c r="H18" i="59"/>
  <c r="H64" i="59" s="1"/>
  <c r="AA17" i="59"/>
  <c r="U17" i="59"/>
  <c r="M17" i="59"/>
  <c r="G17" i="59"/>
  <c r="AA16" i="59"/>
  <c r="Z16" i="59"/>
  <c r="W15" i="59"/>
  <c r="V15" i="59"/>
  <c r="AA12" i="59"/>
  <c r="Z12" i="59"/>
  <c r="Y12" i="59"/>
  <c r="X12" i="59"/>
  <c r="G98" i="59" s="1"/>
  <c r="G102" i="59" s="1"/>
  <c r="W12" i="59"/>
  <c r="V12" i="59"/>
  <c r="U12" i="59"/>
  <c r="F98" i="59" s="1"/>
  <c r="F102" i="59" s="1"/>
  <c r="T12" i="59"/>
  <c r="S12" i="59"/>
  <c r="R12" i="59"/>
  <c r="Q12" i="59"/>
  <c r="P12" i="59"/>
  <c r="E98" i="59" s="1"/>
  <c r="E102" i="59" s="1"/>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E25" i="33"/>
  <c r="K24" i="33"/>
  <c r="K26" i="33" s="1"/>
  <c r="AJ13" i="33" s="1"/>
  <c r="J24" i="33"/>
  <c r="I24" i="33"/>
  <c r="I26" i="33" s="1"/>
  <c r="H24" i="33"/>
  <c r="G24" i="33"/>
  <c r="H26" i="33" s="1"/>
  <c r="F24" i="33"/>
  <c r="E24" i="33"/>
  <c r="J23" i="33"/>
  <c r="AA15" i="33"/>
  <c r="V15" i="33"/>
  <c r="O15" i="33"/>
  <c r="M15" i="33"/>
  <c r="H15" i="33"/>
  <c r="O13" i="33"/>
  <c r="N13" i="33"/>
  <c r="AA11" i="33"/>
  <c r="Z11" i="33"/>
  <c r="Y11" i="33"/>
  <c r="X11" i="33"/>
  <c r="W11" i="33"/>
  <c r="V11" i="33"/>
  <c r="U11" i="33"/>
  <c r="T11" i="33"/>
  <c r="S11" i="33"/>
  <c r="R11" i="33"/>
  <c r="Q11" i="33"/>
  <c r="P11" i="33"/>
  <c r="O11" i="33"/>
  <c r="N11" i="33"/>
  <c r="M11" i="33"/>
  <c r="L11" i="33"/>
  <c r="K11" i="33"/>
  <c r="J11" i="33"/>
  <c r="AA10" i="33"/>
  <c r="AA17" i="75" s="1"/>
  <c r="Z10" i="33"/>
  <c r="Z15" i="33" s="1"/>
  <c r="Y10" i="33"/>
  <c r="X10" i="33"/>
  <c r="W10" i="33"/>
  <c r="W17" i="75" s="1"/>
  <c r="V10" i="33"/>
  <c r="U10" i="33"/>
  <c r="U17" i="75" s="1"/>
  <c r="T10" i="33"/>
  <c r="S10" i="33"/>
  <c r="S17" i="59" s="1"/>
  <c r="R10" i="33"/>
  <c r="Q10" i="33"/>
  <c r="Q17" i="75" s="1"/>
  <c r="P10" i="33"/>
  <c r="O10" i="33"/>
  <c r="O17" i="75" s="1"/>
  <c r="N10" i="33"/>
  <c r="N17" i="75" s="1"/>
  <c r="M10" i="33"/>
  <c r="M17" i="75" s="1"/>
  <c r="L10" i="33"/>
  <c r="E22" i="33" s="1"/>
  <c r="K10" i="33"/>
  <c r="K17" i="59" s="1"/>
  <c r="J10" i="33"/>
  <c r="J17" i="75" s="1"/>
  <c r="I10" i="33"/>
  <c r="I17" i="75" s="1"/>
  <c r="H10" i="33"/>
  <c r="G10" i="33"/>
  <c r="G17" i="75" s="1"/>
  <c r="F10" i="33"/>
  <c r="E10" i="33"/>
  <c r="E17" i="75" s="1"/>
  <c r="D10" i="33"/>
  <c r="L51" i="49"/>
  <c r="K51" i="49"/>
  <c r="J51" i="49"/>
  <c r="F51" i="49"/>
  <c r="P50" i="49"/>
  <c r="O50" i="49"/>
  <c r="N50" i="49"/>
  <c r="M50" i="49"/>
  <c r="L50" i="49"/>
  <c r="K50" i="49"/>
  <c r="J50" i="49"/>
  <c r="I50" i="49"/>
  <c r="H50" i="49"/>
  <c r="G50" i="49"/>
  <c r="F50" i="49"/>
  <c r="G51" i="49" s="1"/>
  <c r="P49" i="49"/>
  <c r="O49" i="49"/>
  <c r="N49" i="49"/>
  <c r="M49" i="49"/>
  <c r="L49" i="49"/>
  <c r="K49" i="49"/>
  <c r="J49" i="49"/>
  <c r="I49" i="49"/>
  <c r="H49" i="49"/>
  <c r="G49" i="49"/>
  <c r="F49" i="49"/>
  <c r="V29" i="49"/>
  <c r="S29" i="49"/>
  <c r="H29" i="49"/>
  <c r="AA27" i="49"/>
  <c r="AA29" i="49" s="1"/>
  <c r="X27" i="49"/>
  <c r="W27" i="49"/>
  <c r="W45" i="75" s="1"/>
  <c r="V27" i="49"/>
  <c r="T27" i="49"/>
  <c r="R27" i="49"/>
  <c r="M27" i="49"/>
  <c r="I27" i="49"/>
  <c r="H27" i="49"/>
  <c r="F27" i="49"/>
  <c r="D27" i="49"/>
  <c r="AA12" i="49"/>
  <c r="X12" i="49"/>
  <c r="V12" i="49"/>
  <c r="T12" i="49"/>
  <c r="M12" i="49"/>
  <c r="M29" i="49" s="1"/>
  <c r="J12" i="49"/>
  <c r="I12" i="49"/>
  <c r="H12" i="49"/>
  <c r="AA11" i="49"/>
  <c r="Z11" i="49"/>
  <c r="Y11" i="49"/>
  <c r="X11" i="49"/>
  <c r="W11" i="49"/>
  <c r="W12" i="49" s="1"/>
  <c r="V11" i="49"/>
  <c r="U11" i="49"/>
  <c r="U12" i="49" s="1"/>
  <c r="T11" i="49"/>
  <c r="S11" i="49"/>
  <c r="S12" i="49" s="1"/>
  <c r="R11" i="49"/>
  <c r="R12" i="49" s="1"/>
  <c r="Q11" i="49"/>
  <c r="Q12" i="49" s="1"/>
  <c r="Q29" i="49" s="1"/>
  <c r="P11" i="49"/>
  <c r="P12" i="49" s="1"/>
  <c r="O11" i="49"/>
  <c r="N11" i="49"/>
  <c r="M11" i="49"/>
  <c r="L11" i="49"/>
  <c r="K11" i="49"/>
  <c r="J11" i="49"/>
  <c r="I11" i="49"/>
  <c r="H11" i="49"/>
  <c r="G11" i="49"/>
  <c r="G12" i="49" s="1"/>
  <c r="F11" i="49"/>
  <c r="F12" i="49" s="1"/>
  <c r="E11" i="49"/>
  <c r="E12" i="49" s="1"/>
  <c r="E29" i="49" s="1"/>
  <c r="D11" i="49"/>
  <c r="D12" i="49" s="1"/>
  <c r="D29" i="49" s="1"/>
  <c r="AA10" i="49"/>
  <c r="Z10" i="49"/>
  <c r="Z27" i="49" s="1"/>
  <c r="Y10" i="49"/>
  <c r="Y27" i="49" s="1"/>
  <c r="X10" i="49"/>
  <c r="W10" i="49"/>
  <c r="V10" i="49"/>
  <c r="U10" i="49"/>
  <c r="U27" i="49" s="1"/>
  <c r="T10" i="49"/>
  <c r="S10" i="49"/>
  <c r="S27" i="49" s="1"/>
  <c r="R10" i="49"/>
  <c r="Q10" i="49"/>
  <c r="Q27" i="49" s="1"/>
  <c r="Q45" i="75" s="1"/>
  <c r="Q46" i="75" s="1"/>
  <c r="P10" i="49"/>
  <c r="O10" i="49"/>
  <c r="O27" i="49" s="1"/>
  <c r="N10" i="49"/>
  <c r="M10" i="49"/>
  <c r="L10" i="49"/>
  <c r="K10" i="49"/>
  <c r="J10" i="49"/>
  <c r="I10" i="49"/>
  <c r="H10" i="49"/>
  <c r="G10" i="49"/>
  <c r="G27" i="49" s="1"/>
  <c r="F10" i="49"/>
  <c r="E10" i="49"/>
  <c r="E27" i="49" s="1"/>
  <c r="D10" i="49"/>
  <c r="AD81" i="30"/>
  <c r="AD79" i="30"/>
  <c r="AD72" i="30"/>
  <c r="AD71" i="30"/>
  <c r="AD70" i="30"/>
  <c r="AD69" i="30"/>
  <c r="AD68" i="30"/>
  <c r="AD67" i="30"/>
  <c r="AD66" i="30"/>
  <c r="AD65" i="30"/>
  <c r="AD64" i="30"/>
  <c r="AD62" i="30"/>
  <c r="AD53" i="30"/>
  <c r="AD48" i="30"/>
  <c r="P46" i="30"/>
  <c r="G46" i="30"/>
  <c r="F46" i="30"/>
  <c r="AF45" i="30"/>
  <c r="AE45" i="30"/>
  <c r="AD45" i="30"/>
  <c r="AB45" i="30"/>
  <c r="AA45" i="30"/>
  <c r="Z45" i="30"/>
  <c r="Y45" i="30"/>
  <c r="X45" i="30"/>
  <c r="S45" i="30"/>
  <c r="Q45" i="30"/>
  <c r="P45" i="30"/>
  <c r="O45" i="30"/>
  <c r="N45" i="30"/>
  <c r="AC43" i="30"/>
  <c r="AB43" i="30"/>
  <c r="AC41" i="30"/>
  <c r="AC24" i="30" s="1"/>
  <c r="AB41" i="30"/>
  <c r="AB24" i="30" s="1"/>
  <c r="AA41" i="30"/>
  <c r="AC40" i="30"/>
  <c r="AB40" i="30"/>
  <c r="AA40" i="30"/>
  <c r="Z40" i="30"/>
  <c r="Y40" i="30"/>
  <c r="X40" i="30"/>
  <c r="M40" i="30"/>
  <c r="AC39" i="30"/>
  <c r="AB39" i="30"/>
  <c r="AA39" i="30"/>
  <c r="Z39" i="30"/>
  <c r="Y39" i="30"/>
  <c r="X39" i="30"/>
  <c r="AC38" i="30"/>
  <c r="AB38" i="30"/>
  <c r="AA38" i="30"/>
  <c r="Z38" i="30"/>
  <c r="Y38" i="30"/>
  <c r="X38" i="30"/>
  <c r="AC37" i="30"/>
  <c r="AB37" i="30"/>
  <c r="AA37" i="30"/>
  <c r="AA20" i="30" s="1"/>
  <c r="Z37" i="30"/>
  <c r="Z20" i="30" s="1"/>
  <c r="Y37" i="30"/>
  <c r="AC36" i="30"/>
  <c r="AB36" i="30"/>
  <c r="AA36" i="30"/>
  <c r="Z36" i="30"/>
  <c r="Y36" i="30"/>
  <c r="X36" i="30"/>
  <c r="O34" i="30"/>
  <c r="N34" i="30"/>
  <c r="O33" i="30"/>
  <c r="N30" i="30"/>
  <c r="O29" i="30"/>
  <c r="N29" i="30"/>
  <c r="AG27" i="30"/>
  <c r="AH27" i="30" s="1"/>
  <c r="AI27" i="30" s="1"/>
  <c r="AJ27" i="30" s="1"/>
  <c r="AF27" i="30"/>
  <c r="AE27" i="30"/>
  <c r="AD27" i="30"/>
  <c r="AC27" i="30"/>
  <c r="AB27" i="30"/>
  <c r="AA27" i="30"/>
  <c r="Z27" i="30"/>
  <c r="Y27" i="30"/>
  <c r="X27" i="30"/>
  <c r="W27" i="30"/>
  <c r="V27" i="30"/>
  <c r="U27" i="30"/>
  <c r="T27" i="30"/>
  <c r="S27" i="30"/>
  <c r="AJ26" i="30"/>
  <c r="AI26" i="30"/>
  <c r="AH26" i="30"/>
  <c r="AG26" i="30"/>
  <c r="AF26" i="30"/>
  <c r="AE26" i="30"/>
  <c r="AD26" i="30"/>
  <c r="AC26" i="30"/>
  <c r="AB26" i="30"/>
  <c r="AA26" i="30"/>
  <c r="Z26" i="30"/>
  <c r="Y26" i="30"/>
  <c r="X26" i="30"/>
  <c r="W26" i="30"/>
  <c r="V26" i="30"/>
  <c r="U26" i="30"/>
  <c r="AD63" i="30" s="1"/>
  <c r="T26" i="30"/>
  <c r="S26" i="30"/>
  <c r="AJ25" i="30"/>
  <c r="AI25" i="30"/>
  <c r="AH25" i="30"/>
  <c r="AG25" i="30"/>
  <c r="AF25" i="30"/>
  <c r="AE25" i="30"/>
  <c r="AD25" i="30"/>
  <c r="AC25" i="30"/>
  <c r="AB25" i="30"/>
  <c r="AA25" i="30"/>
  <c r="Z25" i="30"/>
  <c r="Y25" i="30"/>
  <c r="X25" i="30"/>
  <c r="W25" i="30"/>
  <c r="V25" i="30"/>
  <c r="U25" i="30"/>
  <c r="T25" i="30"/>
  <c r="O25" i="30"/>
  <c r="AJ24" i="30"/>
  <c r="AI24" i="30"/>
  <c r="AH24" i="30"/>
  <c r="AG24" i="30"/>
  <c r="AF24" i="30"/>
  <c r="AE24" i="30"/>
  <c r="AD24" i="30"/>
  <c r="AA24" i="30"/>
  <c r="AE23" i="30"/>
  <c r="AF23" i="30" s="1"/>
  <c r="AG23" i="30" s="1"/>
  <c r="AH23" i="30" s="1"/>
  <c r="AI23" i="30" s="1"/>
  <c r="AJ23" i="30" s="1"/>
  <c r="AA23" i="30"/>
  <c r="AB23" i="30" s="1"/>
  <c r="AC23" i="30" s="1"/>
  <c r="AD23" i="30" s="1"/>
  <c r="Z23" i="30"/>
  <c r="Y23" i="30"/>
  <c r="X23" i="30"/>
  <c r="W23" i="30"/>
  <c r="V23" i="30"/>
  <c r="U23" i="30"/>
  <c r="AD60" i="30" s="1"/>
  <c r="T23" i="30"/>
  <c r="S23" i="30"/>
  <c r="R23" i="30"/>
  <c r="Q23" i="30"/>
  <c r="P23" i="30"/>
  <c r="O23" i="30"/>
  <c r="N23" i="30"/>
  <c r="AA22" i="30"/>
  <c r="Z22" i="30"/>
  <c r="Y22" i="30"/>
  <c r="X22" i="30"/>
  <c r="W22" i="30"/>
  <c r="V22" i="30"/>
  <c r="U22" i="30"/>
  <c r="AD59" i="30" s="1"/>
  <c r="T22" i="30"/>
  <c r="S22" i="30"/>
  <c r="R22" i="30"/>
  <c r="Q22" i="30"/>
  <c r="P22" i="30"/>
  <c r="O22" i="30"/>
  <c r="N22" i="30"/>
  <c r="AA21" i="30"/>
  <c r="AB21" i="30" s="1"/>
  <c r="AC21" i="30" s="1"/>
  <c r="AD21" i="30" s="1"/>
  <c r="AE21" i="30" s="1"/>
  <c r="AF21" i="30" s="1"/>
  <c r="AG21" i="30" s="1"/>
  <c r="AH21" i="30" s="1"/>
  <c r="AI21" i="30" s="1"/>
  <c r="AJ21" i="30" s="1"/>
  <c r="Z21" i="30"/>
  <c r="Y21" i="30"/>
  <c r="X21" i="30"/>
  <c r="W21" i="30"/>
  <c r="V21" i="30"/>
  <c r="U21" i="30"/>
  <c r="AD58" i="30" s="1"/>
  <c r="T21" i="30"/>
  <c r="S21" i="30"/>
  <c r="R21" i="30"/>
  <c r="Q21" i="30"/>
  <c r="P21" i="30"/>
  <c r="O21" i="30"/>
  <c r="N21" i="30"/>
  <c r="M21" i="30"/>
  <c r="L21" i="30"/>
  <c r="K21" i="30"/>
  <c r="J21" i="30"/>
  <c r="I21" i="30"/>
  <c r="H21" i="30"/>
  <c r="AJ20" i="30"/>
  <c r="AI20" i="30"/>
  <c r="AH20" i="30"/>
  <c r="AG20" i="30"/>
  <c r="AF20" i="30"/>
  <c r="AE20" i="30"/>
  <c r="AD20" i="30"/>
  <c r="AC20" i="30"/>
  <c r="AB20" i="30"/>
  <c r="AB13" i="30" s="1"/>
  <c r="Y20" i="30"/>
  <c r="T20" i="30"/>
  <c r="S20" i="30"/>
  <c r="R20" i="30"/>
  <c r="Q20" i="30"/>
  <c r="P20" i="30"/>
  <c r="O20" i="30"/>
  <c r="N20" i="30"/>
  <c r="M20" i="30"/>
  <c r="L20" i="30"/>
  <c r="K20" i="30"/>
  <c r="J20" i="30"/>
  <c r="I20" i="30"/>
  <c r="H20" i="30"/>
  <c r="AA19" i="30"/>
  <c r="Z19" i="30"/>
  <c r="Y19" i="30"/>
  <c r="X19" i="30"/>
  <c r="W19" i="30"/>
  <c r="V19" i="30"/>
  <c r="U19" i="30"/>
  <c r="AD56" i="30" s="1"/>
  <c r="T19" i="30"/>
  <c r="S19" i="30"/>
  <c r="R19" i="30"/>
  <c r="Q19" i="30"/>
  <c r="P19" i="30"/>
  <c r="O19" i="30"/>
  <c r="N19" i="30"/>
  <c r="M19" i="30"/>
  <c r="L19" i="30"/>
  <c r="K19" i="30"/>
  <c r="J19" i="30"/>
  <c r="I19" i="30"/>
  <c r="H19" i="30"/>
  <c r="AJ18" i="30"/>
  <c r="AI18" i="30"/>
  <c r="AH18" i="30"/>
  <c r="AG18" i="30"/>
  <c r="AF18" i="30"/>
  <c r="AE18" i="30"/>
  <c r="AD18" i="30"/>
  <c r="AC18" i="30"/>
  <c r="AB18" i="30"/>
  <c r="AA18" i="30"/>
  <c r="Z18" i="30"/>
  <c r="Y18" i="30"/>
  <c r="X18" i="30"/>
  <c r="W18" i="30"/>
  <c r="V18" i="30"/>
  <c r="U18" i="30"/>
  <c r="AD55" i="30" s="1"/>
  <c r="T18" i="30"/>
  <c r="S18" i="30"/>
  <c r="R18" i="30"/>
  <c r="Q18" i="30"/>
  <c r="P18" i="30"/>
  <c r="O18" i="30"/>
  <c r="N18" i="30"/>
  <c r="M18" i="30"/>
  <c r="O30" i="30" s="1"/>
  <c r="L18" i="30"/>
  <c r="K18" i="30"/>
  <c r="J18" i="30"/>
  <c r="I18" i="30"/>
  <c r="H18" i="30"/>
  <c r="AA17" i="30"/>
  <c r="AB17" i="30" s="1"/>
  <c r="Z17" i="30"/>
  <c r="Y17" i="30"/>
  <c r="X17" i="30"/>
  <c r="W17" i="30"/>
  <c r="V17" i="30"/>
  <c r="U17" i="30"/>
  <c r="T17" i="30"/>
  <c r="S17" i="30"/>
  <c r="R17" i="30"/>
  <c r="Q17" i="30"/>
  <c r="P17" i="30"/>
  <c r="O17" i="30"/>
  <c r="N17" i="30"/>
  <c r="M17" i="30"/>
  <c r="L17" i="30"/>
  <c r="L13" i="30" s="1"/>
  <c r="K17" i="30"/>
  <c r="J17" i="30"/>
  <c r="J13" i="30" s="1"/>
  <c r="I17" i="30"/>
  <c r="H17" i="30"/>
  <c r="H13" i="30" s="1"/>
  <c r="AA16" i="30"/>
  <c r="Z16" i="30"/>
  <c r="Y16" i="30"/>
  <c r="X16" i="30"/>
  <c r="W16" i="30"/>
  <c r="V16" i="30"/>
  <c r="U16" i="30"/>
  <c r="T16" i="30"/>
  <c r="S16" i="30"/>
  <c r="R16" i="30"/>
  <c r="Q16" i="30"/>
  <c r="P16" i="30"/>
  <c r="O16" i="30"/>
  <c r="N16" i="30"/>
  <c r="M16" i="30"/>
  <c r="L16" i="30"/>
  <c r="K16" i="30"/>
  <c r="J16" i="30"/>
  <c r="J15" i="30" s="1"/>
  <c r="I16" i="30"/>
  <c r="H16" i="30"/>
  <c r="H15" i="30" s="1"/>
  <c r="L15" i="30"/>
  <c r="K15" i="30"/>
  <c r="AA14" i="30"/>
  <c r="Z14" i="30"/>
  <c r="Y14" i="30"/>
  <c r="X14" i="30"/>
  <c r="W14" i="30"/>
  <c r="V14" i="30"/>
  <c r="U14" i="30"/>
  <c r="AD51" i="30" s="1"/>
  <c r="T14" i="30"/>
  <c r="S14" i="30"/>
  <c r="R14" i="30"/>
  <c r="Q14" i="30"/>
  <c r="P14" i="30"/>
  <c r="O14" i="30"/>
  <c r="N14" i="30"/>
  <c r="M14" i="30"/>
  <c r="L14" i="30"/>
  <c r="K14" i="30"/>
  <c r="K13" i="30" s="1"/>
  <c r="J14" i="30"/>
  <c r="I14" i="30"/>
  <c r="H14" i="30"/>
  <c r="N13" i="30"/>
  <c r="I13" i="30"/>
  <c r="J12" i="30"/>
  <c r="G12" i="30"/>
  <c r="F12" i="30"/>
  <c r="AA11" i="30"/>
  <c r="Z11" i="30"/>
  <c r="Z46" i="30" s="1"/>
  <c r="Y11" i="30"/>
  <c r="X11" i="30"/>
  <c r="X46" i="30" s="1"/>
  <c r="W11" i="30"/>
  <c r="V11" i="30"/>
  <c r="U11" i="30"/>
  <c r="T11" i="30"/>
  <c r="S11" i="30"/>
  <c r="R11" i="30"/>
  <c r="Q11" i="30"/>
  <c r="Q46" i="30" s="1"/>
  <c r="P11" i="30"/>
  <c r="O11" i="30"/>
  <c r="N11" i="30"/>
  <c r="N46" i="30" s="1"/>
  <c r="M11" i="30"/>
  <c r="L11" i="30"/>
  <c r="K11" i="30"/>
  <c r="K12" i="30" s="1"/>
  <c r="J11" i="30"/>
  <c r="J46" i="30" s="1"/>
  <c r="I11" i="30"/>
  <c r="H11" i="30"/>
  <c r="P49" i="20"/>
  <c r="N49" i="20"/>
  <c r="AE40" i="20"/>
  <c r="AV36" i="20"/>
  <c r="AC85" i="80" s="1"/>
  <c r="AU36" i="20"/>
  <c r="AB85" i="80" s="1"/>
  <c r="AT36" i="20"/>
  <c r="AS36" i="20"/>
  <c r="AR36" i="20"/>
  <c r="Y85" i="80" s="1"/>
  <c r="AQ36" i="20"/>
  <c r="AP36" i="20"/>
  <c r="AO36" i="20"/>
  <c r="AN36" i="20"/>
  <c r="AM36" i="20"/>
  <c r="AL36" i="20"/>
  <c r="AK36" i="20"/>
  <c r="AJ36" i="20"/>
  <c r="AI36" i="20"/>
  <c r="AH36" i="20"/>
  <c r="AG36" i="20"/>
  <c r="AF36" i="20"/>
  <c r="AE36" i="20"/>
  <c r="AD36" i="20"/>
  <c r="K85" i="80" s="1"/>
  <c r="AC36" i="20"/>
  <c r="AB36" i="20"/>
  <c r="AA36" i="20"/>
  <c r="Z36" i="20"/>
  <c r="Y36" i="20"/>
  <c r="X36" i="20"/>
  <c r="W36" i="20"/>
  <c r="V36" i="20"/>
  <c r="Z28" i="20"/>
  <c r="Y28" i="20"/>
  <c r="U28" i="20"/>
  <c r="T28" i="20"/>
  <c r="S28" i="20"/>
  <c r="P28" i="20"/>
  <c r="L28" i="20"/>
  <c r="K28" i="20"/>
  <c r="AJ27" i="20"/>
  <c r="AI27" i="20"/>
  <c r="AH27" i="20"/>
  <c r="AG27" i="20"/>
  <c r="AF27" i="20"/>
  <c r="AE27" i="20"/>
  <c r="AD27" i="20"/>
  <c r="AC27" i="20"/>
  <c r="AB27" i="20"/>
  <c r="AA27" i="20"/>
  <c r="Z27" i="20"/>
  <c r="V27" i="20"/>
  <c r="T27" i="20"/>
  <c r="Q27" i="20"/>
  <c r="M27" i="20"/>
  <c r="AA24" i="20"/>
  <c r="AA28" i="20" s="1"/>
  <c r="Z24" i="20"/>
  <c r="Y24" i="20"/>
  <c r="Y27" i="20" s="1"/>
  <c r="X24" i="20"/>
  <c r="X28" i="20" s="1"/>
  <c r="W24" i="20"/>
  <c r="V24" i="20"/>
  <c r="V28" i="20" s="1"/>
  <c r="U24" i="20"/>
  <c r="U27" i="20" s="1"/>
  <c r="T24" i="20"/>
  <c r="S24" i="20"/>
  <c r="S27" i="20" s="1"/>
  <c r="R24" i="20"/>
  <c r="Q24" i="20"/>
  <c r="Q28" i="20" s="1"/>
  <c r="P24" i="20"/>
  <c r="O24" i="20"/>
  <c r="O28" i="20" s="1"/>
  <c r="N24" i="20"/>
  <c r="M24" i="20"/>
  <c r="L24" i="20"/>
  <c r="K24" i="20"/>
  <c r="J24" i="20"/>
  <c r="J28" i="20" s="1"/>
  <c r="I24" i="20"/>
  <c r="H24" i="20"/>
  <c r="AA11" i="20"/>
  <c r="Z11" i="20"/>
  <c r="Y11" i="20"/>
  <c r="X11" i="20"/>
  <c r="W11" i="20"/>
  <c r="V11" i="20"/>
  <c r="U11" i="20"/>
  <c r="T11" i="20"/>
  <c r="S11" i="20"/>
  <c r="R11" i="20"/>
  <c r="Q11" i="20"/>
  <c r="P11" i="20"/>
  <c r="O11" i="20"/>
  <c r="N11" i="20"/>
  <c r="M11" i="20"/>
  <c r="L11" i="20"/>
  <c r="K11" i="20"/>
  <c r="J11" i="20"/>
  <c r="I11" i="20"/>
  <c r="H11" i="20"/>
  <c r="AD95" i="26"/>
  <c r="AC95" i="26"/>
  <c r="AB95" i="26"/>
  <c r="AA95" i="26"/>
  <c r="Z95" i="26"/>
  <c r="Y95" i="26"/>
  <c r="X95" i="26"/>
  <c r="W95" i="26"/>
  <c r="V95" i="26"/>
  <c r="U95" i="26"/>
  <c r="T95" i="26"/>
  <c r="S95" i="26"/>
  <c r="AI94" i="26"/>
  <c r="K3" i="35" s="1"/>
  <c r="V94" i="26"/>
  <c r="V49" i="20" s="1"/>
  <c r="Q94" i="26"/>
  <c r="Q49" i="20" s="1"/>
  <c r="P94" i="26"/>
  <c r="O94" i="26"/>
  <c r="O49" i="20" s="1"/>
  <c r="N94" i="26"/>
  <c r="M94" i="26"/>
  <c r="M49" i="20" s="1"/>
  <c r="L94" i="26"/>
  <c r="L49" i="20" s="1"/>
  <c r="K94" i="26"/>
  <c r="K49" i="20" s="1"/>
  <c r="J94" i="26"/>
  <c r="J49" i="20" s="1"/>
  <c r="I94" i="26"/>
  <c r="I49" i="20" s="1"/>
  <c r="H94" i="26"/>
  <c r="AE94" i="26" s="1"/>
  <c r="T81" i="26"/>
  <c r="S81" i="26"/>
  <c r="Q81" i="26"/>
  <c r="K81" i="26"/>
  <c r="AI79" i="26"/>
  <c r="AG79" i="26"/>
  <c r="AF79" i="26"/>
  <c r="AE79" i="26"/>
  <c r="AD79" i="26"/>
  <c r="AC79" i="26"/>
  <c r="AB79" i="26"/>
  <c r="AA79" i="26"/>
  <c r="Z79" i="26"/>
  <c r="Y79" i="26"/>
  <c r="X79" i="26"/>
  <c r="W79" i="26"/>
  <c r="V79" i="26"/>
  <c r="U79" i="26"/>
  <c r="T79" i="26"/>
  <c r="S79" i="26"/>
  <c r="AJ77" i="26"/>
  <c r="AI77" i="26"/>
  <c r="AH77" i="26"/>
  <c r="AG77" i="26"/>
  <c r="AF77" i="26"/>
  <c r="AE77" i="26"/>
  <c r="AC77" i="26"/>
  <c r="AJ76" i="26"/>
  <c r="AI76" i="26"/>
  <c r="AH76" i="26"/>
  <c r="AG76" i="26"/>
  <c r="AF76" i="26"/>
  <c r="AE76" i="26"/>
  <c r="AD76" i="26"/>
  <c r="AC76" i="26"/>
  <c r="AB76" i="26"/>
  <c r="AA76" i="26"/>
  <c r="Z76" i="26"/>
  <c r="Y76" i="26"/>
  <c r="AJ75" i="26"/>
  <c r="AI75" i="26"/>
  <c r="AH75" i="26"/>
  <c r="AG75" i="26"/>
  <c r="AF75" i="26"/>
  <c r="AE75" i="26"/>
  <c r="AC75" i="26"/>
  <c r="Y75" i="26"/>
  <c r="U75" i="26"/>
  <c r="P75" i="26"/>
  <c r="O75" i="26"/>
  <c r="N75" i="26"/>
  <c r="C67" i="26"/>
  <c r="C66" i="26"/>
  <c r="C65" i="26"/>
  <c r="C64" i="26"/>
  <c r="C62" i="26" s="1"/>
  <c r="C63" i="26"/>
  <c r="C61" i="26"/>
  <c r="C60" i="26"/>
  <c r="C59" i="26"/>
  <c r="Q30" i="26" s="1"/>
  <c r="C58" i="26"/>
  <c r="M29" i="26" s="1"/>
  <c r="C57" i="26"/>
  <c r="C47" i="26" s="1"/>
  <c r="M28" i="26" s="1"/>
  <c r="C52" i="26"/>
  <c r="E48" i="26"/>
  <c r="C48" i="26"/>
  <c r="C46" i="26"/>
  <c r="C44" i="26"/>
  <c r="AD37" i="26"/>
  <c r="AB37" i="26"/>
  <c r="AA37" i="26"/>
  <c r="AA17" i="26" s="1"/>
  <c r="Z37" i="26"/>
  <c r="Z17" i="26" s="1"/>
  <c r="Y37" i="26"/>
  <c r="X37" i="26"/>
  <c r="X17" i="26" s="1"/>
  <c r="U37" i="26"/>
  <c r="Q37" i="26"/>
  <c r="O37" i="26"/>
  <c r="O36" i="26"/>
  <c r="AB35" i="26"/>
  <c r="X35" i="26"/>
  <c r="U35" i="26"/>
  <c r="S35" i="26"/>
  <c r="R35" i="26"/>
  <c r="Q35" i="26"/>
  <c r="P35" i="26"/>
  <c r="O35" i="26"/>
  <c r="Q34" i="26"/>
  <c r="N34" i="26"/>
  <c r="O33" i="26"/>
  <c r="X32" i="26"/>
  <c r="W32" i="26"/>
  <c r="S32" i="26"/>
  <c r="Q32" i="26"/>
  <c r="N32" i="26"/>
  <c r="M32" i="26"/>
  <c r="M31" i="26"/>
  <c r="X30" i="26"/>
  <c r="W30" i="26"/>
  <c r="V30" i="26"/>
  <c r="U30" i="26"/>
  <c r="N29" i="26"/>
  <c r="N28" i="26"/>
  <c r="AD27" i="26"/>
  <c r="AC27" i="26"/>
  <c r="AB27" i="26"/>
  <c r="AA27" i="26"/>
  <c r="Z27" i="26"/>
  <c r="Y27" i="26"/>
  <c r="AK26" i="26"/>
  <c r="AK25" i="26"/>
  <c r="AK24" i="26"/>
  <c r="AL12" i="26" s="1"/>
  <c r="J24" i="26"/>
  <c r="P23" i="26"/>
  <c r="O23" i="26"/>
  <c r="N23" i="26"/>
  <c r="M23" i="26"/>
  <c r="L23" i="26"/>
  <c r="K23" i="26"/>
  <c r="J23" i="26"/>
  <c r="H20" i="26"/>
  <c r="H78" i="26" s="1"/>
  <c r="H73" i="26" s="1"/>
  <c r="H50" i="20" s="1"/>
  <c r="AD19" i="26"/>
  <c r="AC19" i="26"/>
  <c r="AB19" i="26"/>
  <c r="AA19" i="26"/>
  <c r="Z19" i="26"/>
  <c r="Y19" i="26"/>
  <c r="X19" i="26"/>
  <c r="W19" i="26"/>
  <c r="V19" i="26"/>
  <c r="U19" i="26"/>
  <c r="T19" i="26"/>
  <c r="S19" i="26"/>
  <c r="R19" i="26"/>
  <c r="Q19" i="26"/>
  <c r="P19" i="26"/>
  <c r="O19" i="26"/>
  <c r="N19" i="26"/>
  <c r="M19" i="26"/>
  <c r="L19" i="26"/>
  <c r="K19" i="26"/>
  <c r="S18" i="26"/>
  <c r="Q18" i="26"/>
  <c r="P18" i="26"/>
  <c r="AD17" i="26"/>
  <c r="AB17" i="26"/>
  <c r="Y17" i="26"/>
  <c r="U17" i="26"/>
  <c r="Q17" i="26"/>
  <c r="O17" i="26"/>
  <c r="AD16" i="26"/>
  <c r="AD77" i="26" s="1"/>
  <c r="AC16" i="26"/>
  <c r="AB16" i="26"/>
  <c r="AB77" i="26" s="1"/>
  <c r="AA16" i="26"/>
  <c r="AA77" i="26" s="1"/>
  <c r="Z16" i="26"/>
  <c r="Z77" i="26" s="1"/>
  <c r="Y16" i="26"/>
  <c r="Y77" i="26" s="1"/>
  <c r="AD15" i="26"/>
  <c r="AC15" i="26"/>
  <c r="AB15" i="26"/>
  <c r="AA15" i="26"/>
  <c r="Z15" i="26"/>
  <c r="Y15" i="26"/>
  <c r="AD14" i="26"/>
  <c r="AD75" i="26" s="1"/>
  <c r="AC14" i="26"/>
  <c r="AB14" i="26"/>
  <c r="AB75" i="26" s="1"/>
  <c r="AA14" i="26"/>
  <c r="AA75" i="26" s="1"/>
  <c r="Z14" i="26"/>
  <c r="Z75" i="26" s="1"/>
  <c r="Y14" i="26"/>
  <c r="X14" i="26"/>
  <c r="X75" i="26" s="1"/>
  <c r="W14" i="26"/>
  <c r="W75" i="26" s="1"/>
  <c r="V14" i="26"/>
  <c r="V75" i="26" s="1"/>
  <c r="U14" i="26"/>
  <c r="T14" i="26"/>
  <c r="T75" i="26" s="1"/>
  <c r="S14" i="26"/>
  <c r="S75" i="26" s="1"/>
  <c r="R14" i="26"/>
  <c r="R75" i="26" s="1"/>
  <c r="Q14" i="26"/>
  <c r="Q75" i="26" s="1"/>
  <c r="P14" i="26"/>
  <c r="O14" i="26"/>
  <c r="N14" i="26"/>
  <c r="M14" i="26"/>
  <c r="M75" i="26" s="1"/>
  <c r="L14" i="26"/>
  <c r="K14" i="26"/>
  <c r="K75" i="26" s="1"/>
  <c r="J14" i="26"/>
  <c r="X13" i="26"/>
  <c r="X81" i="26" s="1"/>
  <c r="U13" i="26"/>
  <c r="U81" i="26" s="1"/>
  <c r="T13" i="26"/>
  <c r="S13" i="26"/>
  <c r="R13" i="26"/>
  <c r="Q13" i="26"/>
  <c r="P13" i="26"/>
  <c r="P81" i="26" s="1"/>
  <c r="O13" i="26"/>
  <c r="O81" i="26" s="1"/>
  <c r="N13" i="26"/>
  <c r="N81" i="26" s="1"/>
  <c r="M13" i="26"/>
  <c r="M81" i="26" s="1"/>
  <c r="L13" i="26"/>
  <c r="L81" i="26" s="1"/>
  <c r="K13" i="26"/>
  <c r="J13" i="26"/>
  <c r="J12" i="26"/>
  <c r="Y11" i="26"/>
  <c r="S11" i="26"/>
  <c r="O11" i="26"/>
  <c r="N11" i="26"/>
  <c r="K11" i="26"/>
  <c r="K20" i="26" s="1"/>
  <c r="K78" i="26" s="1"/>
  <c r="AA10" i="26"/>
  <c r="Z10" i="26"/>
  <c r="Y10" i="26"/>
  <c r="X10" i="26"/>
  <c r="W10" i="26"/>
  <c r="W11" i="26" s="1"/>
  <c r="V10" i="26"/>
  <c r="U10" i="26"/>
  <c r="T10" i="26"/>
  <c r="S10" i="26"/>
  <c r="R10" i="26"/>
  <c r="Q10" i="26"/>
  <c r="P10" i="26"/>
  <c r="P11" i="26" s="1"/>
  <c r="O10" i="26"/>
  <c r="N10" i="26"/>
  <c r="M10" i="26"/>
  <c r="L10" i="26"/>
  <c r="K10" i="26"/>
  <c r="J10" i="26"/>
  <c r="I10" i="26"/>
  <c r="I11" i="26" s="1"/>
  <c r="I20" i="26" s="1"/>
  <c r="I78" i="26" s="1"/>
  <c r="I73" i="26" s="1"/>
  <c r="I50" i="20" s="1"/>
  <c r="H10" i="26"/>
  <c r="G10" i="26"/>
  <c r="F10" i="26"/>
  <c r="E10" i="26"/>
  <c r="E11" i="26" s="1"/>
  <c r="E20" i="26" s="1"/>
  <c r="D10" i="26"/>
  <c r="AA9" i="26"/>
  <c r="Z9" i="26"/>
  <c r="Z11" i="26" s="1"/>
  <c r="Y9" i="26"/>
  <c r="X9" i="26"/>
  <c r="X11" i="26" s="1"/>
  <c r="W9" i="26"/>
  <c r="V9" i="26"/>
  <c r="V11" i="26" s="1"/>
  <c r="U9" i="26"/>
  <c r="T9" i="26"/>
  <c r="T11" i="26" s="1"/>
  <c r="S9" i="26"/>
  <c r="R9" i="26"/>
  <c r="R11" i="26" s="1"/>
  <c r="Q9" i="26"/>
  <c r="Q11" i="26" s="1"/>
  <c r="P9" i="26"/>
  <c r="O9" i="26"/>
  <c r="N9" i="26"/>
  <c r="M9" i="26"/>
  <c r="L9" i="26"/>
  <c r="L11" i="26" s="1"/>
  <c r="K9" i="26"/>
  <c r="J9" i="26"/>
  <c r="J11" i="26" s="1"/>
  <c r="J20" i="26" s="1"/>
  <c r="J78" i="26" s="1"/>
  <c r="I9" i="26"/>
  <c r="H9" i="26"/>
  <c r="H11" i="26" s="1"/>
  <c r="G9" i="26"/>
  <c r="F9" i="26"/>
  <c r="F11" i="26" s="1"/>
  <c r="F20" i="26" s="1"/>
  <c r="E9" i="26"/>
  <c r="D9" i="26"/>
  <c r="D11" i="26" s="1"/>
  <c r="D20" i="26" s="1"/>
  <c r="Q20" i="74"/>
  <c r="I20" i="74"/>
  <c r="E20" i="74"/>
  <c r="E19" i="74" s="1"/>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K13" i="74" s="1"/>
  <c r="J17" i="74"/>
  <c r="I17" i="74"/>
  <c r="H17" i="74"/>
  <c r="G17" i="74"/>
  <c r="F17" i="74"/>
  <c r="E17" i="74"/>
  <c r="D17" i="74"/>
  <c r="U16" i="74"/>
  <c r="T16" i="74"/>
  <c r="T13" i="74" s="1"/>
  <c r="S16" i="74"/>
  <c r="R16" i="74"/>
  <c r="Q16" i="74"/>
  <c r="P16" i="74"/>
  <c r="O16" i="74"/>
  <c r="N16" i="74"/>
  <c r="M16" i="74"/>
  <c r="L16" i="74"/>
  <c r="K16" i="74"/>
  <c r="J16" i="74"/>
  <c r="I16" i="74"/>
  <c r="I13" i="74" s="1"/>
  <c r="H16" i="74"/>
  <c r="G16" i="74"/>
  <c r="F16" i="74"/>
  <c r="E16" i="74"/>
  <c r="D16" i="74"/>
  <c r="U15" i="74"/>
  <c r="T15" i="74"/>
  <c r="S15" i="74"/>
  <c r="R15" i="74"/>
  <c r="Q15" i="74"/>
  <c r="P15" i="74"/>
  <c r="O15" i="74"/>
  <c r="N15" i="74"/>
  <c r="M15" i="74"/>
  <c r="L15" i="74"/>
  <c r="K15" i="74"/>
  <c r="J15" i="74"/>
  <c r="J13" i="74" s="1"/>
  <c r="J20" i="74" s="1"/>
  <c r="I15" i="74"/>
  <c r="H15" i="74"/>
  <c r="G15" i="74"/>
  <c r="F15" i="74"/>
  <c r="E15" i="74"/>
  <c r="D15" i="74"/>
  <c r="U14" i="74"/>
  <c r="T14" i="74"/>
  <c r="S14" i="74"/>
  <c r="R14" i="74"/>
  <c r="Q14" i="74"/>
  <c r="P14" i="74"/>
  <c r="O14" i="74"/>
  <c r="O13" i="74" s="1"/>
  <c r="O20" i="74" s="1"/>
  <c r="N14" i="74"/>
  <c r="M14" i="74"/>
  <c r="L14" i="74"/>
  <c r="K14" i="74"/>
  <c r="J14" i="74"/>
  <c r="I14" i="74"/>
  <c r="H14" i="74"/>
  <c r="G14" i="74"/>
  <c r="F14" i="74"/>
  <c r="E14" i="74"/>
  <c r="D14" i="74"/>
  <c r="P13" i="74"/>
  <c r="N13" i="74"/>
  <c r="L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O19" i="74" s="1"/>
  <c r="N11" i="74"/>
  <c r="M11" i="74"/>
  <c r="L11" i="74"/>
  <c r="K11" i="74"/>
  <c r="J11" i="74"/>
  <c r="I11" i="74"/>
  <c r="I19" i="74" s="1"/>
  <c r="H11" i="74"/>
  <c r="H20" i="74" s="1"/>
  <c r="G11" i="74"/>
  <c r="F11" i="74"/>
  <c r="E11" i="74"/>
  <c r="D11" i="74"/>
  <c r="AJ24" i="25"/>
  <c r="AI24" i="25"/>
  <c r="AH24" i="25"/>
  <c r="AG24" i="25"/>
  <c r="AF24" i="25"/>
  <c r="AE24" i="25"/>
  <c r="AD24" i="25"/>
  <c r="AC24" i="25"/>
  <c r="AB24" i="25"/>
  <c r="AA24" i="25"/>
  <c r="AB13" i="25" s="1"/>
  <c r="Z24" i="25"/>
  <c r="Y24" i="25"/>
  <c r="X24" i="25"/>
  <c r="H21" i="25"/>
  <c r="F21" i="25"/>
  <c r="D21" i="25"/>
  <c r="AA20" i="25"/>
  <c r="G20" i="25"/>
  <c r="AA19" i="25"/>
  <c r="Z19" i="25"/>
  <c r="Y19" i="25"/>
  <c r="X19" i="25"/>
  <c r="W19" i="25"/>
  <c r="V19" i="25"/>
  <c r="U19" i="25"/>
  <c r="T19" i="25"/>
  <c r="S19" i="25"/>
  <c r="R19" i="25"/>
  <c r="Q19" i="25"/>
  <c r="P19" i="25"/>
  <c r="O19" i="25"/>
  <c r="N19" i="25"/>
  <c r="M19" i="25"/>
  <c r="L19" i="25"/>
  <c r="K19" i="25"/>
  <c r="J19" i="25"/>
  <c r="I19" i="25"/>
  <c r="H19" i="25"/>
  <c r="G19" i="25"/>
  <c r="F19" i="25"/>
  <c r="E19" i="25"/>
  <c r="D19" i="25"/>
  <c r="AB18" i="25"/>
  <c r="AC18" i="25" s="1"/>
  <c r="AA18" i="25"/>
  <c r="Z18" i="25"/>
  <c r="Y18" i="25"/>
  <c r="X18" i="25"/>
  <c r="W18" i="25"/>
  <c r="V18" i="25"/>
  <c r="U18" i="25"/>
  <c r="T18" i="25"/>
  <c r="S18" i="25"/>
  <c r="R18" i="25"/>
  <c r="Q18" i="25"/>
  <c r="P18" i="25"/>
  <c r="O18" i="25"/>
  <c r="N18" i="25"/>
  <c r="M18" i="25"/>
  <c r="L18" i="25"/>
  <c r="L14" i="25" s="1"/>
  <c r="K18" i="25"/>
  <c r="J18" i="25"/>
  <c r="I18" i="25"/>
  <c r="H18" i="25"/>
  <c r="G18" i="25"/>
  <c r="F18" i="25"/>
  <c r="E18" i="25"/>
  <c r="D18" i="25"/>
  <c r="AA17" i="25"/>
  <c r="AB17" i="25" s="1"/>
  <c r="AC17" i="25" s="1"/>
  <c r="AD17" i="25" s="1"/>
  <c r="AE17" i="25" s="1"/>
  <c r="AF17" i="25" s="1"/>
  <c r="AG17" i="25" s="1"/>
  <c r="AH17" i="25" s="1"/>
  <c r="AI17" i="25" s="1"/>
  <c r="AJ17" i="25" s="1"/>
  <c r="Z17" i="25"/>
  <c r="Y17" i="25"/>
  <c r="X17" i="25"/>
  <c r="W17" i="25"/>
  <c r="V17" i="25"/>
  <c r="U17" i="25"/>
  <c r="T17" i="25"/>
  <c r="S17" i="25"/>
  <c r="S14" i="25" s="1"/>
  <c r="R17" i="25"/>
  <c r="Q17" i="25"/>
  <c r="P17" i="25"/>
  <c r="O17" i="25"/>
  <c r="N17" i="25"/>
  <c r="M17" i="25"/>
  <c r="M14" i="25" s="1"/>
  <c r="M21" i="25" s="1"/>
  <c r="L17" i="25"/>
  <c r="K17" i="25"/>
  <c r="J17" i="25"/>
  <c r="I17" i="25"/>
  <c r="H17" i="25"/>
  <c r="G17" i="25"/>
  <c r="F17" i="25"/>
  <c r="E17" i="25"/>
  <c r="D17" i="25"/>
  <c r="AA16" i="25"/>
  <c r="Z16" i="25"/>
  <c r="Y16" i="25"/>
  <c r="X16" i="25"/>
  <c r="W16" i="25"/>
  <c r="W14" i="25" s="1"/>
  <c r="V16" i="25"/>
  <c r="U16" i="25"/>
  <c r="T16" i="25"/>
  <c r="S16" i="25"/>
  <c r="R16" i="25"/>
  <c r="Q16" i="25"/>
  <c r="P16" i="25"/>
  <c r="P14" i="25" s="1"/>
  <c r="O16" i="25"/>
  <c r="N16" i="25"/>
  <c r="M16" i="25"/>
  <c r="L16" i="25"/>
  <c r="K16" i="25"/>
  <c r="J16" i="25"/>
  <c r="I16" i="25"/>
  <c r="H16" i="25"/>
  <c r="H14" i="25" s="1"/>
  <c r="G16" i="25"/>
  <c r="F16" i="25"/>
  <c r="E16" i="25"/>
  <c r="D16" i="25"/>
  <c r="AA15" i="25"/>
  <c r="Z15" i="25"/>
  <c r="Y15" i="25"/>
  <c r="Y14" i="25" s="1"/>
  <c r="X15" i="25"/>
  <c r="X14" i="25" s="1"/>
  <c r="W15" i="25"/>
  <c r="V15" i="25"/>
  <c r="U15" i="25"/>
  <c r="U14" i="25" s="1"/>
  <c r="T15" i="25"/>
  <c r="S15" i="25"/>
  <c r="R15" i="25"/>
  <c r="R14" i="25" s="1"/>
  <c r="R21" i="25" s="1"/>
  <c r="Q15" i="25"/>
  <c r="P15" i="25"/>
  <c r="O15" i="25"/>
  <c r="O14" i="25" s="1"/>
  <c r="N15" i="25"/>
  <c r="N14" i="25" s="1"/>
  <c r="M15" i="25"/>
  <c r="L15" i="25"/>
  <c r="K15" i="25"/>
  <c r="K14" i="25" s="1"/>
  <c r="J15" i="25"/>
  <c r="J14" i="25" s="1"/>
  <c r="J21" i="25" s="1"/>
  <c r="I15" i="25"/>
  <c r="H15" i="25"/>
  <c r="G15" i="25"/>
  <c r="F15" i="25"/>
  <c r="E15" i="25"/>
  <c r="D15" i="25"/>
  <c r="T14" i="25"/>
  <c r="AA13" i="25"/>
  <c r="Z13" i="25"/>
  <c r="Y13" i="25"/>
  <c r="X13" i="25"/>
  <c r="W13" i="25"/>
  <c r="V13" i="25"/>
  <c r="U13" i="25"/>
  <c r="T13" i="25"/>
  <c r="T21" i="25" s="1"/>
  <c r="S13" i="25"/>
  <c r="R13" i="25"/>
  <c r="Q13" i="25"/>
  <c r="P13" i="25"/>
  <c r="O13" i="25"/>
  <c r="N13" i="25"/>
  <c r="M13" i="25"/>
  <c r="L13" i="25"/>
  <c r="K13" i="25"/>
  <c r="J13" i="25"/>
  <c r="I13" i="25"/>
  <c r="H13" i="25"/>
  <c r="G13" i="25"/>
  <c r="F13" i="25"/>
  <c r="E13" i="25"/>
  <c r="D13" i="25"/>
  <c r="AA11" i="25"/>
  <c r="Z11" i="25"/>
  <c r="Z20" i="25" s="1"/>
  <c r="Y11" i="25"/>
  <c r="X11" i="25"/>
  <c r="W11" i="25"/>
  <c r="V11" i="25"/>
  <c r="U11" i="25"/>
  <c r="T11" i="25"/>
  <c r="S11" i="25"/>
  <c r="R11" i="25"/>
  <c r="Q11" i="25"/>
  <c r="Q21" i="25" s="1"/>
  <c r="P11" i="25"/>
  <c r="O11" i="25"/>
  <c r="N11" i="25"/>
  <c r="M11" i="25"/>
  <c r="L11" i="25"/>
  <c r="K11" i="25"/>
  <c r="J11" i="25"/>
  <c r="I11" i="25"/>
  <c r="H11" i="25"/>
  <c r="G11" i="25"/>
  <c r="G21" i="25" s="1"/>
  <c r="F11" i="25"/>
  <c r="E11" i="25"/>
  <c r="D11" i="25"/>
  <c r="D20" i="25" s="1"/>
  <c r="O14" i="56"/>
  <c r="O13" i="56"/>
  <c r="O12" i="56"/>
  <c r="O11" i="56"/>
  <c r="O10" i="56"/>
  <c r="O9" i="56"/>
  <c r="O8" i="56"/>
  <c r="O7" i="56"/>
  <c r="O6" i="56"/>
  <c r="O5" i="56"/>
  <c r="O4" i="56"/>
  <c r="O3" i="56"/>
  <c r="D2" i="56"/>
  <c r="E2" i="56" s="1"/>
  <c r="F2" i="56" s="1"/>
  <c r="G2" i="56" s="1"/>
  <c r="H2" i="56" s="1"/>
  <c r="I2" i="56" s="1"/>
  <c r="J2" i="56" s="1"/>
  <c r="K2" i="56" s="1"/>
  <c r="L2" i="56" s="1"/>
  <c r="M2" i="56" s="1"/>
  <c r="N2" i="56" s="1"/>
  <c r="I6" i="71"/>
  <c r="I5" i="71"/>
  <c r="H5" i="71"/>
  <c r="J4" i="71"/>
  <c r="I4" i="71"/>
  <c r="H4" i="71"/>
  <c r="G4" i="71"/>
  <c r="F4" i="71"/>
  <c r="J3" i="71"/>
  <c r="E3" i="71"/>
  <c r="C3" i="71"/>
  <c r="H2" i="71"/>
  <c r="G2" i="71"/>
  <c r="F2" i="71"/>
  <c r="D2" i="71"/>
  <c r="AB90" i="80"/>
  <c r="AA85" i="80"/>
  <c r="Z85" i="80"/>
  <c r="X85" i="80"/>
  <c r="W85" i="80"/>
  <c r="V85" i="80"/>
  <c r="U85" i="80"/>
  <c r="T85" i="80"/>
  <c r="S85" i="80"/>
  <c r="R85" i="80"/>
  <c r="Q85" i="80"/>
  <c r="P85" i="80"/>
  <c r="O85" i="80"/>
  <c r="N85" i="80"/>
  <c r="M85" i="80"/>
  <c r="L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J23" i="35"/>
  <c r="I23" i="35"/>
  <c r="H23" i="35"/>
  <c r="G23" i="35"/>
  <c r="F23" i="35"/>
  <c r="E23" i="35"/>
  <c r="D23" i="35"/>
  <c r="E25" i="55" s="1"/>
  <c r="E121" i="55" s="1"/>
  <c r="C23" i="35"/>
  <c r="C22" i="35"/>
  <c r="D24" i="55" s="1"/>
  <c r="C21" i="35"/>
  <c r="K16" i="35"/>
  <c r="J16" i="35"/>
  <c r="I16" i="35"/>
  <c r="J18" i="55" s="1"/>
  <c r="H16" i="35"/>
  <c r="D16" i="35"/>
  <c r="K15" i="35"/>
  <c r="J15" i="35"/>
  <c r="I15" i="35"/>
  <c r="H15" i="35"/>
  <c r="I17" i="55" s="1"/>
  <c r="K14" i="35"/>
  <c r="J14" i="35"/>
  <c r="I14" i="35"/>
  <c r="H14" i="35"/>
  <c r="G14" i="35"/>
  <c r="F14" i="35"/>
  <c r="E14" i="35"/>
  <c r="D14" i="35"/>
  <c r="C14" i="35"/>
  <c r="K13" i="35"/>
  <c r="J13" i="35"/>
  <c r="K15" i="55" s="1"/>
  <c r="K79" i="55" s="1"/>
  <c r="I13" i="35"/>
  <c r="H13" i="35"/>
  <c r="G13" i="35"/>
  <c r="F13" i="35"/>
  <c r="E13" i="35"/>
  <c r="D13" i="35"/>
  <c r="C13" i="35"/>
  <c r="C12" i="35"/>
  <c r="D14" i="55" s="1"/>
  <c r="D78" i="55" s="1"/>
  <c r="C11" i="35"/>
  <c r="C10" i="35"/>
  <c r="K9" i="35"/>
  <c r="L11" i="55" s="1"/>
  <c r="L75" i="55" s="1"/>
  <c r="J9" i="35"/>
  <c r="I9" i="35"/>
  <c r="H9" i="35"/>
  <c r="I11" i="55" s="1"/>
  <c r="G9" i="35"/>
  <c r="F9" i="35"/>
  <c r="E9" i="35"/>
  <c r="D9" i="35"/>
  <c r="C9" i="35"/>
  <c r="C8" i="35"/>
  <c r="D10" i="55" s="1"/>
  <c r="K7" i="35"/>
  <c r="J7" i="35"/>
  <c r="I7" i="35"/>
  <c r="H7" i="35"/>
  <c r="G7" i="35"/>
  <c r="F7" i="35"/>
  <c r="G9" i="55" s="1"/>
  <c r="G105" i="55" s="1"/>
  <c r="D7" i="35"/>
  <c r="C7" i="35"/>
  <c r="K6" i="35"/>
  <c r="C5" i="35"/>
  <c r="C4" i="35"/>
  <c r="I128" i="55"/>
  <c r="G126" i="55"/>
  <c r="I125" i="55"/>
  <c r="J124" i="55"/>
  <c r="F124" i="55"/>
  <c r="J112" i="55"/>
  <c r="K94" i="55"/>
  <c r="D94" i="55"/>
  <c r="F92" i="55"/>
  <c r="K82" i="55"/>
  <c r="D80" i="55"/>
  <c r="J79" i="55"/>
  <c r="G75" i="55"/>
  <c r="L32" i="55"/>
  <c r="K32" i="55"/>
  <c r="K128" i="55" s="1"/>
  <c r="J32" i="55"/>
  <c r="J128" i="55" s="1"/>
  <c r="I32" i="55"/>
  <c r="I96" i="55" s="1"/>
  <c r="H32" i="55"/>
  <c r="H128" i="55" s="1"/>
  <c r="D32" i="55"/>
  <c r="D96" i="55" s="1"/>
  <c r="L31" i="55"/>
  <c r="L95" i="55" s="1"/>
  <c r="G31" i="55"/>
  <c r="D31" i="55"/>
  <c r="L30" i="55"/>
  <c r="L94" i="55" s="1"/>
  <c r="K30" i="55"/>
  <c r="K126" i="55" s="1"/>
  <c r="J30" i="55"/>
  <c r="J94" i="55" s="1"/>
  <c r="I30" i="55"/>
  <c r="I126" i="55" s="1"/>
  <c r="H30" i="55"/>
  <c r="H94" i="55" s="1"/>
  <c r="G30" i="55"/>
  <c r="G94" i="55" s="1"/>
  <c r="D30" i="55"/>
  <c r="D126" i="55" s="1"/>
  <c r="J29" i="55"/>
  <c r="J125" i="55" s="1"/>
  <c r="I29" i="55"/>
  <c r="I93" i="55" s="1"/>
  <c r="H29" i="55"/>
  <c r="H125" i="55" s="1"/>
  <c r="E29" i="55"/>
  <c r="E125" i="55" s="1"/>
  <c r="D29" i="55"/>
  <c r="D93" i="55" s="1"/>
  <c r="J28" i="55"/>
  <c r="J92" i="55" s="1"/>
  <c r="I28" i="55"/>
  <c r="I124" i="55" s="1"/>
  <c r="H28" i="55"/>
  <c r="H124" i="55" s="1"/>
  <c r="F28" i="55"/>
  <c r="E28" i="55"/>
  <c r="E124" i="55" s="1"/>
  <c r="D28" i="55"/>
  <c r="D124" i="55" s="1"/>
  <c r="L25" i="55"/>
  <c r="L89" i="55" s="1"/>
  <c r="K25" i="55"/>
  <c r="K121" i="55" s="1"/>
  <c r="J25" i="55"/>
  <c r="J121" i="55" s="1"/>
  <c r="I25" i="55"/>
  <c r="I121" i="55" s="1"/>
  <c r="H25" i="55"/>
  <c r="H89" i="55" s="1"/>
  <c r="G25" i="55"/>
  <c r="F25" i="55"/>
  <c r="F121" i="55" s="1"/>
  <c r="D25" i="55"/>
  <c r="D89" i="55" s="1"/>
  <c r="C25" i="55"/>
  <c r="B25" i="55"/>
  <c r="C24" i="55"/>
  <c r="B24" i="55"/>
  <c r="D23" i="55"/>
  <c r="D119" i="55" s="1"/>
  <c r="C23" i="55"/>
  <c r="B23" i="55"/>
  <c r="C22" i="55"/>
  <c r="B22" i="55"/>
  <c r="C21" i="55"/>
  <c r="B21" i="55"/>
  <c r="C20" i="55"/>
  <c r="B20" i="55"/>
  <c r="C19" i="55"/>
  <c r="B19" i="55"/>
  <c r="L18" i="55"/>
  <c r="L82" i="55" s="1"/>
  <c r="K18" i="55"/>
  <c r="K114" i="55" s="1"/>
  <c r="I18" i="55"/>
  <c r="I114" i="55" s="1"/>
  <c r="E18" i="55"/>
  <c r="E114" i="55" s="1"/>
  <c r="C18" i="55"/>
  <c r="B18" i="55"/>
  <c r="L17" i="55"/>
  <c r="K17" i="55"/>
  <c r="J17" i="55"/>
  <c r="C17" i="55"/>
  <c r="B17" i="55"/>
  <c r="L16" i="55"/>
  <c r="L80" i="55" s="1"/>
  <c r="K16" i="55"/>
  <c r="K112" i="55" s="1"/>
  <c r="J16" i="55"/>
  <c r="J80" i="55" s="1"/>
  <c r="I16" i="55"/>
  <c r="I112" i="55" s="1"/>
  <c r="H16" i="55"/>
  <c r="H112" i="55" s="1"/>
  <c r="G16" i="55"/>
  <c r="G112" i="55" s="1"/>
  <c r="F16" i="55"/>
  <c r="F80" i="55" s="1"/>
  <c r="E16" i="55"/>
  <c r="D16" i="55"/>
  <c r="D112" i="55" s="1"/>
  <c r="C16" i="55"/>
  <c r="B16" i="55"/>
  <c r="L15" i="55"/>
  <c r="L79" i="55" s="1"/>
  <c r="J15" i="55"/>
  <c r="J111" i="55" s="1"/>
  <c r="I15" i="55"/>
  <c r="H15" i="55"/>
  <c r="H111" i="55" s="1"/>
  <c r="G15" i="55"/>
  <c r="G79" i="55" s="1"/>
  <c r="F15" i="55"/>
  <c r="E15" i="55"/>
  <c r="D15" i="55"/>
  <c r="D111" i="55" s="1"/>
  <c r="C15" i="55"/>
  <c r="B15" i="55"/>
  <c r="C14" i="55"/>
  <c r="B14" i="55"/>
  <c r="D13" i="55"/>
  <c r="D109" i="55" s="1"/>
  <c r="C13" i="55"/>
  <c r="B13" i="55"/>
  <c r="D12" i="55"/>
  <c r="C12" i="55"/>
  <c r="B12" i="55"/>
  <c r="K11" i="55"/>
  <c r="K107" i="55" s="1"/>
  <c r="J11" i="55"/>
  <c r="H11" i="55"/>
  <c r="H75" i="55" s="1"/>
  <c r="G11" i="55"/>
  <c r="G107" i="55" s="1"/>
  <c r="F11" i="55"/>
  <c r="E11" i="55"/>
  <c r="E107" i="55" s="1"/>
  <c r="D11" i="55"/>
  <c r="D75" i="55" s="1"/>
  <c r="C11" i="55"/>
  <c r="B11" i="55"/>
  <c r="C10" i="55"/>
  <c r="B10" i="55"/>
  <c r="L9" i="55"/>
  <c r="L73" i="55" s="1"/>
  <c r="K9" i="55"/>
  <c r="K105" i="55" s="1"/>
  <c r="J9" i="55"/>
  <c r="J73" i="55" s="1"/>
  <c r="I9" i="55"/>
  <c r="I73" i="55" s="1"/>
  <c r="H9" i="55"/>
  <c r="H105" i="55" s="1"/>
  <c r="E9" i="55"/>
  <c r="E73" i="55" s="1"/>
  <c r="D9" i="55"/>
  <c r="D73" i="55" s="1"/>
  <c r="C9" i="55"/>
  <c r="B9" i="55"/>
  <c r="L8" i="55"/>
  <c r="C8" i="55"/>
  <c r="B8" i="55"/>
  <c r="D7" i="55"/>
  <c r="D71" i="55" s="1"/>
  <c r="C7" i="55"/>
  <c r="B7" i="55"/>
  <c r="D6" i="55"/>
  <c r="D70" i="55" s="1"/>
  <c r="C6" i="55"/>
  <c r="B6" i="55"/>
  <c r="L5" i="55"/>
  <c r="L69" i="55" s="1"/>
  <c r="C5" i="55"/>
  <c r="B5" i="55"/>
  <c r="C4" i="55"/>
  <c r="B4" i="55"/>
  <c r="C3" i="55"/>
  <c r="B3" i="55"/>
  <c r="T11" i="50"/>
  <c r="S11" i="50"/>
  <c r="R11" i="50"/>
  <c r="Q11" i="50"/>
  <c r="P11" i="50"/>
  <c r="O11" i="50"/>
  <c r="N11" i="50"/>
  <c r="M11" i="50"/>
  <c r="L11" i="50"/>
  <c r="K11" i="50"/>
  <c r="J11" i="50"/>
  <c r="I11" i="50"/>
  <c r="H11" i="50"/>
  <c r="G11" i="50"/>
  <c r="F11" i="50"/>
  <c r="E11" i="50"/>
  <c r="D11" i="50"/>
  <c r="T10" i="50"/>
  <c r="S10" i="50"/>
  <c r="R10" i="50"/>
  <c r="Q10" i="50"/>
  <c r="P10" i="50"/>
  <c r="O10" i="50"/>
  <c r="N10" i="50"/>
  <c r="M10" i="50"/>
  <c r="L10" i="50"/>
  <c r="K10" i="50"/>
  <c r="O9" i="50"/>
  <c r="J9" i="50"/>
  <c r="I9" i="50"/>
  <c r="H9" i="50"/>
  <c r="G9" i="50"/>
  <c r="F9" i="50"/>
  <c r="E9" i="50"/>
  <c r="D9" i="50"/>
  <c r="T8" i="50"/>
  <c r="S8" i="50"/>
  <c r="R8" i="50"/>
  <c r="Q8" i="50"/>
  <c r="P8" i="50"/>
  <c r="O8" i="50"/>
  <c r="N8" i="50"/>
  <c r="T7" i="50"/>
  <c r="S7" i="50"/>
  <c r="R7" i="50"/>
  <c r="Q7" i="50"/>
  <c r="P7" i="50"/>
  <c r="O7" i="50"/>
  <c r="N7" i="50"/>
  <c r="M7" i="50"/>
  <c r="L7" i="50"/>
  <c r="K7" i="50"/>
  <c r="J7" i="50"/>
  <c r="I7" i="50"/>
  <c r="H7" i="50"/>
  <c r="G7" i="50"/>
  <c r="F7" i="50"/>
  <c r="E7" i="50"/>
  <c r="D7" i="50"/>
  <c r="T6" i="50"/>
  <c r="S6" i="50"/>
  <c r="R6" i="50"/>
  <c r="Q6" i="50"/>
  <c r="L6" i="50"/>
  <c r="J6" i="50"/>
  <c r="I6" i="50"/>
  <c r="H6" i="50"/>
  <c r="G6" i="50"/>
  <c r="E6" i="50"/>
  <c r="D6" i="50"/>
  <c r="G5" i="50"/>
  <c r="F5" i="50"/>
  <c r="E5" i="50"/>
  <c r="D5" i="50"/>
  <c r="R4" i="50"/>
  <c r="M4" i="50"/>
  <c r="E4" i="50"/>
  <c r="D4" i="50"/>
  <c r="G81" i="46"/>
  <c r="F81" i="46"/>
  <c r="E81" i="46"/>
  <c r="C81" i="46"/>
  <c r="E80" i="46"/>
  <c r="F80" i="46" s="1"/>
  <c r="G80" i="46" s="1"/>
  <c r="C80" i="46"/>
  <c r="E79" i="46"/>
  <c r="F79" i="46" s="1"/>
  <c r="G79" i="46" s="1"/>
  <c r="C79" i="46"/>
  <c r="E78" i="46"/>
  <c r="F78" i="46" s="1"/>
  <c r="G78" i="46" s="1"/>
  <c r="C78" i="46"/>
  <c r="E77" i="46"/>
  <c r="F77" i="46" s="1"/>
  <c r="G77" i="46" s="1"/>
  <c r="C77" i="46"/>
  <c r="F76" i="46"/>
  <c r="G76" i="46" s="1"/>
  <c r="E76" i="46"/>
  <c r="C76" i="46"/>
  <c r="G75" i="46"/>
  <c r="F75" i="46"/>
  <c r="E75" i="46"/>
  <c r="C75" i="46"/>
  <c r="F74" i="46"/>
  <c r="G74" i="46" s="1"/>
  <c r="E74" i="46"/>
  <c r="C74" i="46"/>
  <c r="G73" i="46"/>
  <c r="F73" i="46"/>
  <c r="E73" i="46"/>
  <c r="C73" i="46"/>
  <c r="E72" i="46"/>
  <c r="F72" i="46" s="1"/>
  <c r="G72" i="46" s="1"/>
  <c r="C72" i="46"/>
  <c r="F71" i="46"/>
  <c r="G71" i="46" s="1"/>
  <c r="E71" i="46"/>
  <c r="C71" i="46"/>
  <c r="E70" i="46"/>
  <c r="F70" i="46" s="1"/>
  <c r="G70" i="46" s="1"/>
  <c r="C70" i="46"/>
  <c r="F69" i="46"/>
  <c r="G69" i="46" s="1"/>
  <c r="E69" i="46"/>
  <c r="C69" i="46"/>
  <c r="G68" i="46"/>
  <c r="F68" i="46"/>
  <c r="E68" i="46"/>
  <c r="C68" i="46"/>
  <c r="E67" i="46"/>
  <c r="F67" i="46" s="1"/>
  <c r="G67" i="46" s="1"/>
  <c r="C67" i="46"/>
  <c r="E66" i="46"/>
  <c r="F66" i="46" s="1"/>
  <c r="G66" i="46" s="1"/>
  <c r="C66" i="46"/>
  <c r="E65" i="46"/>
  <c r="F65" i="46" s="1"/>
  <c r="G65" i="46" s="1"/>
  <c r="C65" i="46"/>
  <c r="F64" i="46"/>
  <c r="G64" i="46" s="1"/>
  <c r="E64" i="46"/>
  <c r="C64" i="46"/>
  <c r="E63" i="46"/>
  <c r="F63" i="46" s="1"/>
  <c r="G63" i="46" s="1"/>
  <c r="C63" i="46"/>
  <c r="F62" i="46"/>
  <c r="G62" i="46" s="1"/>
  <c r="E62" i="46"/>
  <c r="C62" i="46"/>
  <c r="G61" i="46"/>
  <c r="F61" i="46"/>
  <c r="E61" i="46"/>
  <c r="C61" i="46"/>
  <c r="F60" i="46"/>
  <c r="G60" i="46" s="1"/>
  <c r="E60" i="46"/>
  <c r="C60" i="46"/>
  <c r="E59" i="46"/>
  <c r="F59" i="46" s="1"/>
  <c r="G59" i="46" s="1"/>
  <c r="C59" i="46"/>
  <c r="E58" i="46"/>
  <c r="F58" i="46" s="1"/>
  <c r="G58" i="46" s="1"/>
  <c r="C58" i="46"/>
  <c r="E57" i="46"/>
  <c r="F57" i="46" s="1"/>
  <c r="C57" i="46"/>
  <c r="F56" i="46"/>
  <c r="G56" i="46" s="1"/>
  <c r="E56" i="46"/>
  <c r="C56" i="46"/>
  <c r="E55" i="46"/>
  <c r="F55" i="46" s="1"/>
  <c r="G55" i="46" s="1"/>
  <c r="C55" i="46"/>
  <c r="E54" i="46"/>
  <c r="F54" i="46" s="1"/>
  <c r="G54" i="46" s="1"/>
  <c r="C54" i="46"/>
  <c r="F53" i="46"/>
  <c r="G53" i="46" s="1"/>
  <c r="E53" i="46"/>
  <c r="C53" i="46"/>
  <c r="E52" i="46"/>
  <c r="F52" i="46" s="1"/>
  <c r="G52" i="46" s="1"/>
  <c r="C52" i="46"/>
  <c r="E51" i="46"/>
  <c r="F51" i="46" s="1"/>
  <c r="G51" i="46" s="1"/>
  <c r="C51" i="46"/>
  <c r="E50" i="46"/>
  <c r="F50" i="46" s="1"/>
  <c r="G50" i="46" s="1"/>
  <c r="C50" i="46"/>
  <c r="F49" i="46"/>
  <c r="G49" i="46" s="1"/>
  <c r="E49" i="46"/>
  <c r="C49" i="46"/>
  <c r="E48" i="46"/>
  <c r="F48" i="46" s="1"/>
  <c r="G48" i="46" s="1"/>
  <c r="C48" i="46"/>
  <c r="E47" i="46"/>
  <c r="F47" i="46" s="1"/>
  <c r="G47" i="46" s="1"/>
  <c r="C47" i="46"/>
  <c r="F46" i="46"/>
  <c r="G46" i="46" s="1"/>
  <c r="E46" i="46"/>
  <c r="C46" i="46"/>
  <c r="G45" i="46"/>
  <c r="F45" i="46"/>
  <c r="E45" i="46"/>
  <c r="C45" i="46"/>
  <c r="E44" i="46"/>
  <c r="F44" i="46" s="1"/>
  <c r="G44" i="46" s="1"/>
  <c r="C44" i="46"/>
  <c r="E43" i="46"/>
  <c r="F43" i="46" s="1"/>
  <c r="G43" i="46" s="1"/>
  <c r="C43" i="46"/>
  <c r="F42" i="46"/>
  <c r="G42" i="46" s="1"/>
  <c r="E42" i="46"/>
  <c r="C42" i="46"/>
  <c r="G41" i="46"/>
  <c r="F41" i="46"/>
  <c r="E41" i="46"/>
  <c r="C41" i="46"/>
  <c r="F40" i="46"/>
  <c r="G40" i="46" s="1"/>
  <c r="E40" i="46"/>
  <c r="C40" i="46"/>
  <c r="E39" i="46"/>
  <c r="F39" i="46" s="1"/>
  <c r="G39" i="46" s="1"/>
  <c r="C39" i="46"/>
  <c r="E38" i="46"/>
  <c r="F38" i="46" s="1"/>
  <c r="G38" i="46" s="1"/>
  <c r="C38" i="46"/>
  <c r="E37" i="46"/>
  <c r="F37" i="46" s="1"/>
  <c r="G37" i="46" s="1"/>
  <c r="C37" i="46"/>
  <c r="G36" i="46"/>
  <c r="E36" i="46"/>
  <c r="F36" i="46" s="1"/>
  <c r="C36" i="46"/>
  <c r="E35" i="46"/>
  <c r="F35" i="46" s="1"/>
  <c r="G35" i="46" s="1"/>
  <c r="C35" i="46"/>
  <c r="E34" i="46"/>
  <c r="F34" i="46" s="1"/>
  <c r="G34" i="46" s="1"/>
  <c r="C34" i="46"/>
  <c r="E33" i="46"/>
  <c r="F33" i="46" s="1"/>
  <c r="G33" i="46" s="1"/>
  <c r="C33" i="46"/>
  <c r="G32" i="46"/>
  <c r="F32" i="46"/>
  <c r="E32" i="46"/>
  <c r="C32" i="46"/>
  <c r="E31" i="46"/>
  <c r="F31" i="46" s="1"/>
  <c r="G31" i="46" s="1"/>
  <c r="F30" i="46"/>
  <c r="G30" i="46" s="1"/>
  <c r="E30" i="46"/>
  <c r="E29" i="46"/>
  <c r="F29" i="46" s="1"/>
  <c r="G29" i="46" s="1"/>
  <c r="E28" i="46"/>
  <c r="F28" i="46" s="1"/>
  <c r="G28" i="46" s="1"/>
  <c r="E27" i="46"/>
  <c r="F27" i="46" s="1"/>
  <c r="G27" i="46" s="1"/>
  <c r="C27" i="46"/>
  <c r="F26" i="46"/>
  <c r="G26" i="46" s="1"/>
  <c r="E26" i="46"/>
  <c r="C26" i="46"/>
  <c r="G25" i="46"/>
  <c r="F25" i="46"/>
  <c r="E25" i="46"/>
  <c r="C25" i="46"/>
  <c r="F24" i="46"/>
  <c r="G24" i="46" s="1"/>
  <c r="E24" i="46"/>
  <c r="C24" i="46"/>
  <c r="E23" i="46"/>
  <c r="F23" i="46" s="1"/>
  <c r="G23" i="46" s="1"/>
  <c r="C23" i="46"/>
  <c r="E22" i="46"/>
  <c r="F22" i="46" s="1"/>
  <c r="G22" i="46" s="1"/>
  <c r="C22" i="46"/>
  <c r="G21" i="46"/>
  <c r="E21" i="46"/>
  <c r="F21" i="46" s="1"/>
  <c r="C21" i="46"/>
  <c r="F20" i="46"/>
  <c r="G20" i="46" s="1"/>
  <c r="E20" i="46"/>
  <c r="C20" i="46"/>
  <c r="E19" i="46"/>
  <c r="F19" i="46" s="1"/>
  <c r="G19" i="46" s="1"/>
  <c r="C19" i="46"/>
  <c r="E18" i="46"/>
  <c r="F18" i="46" s="1"/>
  <c r="G18" i="46" s="1"/>
  <c r="C18" i="46"/>
  <c r="F17" i="46"/>
  <c r="G17" i="46" s="1"/>
  <c r="E17" i="46"/>
  <c r="C17" i="46"/>
  <c r="E16" i="46"/>
  <c r="F16" i="46" s="1"/>
  <c r="G16" i="46" s="1"/>
  <c r="C16" i="46"/>
  <c r="E15" i="46"/>
  <c r="F15" i="46" s="1"/>
  <c r="G15" i="46" s="1"/>
  <c r="C15" i="46"/>
  <c r="E14" i="46"/>
  <c r="F14" i="46" s="1"/>
  <c r="G14" i="46" s="1"/>
  <c r="C14" i="46"/>
  <c r="F13" i="46"/>
  <c r="G13" i="46" s="1"/>
  <c r="E13" i="46"/>
  <c r="C13" i="46"/>
  <c r="E12" i="46"/>
  <c r="F12" i="46" s="1"/>
  <c r="G12" i="46" s="1"/>
  <c r="C12" i="46"/>
  <c r="F11" i="46"/>
  <c r="G11" i="46" s="1"/>
  <c r="E11" i="46"/>
  <c r="C11" i="46"/>
  <c r="G10" i="46"/>
  <c r="F10" i="46"/>
  <c r="E10" i="46"/>
  <c r="C10" i="46"/>
  <c r="F9" i="46"/>
  <c r="G9" i="46" s="1"/>
  <c r="E9" i="46"/>
  <c r="C9" i="46"/>
  <c r="E8" i="46"/>
  <c r="F8" i="46" s="1"/>
  <c r="G8" i="46" s="1"/>
  <c r="C8" i="46"/>
  <c r="G7" i="46"/>
  <c r="E7" i="46"/>
  <c r="F7" i="46" s="1"/>
  <c r="C7" i="46"/>
  <c r="G6" i="46"/>
  <c r="F6" i="46"/>
  <c r="E6" i="46"/>
  <c r="C6" i="46"/>
  <c r="F5" i="46"/>
  <c r="G5" i="46" s="1"/>
  <c r="E5" i="46"/>
  <c r="C5" i="46"/>
  <c r="E4" i="46"/>
  <c r="F4" i="46" s="1"/>
  <c r="G4" i="46" s="1"/>
  <c r="C4" i="46"/>
  <c r="E3" i="46"/>
  <c r="F3" i="46" s="1"/>
  <c r="G3" i="46" s="1"/>
  <c r="C3" i="46"/>
  <c r="C2" i="46"/>
  <c r="O23" i="74"/>
  <c r="T24" i="25"/>
  <c r="R24" i="25"/>
  <c r="Q24" i="25"/>
  <c r="U23" i="74"/>
  <c r="P24" i="25"/>
  <c r="T23" i="74"/>
  <c r="O24" i="25"/>
  <c r="R23" i="74"/>
  <c r="M24" i="25"/>
  <c r="Q23" i="74"/>
  <c r="S23" i="74"/>
  <c r="P23" i="74"/>
  <c r="M23" i="74"/>
  <c r="U24" i="25"/>
  <c r="S24" i="25"/>
  <c r="N23" i="74"/>
  <c r="N24" i="25"/>
  <c r="AB23" i="70" l="1"/>
  <c r="C2" i="71" s="1"/>
  <c r="G80" i="55"/>
  <c r="H96" i="55"/>
  <c r="E82" i="55"/>
  <c r="J96" i="55"/>
  <c r="D87" i="55"/>
  <c r="D105" i="55"/>
  <c r="J126" i="55"/>
  <c r="F89" i="55"/>
  <c r="J105" i="55"/>
  <c r="D102" i="55"/>
  <c r="G73" i="55"/>
  <c r="I89" i="55"/>
  <c r="G111" i="55"/>
  <c r="H73" i="55"/>
  <c r="D92" i="55"/>
  <c r="F112" i="55"/>
  <c r="D77" i="55"/>
  <c r="H92" i="55"/>
  <c r="E93" i="55"/>
  <c r="D121" i="55"/>
  <c r="E92" i="55"/>
  <c r="H79" i="55"/>
  <c r="H121" i="55"/>
  <c r="V12" i="74"/>
  <c r="V16" i="74"/>
  <c r="W16" i="74" s="1"/>
  <c r="X16" i="74" s="1"/>
  <c r="Y16" i="74" s="1"/>
  <c r="Z16" i="74" s="1"/>
  <c r="AA16" i="74" s="1"/>
  <c r="AB16" i="74" s="1"/>
  <c r="AC16" i="74" s="1"/>
  <c r="M20" i="25"/>
  <c r="M14" i="75" s="1"/>
  <c r="D106" i="55"/>
  <c r="D74" i="55"/>
  <c r="D108" i="55"/>
  <c r="D76" i="55"/>
  <c r="D128" i="55"/>
  <c r="E21" i="25"/>
  <c r="E20" i="25"/>
  <c r="S21" i="25"/>
  <c r="S20" i="25" s="1"/>
  <c r="AE49" i="20"/>
  <c r="G3" i="35"/>
  <c r="H5" i="55" s="1"/>
  <c r="H80" i="55"/>
  <c r="I92" i="55"/>
  <c r="D107" i="55"/>
  <c r="P19" i="74"/>
  <c r="P20" i="74"/>
  <c r="K73" i="55"/>
  <c r="I80" i="55"/>
  <c r="K111" i="55"/>
  <c r="I107" i="55"/>
  <c r="I75" i="55"/>
  <c r="AK14" i="26"/>
  <c r="R81" i="26"/>
  <c r="I111" i="55"/>
  <c r="I79" i="55"/>
  <c r="R20" i="25"/>
  <c r="R14" i="75" s="1"/>
  <c r="F14" i="59"/>
  <c r="K80" i="55"/>
  <c r="H107" i="55"/>
  <c r="D44" i="26"/>
  <c r="AK12" i="26"/>
  <c r="M16" i="26"/>
  <c r="K96" i="55"/>
  <c r="I81" i="55"/>
  <c r="I113" i="55"/>
  <c r="I21" i="25"/>
  <c r="E112" i="55"/>
  <c r="E80" i="55"/>
  <c r="J113" i="55"/>
  <c r="J81" i="55"/>
  <c r="F20" i="74"/>
  <c r="F19" i="74" s="1"/>
  <c r="T19" i="74"/>
  <c r="T20" i="74"/>
  <c r="F107" i="55"/>
  <c r="F75" i="55"/>
  <c r="K113" i="55"/>
  <c r="K81" i="55"/>
  <c r="J93" i="55"/>
  <c r="D125" i="55"/>
  <c r="L75" i="26"/>
  <c r="L20" i="26"/>
  <c r="L78" i="26" s="1"/>
  <c r="G121" i="55"/>
  <c r="G89" i="55"/>
  <c r="E89" i="55"/>
  <c r="AC13" i="25"/>
  <c r="AB15" i="25"/>
  <c r="AB14" i="25" s="1"/>
  <c r="AB11" i="25" s="1"/>
  <c r="AB20" i="25" s="1"/>
  <c r="D120" i="55"/>
  <c r="D88" i="55"/>
  <c r="G127" i="55"/>
  <c r="G95" i="55"/>
  <c r="D79" i="55"/>
  <c r="I94" i="55"/>
  <c r="E105" i="55"/>
  <c r="N21" i="25"/>
  <c r="N20" i="25" s="1"/>
  <c r="AK34" i="26"/>
  <c r="AL19" i="26" s="1"/>
  <c r="D95" i="55"/>
  <c r="D127" i="55"/>
  <c r="J107" i="55"/>
  <c r="J75" i="55"/>
  <c r="E111" i="55"/>
  <c r="E79" i="55"/>
  <c r="F111" i="55"/>
  <c r="F79" i="55"/>
  <c r="K75" i="55"/>
  <c r="I82" i="55"/>
  <c r="J89" i="55"/>
  <c r="I105" i="55"/>
  <c r="D110" i="55"/>
  <c r="J114" i="55"/>
  <c r="J82" i="55"/>
  <c r="AA14" i="75"/>
  <c r="AA15" i="59"/>
  <c r="AA14" i="59" s="1"/>
  <c r="AA63" i="59" s="1"/>
  <c r="K20" i="74"/>
  <c r="K19" i="74"/>
  <c r="U31" i="26"/>
  <c r="T31" i="26"/>
  <c r="S31" i="26"/>
  <c r="S16" i="26" s="1"/>
  <c r="S77" i="26" s="1"/>
  <c r="Q31" i="26"/>
  <c r="O31" i="26"/>
  <c r="N31" i="26"/>
  <c r="N16" i="26" s="1"/>
  <c r="N77" i="26" s="1"/>
  <c r="W31" i="26"/>
  <c r="V31" i="26"/>
  <c r="R31" i="26"/>
  <c r="X31" i="26"/>
  <c r="P31" i="26"/>
  <c r="E75" i="55"/>
  <c r="D103" i="55"/>
  <c r="F20" i="25"/>
  <c r="F14" i="75" s="1"/>
  <c r="T20" i="25"/>
  <c r="T14" i="59" s="1"/>
  <c r="T63" i="59" s="1"/>
  <c r="V14" i="25"/>
  <c r="Q19" i="74"/>
  <c r="H13" i="74"/>
  <c r="AK19" i="26"/>
  <c r="H46" i="30"/>
  <c r="H12" i="30"/>
  <c r="H93" i="55"/>
  <c r="G14" i="75"/>
  <c r="G14" i="59"/>
  <c r="G63" i="59" s="1"/>
  <c r="U21" i="25"/>
  <c r="I14" i="25"/>
  <c r="D19" i="74"/>
  <c r="D20" i="74"/>
  <c r="H19" i="74"/>
  <c r="J75" i="26"/>
  <c r="D46" i="26"/>
  <c r="AK23" i="26"/>
  <c r="Z14" i="25"/>
  <c r="D14" i="75"/>
  <c r="D14" i="59"/>
  <c r="K73" i="26"/>
  <c r="K89" i="55"/>
  <c r="J20" i="25"/>
  <c r="J14" i="75" s="1"/>
  <c r="AB16" i="25"/>
  <c r="AC16" i="25" s="1"/>
  <c r="AD16" i="25" s="1"/>
  <c r="AE16" i="25" s="1"/>
  <c r="AF16" i="25" s="1"/>
  <c r="AG16" i="25" s="1"/>
  <c r="AH16" i="25" s="1"/>
  <c r="AI16" i="25" s="1"/>
  <c r="AJ16" i="25" s="1"/>
  <c r="H14" i="59"/>
  <c r="H63" i="59" s="1"/>
  <c r="H62" i="59" s="1"/>
  <c r="H65" i="59" s="1"/>
  <c r="H20" i="25"/>
  <c r="H14" i="75" s="1"/>
  <c r="G20" i="74"/>
  <c r="G19" i="74" s="1"/>
  <c r="U20" i="74"/>
  <c r="C45" i="26"/>
  <c r="AB94" i="26"/>
  <c r="AA26" i="59"/>
  <c r="AB50" i="59"/>
  <c r="K21" i="25"/>
  <c r="AA14" i="25"/>
  <c r="AD18" i="25"/>
  <c r="AE18" i="25" s="1"/>
  <c r="AF18" i="25" s="1"/>
  <c r="AG18" i="25" s="1"/>
  <c r="AH18" i="25" s="1"/>
  <c r="AI18" i="25" s="1"/>
  <c r="AJ18" i="25" s="1"/>
  <c r="M13" i="74"/>
  <c r="M20" i="74" s="1"/>
  <c r="M19" i="74" s="1"/>
  <c r="V17" i="74"/>
  <c r="W17" i="74" s="1"/>
  <c r="X17" i="74" s="1"/>
  <c r="Y17" i="74" s="1"/>
  <c r="Z17" i="74" s="1"/>
  <c r="AA17" i="74" s="1"/>
  <c r="AB17" i="74" s="1"/>
  <c r="AC17" i="74" s="1"/>
  <c r="AA46" i="30"/>
  <c r="C6" i="35" s="1"/>
  <c r="D8" i="55" s="1"/>
  <c r="L21" i="25"/>
  <c r="Z15" i="59"/>
  <c r="Z14" i="59" s="1"/>
  <c r="Z14" i="75"/>
  <c r="K20" i="25"/>
  <c r="V15" i="74"/>
  <c r="W15" i="74" s="1"/>
  <c r="X15" i="74" s="1"/>
  <c r="Y15" i="74" s="1"/>
  <c r="Z15" i="74" s="1"/>
  <c r="AA15" i="74" s="1"/>
  <c r="AB15" i="74" s="1"/>
  <c r="AC15" i="74" s="1"/>
  <c r="U13" i="74"/>
  <c r="E46" i="26"/>
  <c r="H126" i="55"/>
  <c r="O21" i="25"/>
  <c r="N76" i="26"/>
  <c r="O28" i="26"/>
  <c r="N15" i="26"/>
  <c r="H45" i="75"/>
  <c r="H46" i="75" s="1"/>
  <c r="H37" i="59"/>
  <c r="H30" i="49"/>
  <c r="R13" i="74"/>
  <c r="R20" i="74" s="1"/>
  <c r="R19" i="74" s="1"/>
  <c r="M27" i="26"/>
  <c r="M76" i="26"/>
  <c r="M15" i="26"/>
  <c r="AH94" i="26"/>
  <c r="J3" i="35" s="1"/>
  <c r="K5" i="55" s="1"/>
  <c r="AG94" i="26"/>
  <c r="S94" i="26"/>
  <c r="AF94" i="26"/>
  <c r="R94" i="26"/>
  <c r="AD94" i="26"/>
  <c r="AC94" i="26"/>
  <c r="H49" i="20"/>
  <c r="H51" i="20" s="1"/>
  <c r="H29" i="20" s="1"/>
  <c r="X94" i="26"/>
  <c r="W94" i="26"/>
  <c r="Z94" i="26"/>
  <c r="U94" i="26"/>
  <c r="AJ94" i="26"/>
  <c r="P21" i="25"/>
  <c r="N20" i="74"/>
  <c r="N19" i="74" s="1"/>
  <c r="S13" i="74"/>
  <c r="S20" i="74" s="1"/>
  <c r="S19" i="74" s="1"/>
  <c r="X16" i="26"/>
  <c r="X77" i="26" s="1"/>
  <c r="AK29" i="26"/>
  <c r="I51" i="20"/>
  <c r="I13" i="20" s="1"/>
  <c r="I28" i="20"/>
  <c r="W28" i="20"/>
  <c r="X27" i="20"/>
  <c r="W27" i="20"/>
  <c r="E131" i="75"/>
  <c r="E132" i="75" s="1"/>
  <c r="E134" i="75"/>
  <c r="P15" i="33"/>
  <c r="P17" i="75"/>
  <c r="E96" i="59"/>
  <c r="E97" i="59" s="1"/>
  <c r="F22" i="33"/>
  <c r="E99" i="59"/>
  <c r="Q15" i="33"/>
  <c r="M11" i="26"/>
  <c r="AA11" i="26"/>
  <c r="C49" i="26"/>
  <c r="I15" i="30"/>
  <c r="P17" i="59"/>
  <c r="V34" i="75"/>
  <c r="W85" i="75"/>
  <c r="V24" i="75"/>
  <c r="O20" i="25"/>
  <c r="J19" i="74"/>
  <c r="J81" i="26"/>
  <c r="T94" i="26"/>
  <c r="L12" i="49"/>
  <c r="D18" i="49" s="1"/>
  <c r="D19" i="49" s="1"/>
  <c r="Z12" i="49"/>
  <c r="Q20" i="25"/>
  <c r="Q14" i="75" s="1"/>
  <c r="L20" i="74"/>
  <c r="L19" i="74" s="1"/>
  <c r="AB11" i="20"/>
  <c r="M28" i="20"/>
  <c r="AB28" i="20"/>
  <c r="I12" i="30"/>
  <c r="AB13" i="26"/>
  <c r="O30" i="26"/>
  <c r="N28" i="20"/>
  <c r="O27" i="20"/>
  <c r="N27" i="20"/>
  <c r="M15" i="30"/>
  <c r="AA15" i="30"/>
  <c r="AD54" i="30"/>
  <c r="I46" i="30"/>
  <c r="C56" i="26"/>
  <c r="C51" i="26" s="1"/>
  <c r="Y46" i="30"/>
  <c r="M13" i="30"/>
  <c r="M12" i="30" s="1"/>
  <c r="AA13" i="30"/>
  <c r="AA12" i="30" s="1"/>
  <c r="AB12" i="30" s="1"/>
  <c r="N15" i="30"/>
  <c r="L27" i="49"/>
  <c r="Z45" i="75"/>
  <c r="Z29" i="49"/>
  <c r="Z30" i="49" s="1"/>
  <c r="Z37" i="59"/>
  <c r="E18" i="49"/>
  <c r="E19" i="49" s="1"/>
  <c r="R45" i="75"/>
  <c r="R46" i="75" s="1"/>
  <c r="R48" i="75" s="1"/>
  <c r="R30" i="49"/>
  <c r="R37" i="59"/>
  <c r="R38" i="59" s="1"/>
  <c r="R40" i="59" s="1"/>
  <c r="R29" i="49"/>
  <c r="Q16" i="26"/>
  <c r="Q77" i="26" s="1"/>
  <c r="Y94" i="26"/>
  <c r="L12" i="30"/>
  <c r="T37" i="59"/>
  <c r="T38" i="59" s="1"/>
  <c r="T29" i="49"/>
  <c r="T30" i="49" s="1"/>
  <c r="T45" i="75"/>
  <c r="T46" i="75" s="1"/>
  <c r="G11" i="26"/>
  <c r="G20" i="26" s="1"/>
  <c r="U11" i="26"/>
  <c r="AM13" i="26"/>
  <c r="W16" i="26"/>
  <c r="W77" i="26" s="1"/>
  <c r="E44" i="26"/>
  <c r="T30" i="26"/>
  <c r="S30" i="26"/>
  <c r="R30" i="26"/>
  <c r="P30" i="26"/>
  <c r="N30" i="26"/>
  <c r="N27" i="26" s="1"/>
  <c r="M30" i="26"/>
  <c r="AA94" i="26"/>
  <c r="R28" i="20"/>
  <c r="R27" i="20"/>
  <c r="O15" i="30"/>
  <c r="N50" i="59"/>
  <c r="N26" i="59" s="1"/>
  <c r="N52" i="59"/>
  <c r="D45" i="26"/>
  <c r="V32" i="26"/>
  <c r="U32" i="26"/>
  <c r="U16" i="26" s="1"/>
  <c r="U77" i="26" s="1"/>
  <c r="T32" i="26"/>
  <c r="T16" i="26" s="1"/>
  <c r="T77" i="26" s="1"/>
  <c r="R32" i="26"/>
  <c r="R16" i="26" s="1"/>
  <c r="R77" i="26" s="1"/>
  <c r="P32" i="26"/>
  <c r="P16" i="26" s="1"/>
  <c r="P77" i="26" s="1"/>
  <c r="O32" i="26"/>
  <c r="O16" i="26" s="1"/>
  <c r="O77" i="26" s="1"/>
  <c r="AC17" i="30"/>
  <c r="AB15" i="30"/>
  <c r="K46" i="30"/>
  <c r="N29" i="49"/>
  <c r="N27" i="49"/>
  <c r="V45" i="75"/>
  <c r="V37" i="59"/>
  <c r="D17" i="75"/>
  <c r="D17" i="59"/>
  <c r="C25" i="33"/>
  <c r="R17" i="75"/>
  <c r="R17" i="59"/>
  <c r="R15" i="33"/>
  <c r="E15" i="33"/>
  <c r="F26" i="33"/>
  <c r="L46" i="30"/>
  <c r="H51" i="49"/>
  <c r="AA13" i="33"/>
  <c r="Y13" i="33"/>
  <c r="X13" i="33"/>
  <c r="K64" i="59"/>
  <c r="P27" i="20"/>
  <c r="P29" i="49"/>
  <c r="P27" i="49"/>
  <c r="X45" i="75"/>
  <c r="X29" i="49"/>
  <c r="X37" i="59"/>
  <c r="I51" i="49"/>
  <c r="F17" i="75"/>
  <c r="F17" i="59"/>
  <c r="F15" i="33"/>
  <c r="F131" i="75"/>
  <c r="F134" i="75"/>
  <c r="F96" i="59"/>
  <c r="T17" i="59"/>
  <c r="F99" i="59"/>
  <c r="T15" i="33"/>
  <c r="T17" i="75"/>
  <c r="F38" i="59"/>
  <c r="AB70" i="59"/>
  <c r="F18" i="49"/>
  <c r="F19" i="49" s="1"/>
  <c r="F20" i="49" s="1"/>
  <c r="AA45" i="75"/>
  <c r="AA37" i="59"/>
  <c r="AA30" i="49"/>
  <c r="AD13" i="33"/>
  <c r="AC13" i="33"/>
  <c r="AB13" i="33"/>
  <c r="AB10" i="33" s="1"/>
  <c r="F38" i="75"/>
  <c r="F99" i="75"/>
  <c r="H17" i="75"/>
  <c r="H17" i="59"/>
  <c r="D25" i="33"/>
  <c r="V17" i="75"/>
  <c r="V17" i="59"/>
  <c r="W15" i="33"/>
  <c r="Y50" i="59"/>
  <c r="Y26" i="59" s="1"/>
  <c r="O46" i="30"/>
  <c r="E37" i="59"/>
  <c r="E38" i="59" s="1"/>
  <c r="E40" i="59" s="1"/>
  <c r="E45" i="75"/>
  <c r="E30" i="49"/>
  <c r="S37" i="59"/>
  <c r="S38" i="59" s="1"/>
  <c r="S45" i="75"/>
  <c r="S30" i="49"/>
  <c r="S15" i="33"/>
  <c r="F29" i="49"/>
  <c r="F30" i="49" s="1"/>
  <c r="D45" i="75"/>
  <c r="D46" i="75" s="1"/>
  <c r="D37" i="59"/>
  <c r="D38" i="59" s="1"/>
  <c r="D30" i="49"/>
  <c r="Q52" i="59"/>
  <c r="X52" i="59"/>
  <c r="W50" i="59"/>
  <c r="W26" i="59" s="1"/>
  <c r="U52" i="59"/>
  <c r="P50" i="59"/>
  <c r="P26" i="59" s="1"/>
  <c r="O52" i="59"/>
  <c r="J50" i="59"/>
  <c r="J26" i="59" s="1"/>
  <c r="J64" i="59" s="1"/>
  <c r="V50" i="59"/>
  <c r="V26" i="59" s="1"/>
  <c r="V52" i="59"/>
  <c r="AB69" i="59"/>
  <c r="AB71" i="59" s="1"/>
  <c r="N12" i="30"/>
  <c r="G45" i="75"/>
  <c r="G46" i="75" s="1"/>
  <c r="G37" i="59"/>
  <c r="G38" i="59" s="1"/>
  <c r="G40" i="59" s="1"/>
  <c r="U37" i="59"/>
  <c r="U45" i="75"/>
  <c r="U29" i="49"/>
  <c r="U30" i="49" s="1"/>
  <c r="AB12" i="49"/>
  <c r="AC12" i="49" s="1"/>
  <c r="AD12" i="49" s="1"/>
  <c r="AE12" i="49" s="1"/>
  <c r="AF12" i="49" s="1"/>
  <c r="AG12" i="49" s="1"/>
  <c r="AH12" i="49" s="1"/>
  <c r="AI12" i="49" s="1"/>
  <c r="AJ12" i="49" s="1"/>
  <c r="F45" i="75"/>
  <c r="F37" i="59"/>
  <c r="K17" i="75"/>
  <c r="K15" i="33"/>
  <c r="Y17" i="75"/>
  <c r="Y15" i="33"/>
  <c r="H22" i="33"/>
  <c r="J26" i="33"/>
  <c r="E64" i="59"/>
  <c r="E30" i="59"/>
  <c r="O45" i="75"/>
  <c r="P87" i="75"/>
  <c r="P85" i="75"/>
  <c r="H28" i="20"/>
  <c r="S46" i="30"/>
  <c r="I29" i="49"/>
  <c r="I45" i="75"/>
  <c r="I46" i="75" s="1"/>
  <c r="I48" i="75" s="1"/>
  <c r="I30" i="49"/>
  <c r="I37" i="59"/>
  <c r="I38" i="59" s="1"/>
  <c r="I40" i="59" s="1"/>
  <c r="Q30" i="49"/>
  <c r="G30" i="59"/>
  <c r="G64" i="59"/>
  <c r="K50" i="59"/>
  <c r="K26" i="59" s="1"/>
  <c r="J29" i="49"/>
  <c r="N12" i="49"/>
  <c r="J27" i="49"/>
  <c r="V30" i="49"/>
  <c r="Z13" i="33"/>
  <c r="Y17" i="59"/>
  <c r="I50" i="59"/>
  <c r="I26" i="59" s="1"/>
  <c r="I64" i="59" s="1"/>
  <c r="L50" i="59"/>
  <c r="L26" i="59" s="1"/>
  <c r="L64" i="59" s="1"/>
  <c r="Z50" i="59"/>
  <c r="Z26" i="59" s="1"/>
  <c r="K29" i="49"/>
  <c r="Y37" i="59"/>
  <c r="Y45" i="75"/>
  <c r="O12" i="49"/>
  <c r="O29" i="49" s="1"/>
  <c r="O30" i="49" s="1"/>
  <c r="M45" i="75"/>
  <c r="M37" i="59"/>
  <c r="M30" i="49"/>
  <c r="X30" i="49"/>
  <c r="AE13" i="33"/>
  <c r="G22" i="33"/>
  <c r="O37" i="59"/>
  <c r="O38" i="59" s="1"/>
  <c r="M50" i="59"/>
  <c r="M26" i="59" s="1"/>
  <c r="L17" i="59"/>
  <c r="Z17" i="59"/>
  <c r="F64" i="59"/>
  <c r="F30" i="59"/>
  <c r="H38" i="59"/>
  <c r="M52" i="59"/>
  <c r="AA52" i="59"/>
  <c r="U85" i="75"/>
  <c r="U87" i="75"/>
  <c r="I135" i="48"/>
  <c r="V76" i="59"/>
  <c r="M46" i="75"/>
  <c r="K12" i="49"/>
  <c r="C18" i="49" s="1"/>
  <c r="C19" i="49" s="1"/>
  <c r="Y12" i="49"/>
  <c r="K27" i="49"/>
  <c r="N17" i="59"/>
  <c r="Y69" i="59"/>
  <c r="Y71" i="59" s="1"/>
  <c r="J137" i="48"/>
  <c r="J19" i="48"/>
  <c r="X19" i="48"/>
  <c r="X137" i="48"/>
  <c r="G29" i="49"/>
  <c r="G30" i="49" s="1"/>
  <c r="G131" i="75"/>
  <c r="G132" i="75" s="1"/>
  <c r="G134" i="75"/>
  <c r="X17" i="75"/>
  <c r="G15" i="33"/>
  <c r="U15" i="33"/>
  <c r="O17" i="59"/>
  <c r="H28" i="75"/>
  <c r="H99" i="75"/>
  <c r="W29" i="49"/>
  <c r="W30" i="49" s="1"/>
  <c r="D99" i="59"/>
  <c r="D134" i="75"/>
  <c r="D131" i="75"/>
  <c r="D132" i="75" s="1"/>
  <c r="I15" i="33"/>
  <c r="Q17" i="59"/>
  <c r="M38" i="59"/>
  <c r="R52" i="59"/>
  <c r="J15" i="33"/>
  <c r="X15" i="33"/>
  <c r="G26" i="33"/>
  <c r="D98" i="59"/>
  <c r="D102" i="59" s="1"/>
  <c r="O50" i="59"/>
  <c r="O26" i="59" s="1"/>
  <c r="Q50" i="59"/>
  <c r="Q26" i="59" s="1"/>
  <c r="L24" i="75"/>
  <c r="O19" i="48"/>
  <c r="E17" i="59"/>
  <c r="T50" i="59"/>
  <c r="T26" i="59" s="1"/>
  <c r="T52" i="59"/>
  <c r="N76" i="59"/>
  <c r="D101" i="75"/>
  <c r="D39" i="75" s="1"/>
  <c r="L99" i="75"/>
  <c r="L28" i="75"/>
  <c r="H38" i="48"/>
  <c r="L27" i="48"/>
  <c r="L9" i="48"/>
  <c r="Z27" i="48"/>
  <c r="Z9" i="48"/>
  <c r="L15" i="33"/>
  <c r="U50" i="59"/>
  <c r="U26" i="59" s="1"/>
  <c r="F97" i="59"/>
  <c r="M85" i="75"/>
  <c r="S145" i="48"/>
  <c r="S126" i="48"/>
  <c r="S131" i="48"/>
  <c r="K146" i="48"/>
  <c r="K126" i="48"/>
  <c r="K144" i="48" s="1"/>
  <c r="AC21" i="48"/>
  <c r="AB21" i="48"/>
  <c r="AB27" i="48" s="1"/>
  <c r="Q147" i="48"/>
  <c r="Q126" i="48"/>
  <c r="N119" i="48"/>
  <c r="H100" i="48" s="1"/>
  <c r="I100" i="48" s="1"/>
  <c r="J100" i="48" s="1"/>
  <c r="K100" i="48" s="1"/>
  <c r="L100" i="48" s="1"/>
  <c r="N9" i="48"/>
  <c r="N26" i="48" s="1"/>
  <c r="N27" i="48"/>
  <c r="R27" i="48"/>
  <c r="R19" i="48"/>
  <c r="R26" i="48" s="1"/>
  <c r="L136" i="48"/>
  <c r="L28" i="48"/>
  <c r="Z136" i="48"/>
  <c r="Z28" i="48"/>
  <c r="N15" i="33"/>
  <c r="D96" i="59"/>
  <c r="D97" i="59" s="1"/>
  <c r="G101" i="75"/>
  <c r="G39" i="75" s="1"/>
  <c r="G102" i="48"/>
  <c r="I17" i="59"/>
  <c r="W17" i="59"/>
  <c r="X50" i="59"/>
  <c r="X26" i="59" s="1"/>
  <c r="R76" i="59"/>
  <c r="U69" i="59"/>
  <c r="U71" i="59" s="1"/>
  <c r="O26" i="48"/>
  <c r="D66" i="59"/>
  <c r="D31" i="59" s="1"/>
  <c r="J17" i="59"/>
  <c r="X17" i="59"/>
  <c r="K52" i="59"/>
  <c r="Y52" i="59"/>
  <c r="G96" i="59"/>
  <c r="G97" i="59" s="1"/>
  <c r="I42" i="48"/>
  <c r="I70" i="48"/>
  <c r="I77" i="48" s="1"/>
  <c r="J38" i="48"/>
  <c r="F132" i="75"/>
  <c r="M26" i="48"/>
  <c r="M27" i="48"/>
  <c r="AA119" i="48"/>
  <c r="AB119" i="48" s="1"/>
  <c r="AC119" i="48" s="1"/>
  <c r="AD119" i="48" s="1"/>
  <c r="AE119" i="48" s="1"/>
  <c r="AF119" i="48" s="1"/>
  <c r="AG119" i="48" s="1"/>
  <c r="AH119" i="48" s="1"/>
  <c r="AI119" i="48" s="1"/>
  <c r="AJ119" i="48" s="1"/>
  <c r="AA27" i="48"/>
  <c r="AA9" i="48"/>
  <c r="G40" i="48"/>
  <c r="G72" i="48" s="1"/>
  <c r="G79" i="48" s="1"/>
  <c r="H122" i="48"/>
  <c r="H73" i="48"/>
  <c r="H80" i="48" s="1"/>
  <c r="G145" i="48"/>
  <c r="F126" i="48"/>
  <c r="F135" i="48" s="1"/>
  <c r="F131" i="48"/>
  <c r="G149" i="48" s="1"/>
  <c r="T126" i="48"/>
  <c r="T135" i="48" s="1"/>
  <c r="T131" i="48"/>
  <c r="T121" i="48" s="1"/>
  <c r="M146" i="48"/>
  <c r="L146" i="48"/>
  <c r="R147" i="48"/>
  <c r="S147" i="48"/>
  <c r="R126" i="48"/>
  <c r="R144" i="48" s="1"/>
  <c r="J148" i="48"/>
  <c r="K148" i="48"/>
  <c r="O46" i="75"/>
  <c r="I85" i="75"/>
  <c r="Q85" i="75"/>
  <c r="S28" i="48"/>
  <c r="S9" i="48"/>
  <c r="S26" i="48" s="1"/>
  <c r="AC136" i="48"/>
  <c r="AB23" i="48"/>
  <c r="T87" i="75"/>
  <c r="T85" i="75"/>
  <c r="X104" i="75"/>
  <c r="X106" i="75" s="1"/>
  <c r="X105" i="75" s="1"/>
  <c r="X26" i="48"/>
  <c r="AF52" i="70"/>
  <c r="AF20" i="70" s="1"/>
  <c r="AF27" i="70" s="1"/>
  <c r="G6" i="71" s="1"/>
  <c r="AF18" i="70"/>
  <c r="AF26" i="70" s="1"/>
  <c r="G5" i="71" s="1"/>
  <c r="AI46" i="70"/>
  <c r="AI74" i="70"/>
  <c r="AJ46" i="70"/>
  <c r="AJ45" i="70" s="1"/>
  <c r="AJ12" i="70" s="1"/>
  <c r="AJ23" i="70" s="1"/>
  <c r="AE75" i="70"/>
  <c r="AE48" i="70"/>
  <c r="AF75" i="70"/>
  <c r="N85" i="75"/>
  <c r="I41" i="48"/>
  <c r="S137" i="48"/>
  <c r="L52" i="59"/>
  <c r="Z52" i="59"/>
  <c r="E46" i="75"/>
  <c r="E48" i="75" s="1"/>
  <c r="S46" i="75"/>
  <c r="S48" i="75" s="1"/>
  <c r="O85" i="75"/>
  <c r="M40" i="78"/>
  <c r="N40" i="78" s="1"/>
  <c r="K52" i="78"/>
  <c r="G39" i="48"/>
  <c r="G71" i="48" s="1"/>
  <c r="G78" i="48" s="1"/>
  <c r="G101" i="48" s="1"/>
  <c r="I28" i="48"/>
  <c r="I121" i="48"/>
  <c r="W28" i="48"/>
  <c r="W9" i="48"/>
  <c r="W121" i="48"/>
  <c r="I138" i="48"/>
  <c r="W138" i="48"/>
  <c r="F46" i="75"/>
  <c r="F48" i="75" s="1"/>
  <c r="R85" i="75"/>
  <c r="J87" i="75"/>
  <c r="J85" i="75"/>
  <c r="L40" i="78"/>
  <c r="M44" i="78"/>
  <c r="N44" i="78" s="1"/>
  <c r="L44" i="78"/>
  <c r="J28" i="48"/>
  <c r="J121" i="48"/>
  <c r="X28" i="48"/>
  <c r="X121" i="48"/>
  <c r="N19" i="48"/>
  <c r="L19" i="48"/>
  <c r="Z19" i="48"/>
  <c r="P121" i="48"/>
  <c r="AH137" i="48"/>
  <c r="AG24" i="48"/>
  <c r="E133" i="75"/>
  <c r="E137" i="75" s="1"/>
  <c r="K85" i="75"/>
  <c r="G9" i="48"/>
  <c r="G26" i="48" s="1"/>
  <c r="U9" i="48"/>
  <c r="U26" i="48" s="1"/>
  <c r="K121" i="48"/>
  <c r="K9" i="48"/>
  <c r="K26" i="48" s="1"/>
  <c r="K28" i="48"/>
  <c r="Y121" i="48"/>
  <c r="Y9" i="48"/>
  <c r="Y26" i="48" s="1"/>
  <c r="Y28" i="48"/>
  <c r="AC138" i="48"/>
  <c r="D22" i="35"/>
  <c r="E24" i="55" s="1"/>
  <c r="E99" i="75"/>
  <c r="G38" i="48"/>
  <c r="G70" i="48" s="1"/>
  <c r="G77" i="48" s="1"/>
  <c r="G100" i="48" s="1"/>
  <c r="H27" i="48"/>
  <c r="H9" i="48"/>
  <c r="H26" i="48" s="1"/>
  <c r="V27" i="48"/>
  <c r="V9" i="48"/>
  <c r="V26" i="48" s="1"/>
  <c r="O126" i="48"/>
  <c r="O131" i="48"/>
  <c r="O149" i="48" s="1"/>
  <c r="O145" i="48"/>
  <c r="G126" i="48"/>
  <c r="G146" i="48"/>
  <c r="M147" i="48"/>
  <c r="M126" i="48"/>
  <c r="M144" i="48" s="1"/>
  <c r="Q150" i="48"/>
  <c r="R150" i="48"/>
  <c r="L16" i="40"/>
  <c r="O14" i="40"/>
  <c r="O17" i="40" s="1"/>
  <c r="E38" i="75"/>
  <c r="X16" i="77"/>
  <c r="X19" i="77" s="1"/>
  <c r="J119" i="48"/>
  <c r="P19" i="48"/>
  <c r="P26" i="48" s="1"/>
  <c r="K151" i="48"/>
  <c r="L151" i="48"/>
  <c r="Q19" i="48"/>
  <c r="Q135" i="48"/>
  <c r="I136" i="48"/>
  <c r="Q9" i="48"/>
  <c r="G41" i="48"/>
  <c r="G73" i="48" s="1"/>
  <c r="G80" i="48" s="1"/>
  <c r="G103" i="48" s="1"/>
  <c r="H123" i="48"/>
  <c r="F19" i="48"/>
  <c r="F26" i="48" s="1"/>
  <c r="S136" i="48"/>
  <c r="Q137" i="48"/>
  <c r="J27" i="48"/>
  <c r="V28" i="48"/>
  <c r="H149" i="48"/>
  <c r="AA121" i="48"/>
  <c r="AB121" i="48" s="1"/>
  <c r="AC121" i="48" s="1"/>
  <c r="AD121" i="48" s="1"/>
  <c r="AE121" i="48" s="1"/>
  <c r="AF121" i="48" s="1"/>
  <c r="AG121" i="48" s="1"/>
  <c r="AH121" i="48" s="1"/>
  <c r="AI121" i="48" s="1"/>
  <c r="AJ121" i="48" s="1"/>
  <c r="I123" i="48"/>
  <c r="W123" i="48"/>
  <c r="V19" i="48"/>
  <c r="F136" i="48"/>
  <c r="T136" i="48"/>
  <c r="K27" i="48"/>
  <c r="H39" i="48"/>
  <c r="W119" i="48"/>
  <c r="I145" i="48"/>
  <c r="I131" i="48"/>
  <c r="I149" i="48" s="1"/>
  <c r="AJ51" i="70"/>
  <c r="AJ16" i="70"/>
  <c r="AJ25" i="70" s="1"/>
  <c r="L122" i="48"/>
  <c r="H40" i="48"/>
  <c r="W19" i="48"/>
  <c r="G135" i="48"/>
  <c r="U135" i="48"/>
  <c r="G136" i="48"/>
  <c r="I39" i="48"/>
  <c r="F79" i="48"/>
  <c r="J102" i="48" s="1"/>
  <c r="K102" i="48" s="1"/>
  <c r="L102" i="48" s="1"/>
  <c r="F94" i="48"/>
  <c r="J145" i="48"/>
  <c r="J126" i="48"/>
  <c r="J131" i="48"/>
  <c r="K145" i="48"/>
  <c r="X126" i="48"/>
  <c r="X135" i="48" s="1"/>
  <c r="X131" i="48"/>
  <c r="X136" i="48" s="1"/>
  <c r="I147" i="48"/>
  <c r="H147" i="48"/>
  <c r="O148" i="48"/>
  <c r="N148" i="48"/>
  <c r="H5" i="21"/>
  <c r="F5" i="21"/>
  <c r="I5" i="21"/>
  <c r="G5" i="21"/>
  <c r="S85" i="75"/>
  <c r="M39" i="78"/>
  <c r="N39" i="78" s="1"/>
  <c r="O121" i="48"/>
  <c r="K123" i="48"/>
  <c r="Y123" i="48"/>
  <c r="I19" i="48"/>
  <c r="I26" i="48" s="1"/>
  <c r="V135" i="48"/>
  <c r="AA28" i="48"/>
  <c r="I126" i="48"/>
  <c r="K149" i="48"/>
  <c r="N33" i="78"/>
  <c r="P28" i="48"/>
  <c r="P27" i="48"/>
  <c r="L126" i="48"/>
  <c r="L144" i="48" s="1"/>
  <c r="Z126" i="48"/>
  <c r="Z135" i="48" s="1"/>
  <c r="J136" i="48"/>
  <c r="Q27" i="48"/>
  <c r="L123" i="48"/>
  <c r="AE24" i="48"/>
  <c r="O135" i="48"/>
  <c r="U119" i="48"/>
  <c r="P122" i="48"/>
  <c r="I40" i="48"/>
  <c r="Y135" i="48"/>
  <c r="Y136" i="48"/>
  <c r="M18" i="38"/>
  <c r="J9" i="48"/>
  <c r="J26" i="48" s="1"/>
  <c r="T28" i="48"/>
  <c r="M19" i="48"/>
  <c r="AA135" i="48"/>
  <c r="AB135" i="48" s="1"/>
  <c r="AC135" i="48" s="1"/>
  <c r="AD135" i="48" s="1"/>
  <c r="AE135" i="48" s="1"/>
  <c r="AA19" i="48"/>
  <c r="C20" i="35" s="1"/>
  <c r="D22" i="55" s="1"/>
  <c r="U27" i="48"/>
  <c r="M28" i="48"/>
  <c r="Q123" i="48"/>
  <c r="P126" i="48"/>
  <c r="P144" i="48" s="1"/>
  <c r="H126" i="48"/>
  <c r="H144" i="48" s="1"/>
  <c r="V126" i="48"/>
  <c r="V119" i="48" s="1"/>
  <c r="N147" i="48"/>
  <c r="I67" i="38"/>
  <c r="I70" i="38" s="1"/>
  <c r="O48" i="38"/>
  <c r="U121" i="48"/>
  <c r="S122" i="48"/>
  <c r="N135" i="48"/>
  <c r="N136" i="48"/>
  <c r="Z137" i="48"/>
  <c r="K138" i="48"/>
  <c r="Y138" i="48"/>
  <c r="N28" i="48"/>
  <c r="I119" i="48"/>
  <c r="R149" i="48"/>
  <c r="Q149" i="48"/>
  <c r="K119" i="48"/>
  <c r="Y119" i="48"/>
  <c r="Y27" i="48"/>
  <c r="G137" i="48"/>
  <c r="AG48" i="70"/>
  <c r="AG75" i="70"/>
  <c r="J69" i="38"/>
  <c r="J66" i="38"/>
  <c r="C82" i="21"/>
  <c r="M5" i="21"/>
  <c r="L5" i="21"/>
  <c r="K5" i="21"/>
  <c r="J5" i="21"/>
  <c r="I150" i="48"/>
  <c r="O151" i="48"/>
  <c r="K56" i="38"/>
  <c r="M48" i="38"/>
  <c r="K66" i="38"/>
  <c r="K69" i="38"/>
  <c r="M16" i="40"/>
  <c r="M15" i="40"/>
  <c r="N145" i="48"/>
  <c r="Z74" i="70"/>
  <c r="AA46" i="70"/>
  <c r="Z46" i="70"/>
  <c r="AJ48" i="70"/>
  <c r="AJ14" i="70" s="1"/>
  <c r="AJ24" i="70" s="1"/>
  <c r="AJ75" i="70"/>
  <c r="N21" i="38"/>
  <c r="M21" i="38"/>
  <c r="Q27" i="38"/>
  <c r="Q146" i="48"/>
  <c r="AC49" i="70"/>
  <c r="AD46" i="70"/>
  <c r="AD74" i="70"/>
  <c r="Z75" i="70"/>
  <c r="Y75" i="70"/>
  <c r="P35" i="38"/>
  <c r="R40" i="38"/>
  <c r="H146" i="48"/>
  <c r="S146" i="48"/>
  <c r="K147" i="48"/>
  <c r="R41" i="38"/>
  <c r="P16" i="40"/>
  <c r="H151" i="48"/>
  <c r="AH48" i="70"/>
  <c r="AE51" i="70"/>
  <c r="AG52" i="70"/>
  <c r="AG20" i="70" s="1"/>
  <c r="AG27" i="70" s="1"/>
  <c r="H6" i="71" s="1"/>
  <c r="AA74" i="70"/>
  <c r="S31" i="38"/>
  <c r="O30" i="38"/>
  <c r="Q30" i="38" s="1"/>
  <c r="L56" i="38"/>
  <c r="C77" i="21"/>
  <c r="P145" i="48"/>
  <c r="J151" i="48"/>
  <c r="AI52" i="70"/>
  <c r="AI20" i="70" s="1"/>
  <c r="AI27" i="70" s="1"/>
  <c r="J6" i="71" s="1"/>
  <c r="AI18" i="70"/>
  <c r="AI26" i="70" s="1"/>
  <c r="J5" i="71" s="1"/>
  <c r="N12" i="38"/>
  <c r="M12" i="38"/>
  <c r="P30" i="38"/>
  <c r="R145" i="48"/>
  <c r="J146" i="48"/>
  <c r="H148" i="48"/>
  <c r="AJ74" i="70"/>
  <c r="AF48" i="70"/>
  <c r="AB49" i="70"/>
  <c r="N13" i="38"/>
  <c r="T42" i="38"/>
  <c r="R15" i="40"/>
  <c r="E7" i="5"/>
  <c r="M19" i="21"/>
  <c r="W37" i="30" s="1"/>
  <c r="W20" i="30" s="1"/>
  <c r="W13" i="30" s="1"/>
  <c r="W12" i="30" s="1"/>
  <c r="T49" i="21"/>
  <c r="Q17" i="6"/>
  <c r="D21" i="21"/>
  <c r="D8" i="21"/>
  <c r="K15" i="40"/>
  <c r="Q14" i="40"/>
  <c r="Q15" i="40" s="1"/>
  <c r="B16" i="5"/>
  <c r="V43" i="21"/>
  <c r="U43" i="21"/>
  <c r="T43" i="21"/>
  <c r="S43" i="21"/>
  <c r="R43" i="21"/>
  <c r="G21" i="21"/>
  <c r="Q30" i="21"/>
  <c r="P30" i="21"/>
  <c r="O30" i="21"/>
  <c r="N30" i="21"/>
  <c r="M30" i="21"/>
  <c r="L30" i="21"/>
  <c r="K30" i="21"/>
  <c r="J30" i="21"/>
  <c r="I30" i="21"/>
  <c r="V30" i="21"/>
  <c r="H30" i="21"/>
  <c r="U30" i="21"/>
  <c r="G30" i="21"/>
  <c r="T30" i="21"/>
  <c r="F30" i="21"/>
  <c r="S30" i="21"/>
  <c r="E30" i="21"/>
  <c r="R30" i="21"/>
  <c r="C80" i="21"/>
  <c r="AH46" i="70"/>
  <c r="AC48" i="70"/>
  <c r="AD76" i="70"/>
  <c r="S15" i="38"/>
  <c r="P38" i="38"/>
  <c r="Q43" i="38"/>
  <c r="O56" i="38"/>
  <c r="I21" i="21"/>
  <c r="I31" i="21"/>
  <c r="D79" i="21"/>
  <c r="O28" i="38"/>
  <c r="Q28" i="38" s="1"/>
  <c r="Q38" i="38"/>
  <c r="R38" i="38" s="1"/>
  <c r="S14" i="40"/>
  <c r="M20" i="21"/>
  <c r="W38" i="30" s="1"/>
  <c r="M6" i="21"/>
  <c r="M24" i="21"/>
  <c r="M18" i="21"/>
  <c r="M23" i="21"/>
  <c r="W41" i="30" s="1"/>
  <c r="W24" i="30" s="1"/>
  <c r="L18" i="21"/>
  <c r="K24" i="21"/>
  <c r="K18" i="21"/>
  <c r="P9" i="21"/>
  <c r="O9" i="21"/>
  <c r="U12" i="21"/>
  <c r="T12" i="21"/>
  <c r="S12" i="21"/>
  <c r="R12" i="21"/>
  <c r="F12" i="5"/>
  <c r="J6" i="21"/>
  <c r="L32" i="21"/>
  <c r="K32" i="21"/>
  <c r="J32" i="21"/>
  <c r="I32" i="21"/>
  <c r="V32" i="21"/>
  <c r="H32" i="21"/>
  <c r="U32" i="21"/>
  <c r="G32" i="21"/>
  <c r="T32" i="21"/>
  <c r="S32" i="21"/>
  <c r="R32" i="21"/>
  <c r="Q32" i="21"/>
  <c r="P32" i="21"/>
  <c r="O32" i="21"/>
  <c r="N32" i="21"/>
  <c r="M32" i="21"/>
  <c r="F10" i="21"/>
  <c r="U31" i="21" s="1"/>
  <c r="D81" i="21"/>
  <c r="L13" i="38"/>
  <c r="N25" i="38"/>
  <c r="P28" i="38"/>
  <c r="L69" i="38"/>
  <c r="N15" i="40"/>
  <c r="Q16" i="40"/>
  <c r="T17" i="40"/>
  <c r="F5" i="5"/>
  <c r="E6" i="5"/>
  <c r="M7" i="21"/>
  <c r="L7" i="21"/>
  <c r="E77" i="21" s="1"/>
  <c r="D16" i="5"/>
  <c r="V16" i="6"/>
  <c r="K6" i="21"/>
  <c r="K23" i="21" s="1"/>
  <c r="U41" i="30" s="1"/>
  <c r="K7" i="21"/>
  <c r="K33" i="21"/>
  <c r="V33" i="21"/>
  <c r="H33" i="21"/>
  <c r="U33" i="21"/>
  <c r="S33" i="21"/>
  <c r="R33" i="21"/>
  <c r="Q33" i="21"/>
  <c r="P33" i="21"/>
  <c r="O33" i="21"/>
  <c r="N33" i="21"/>
  <c r="M33" i="21"/>
  <c r="L33" i="21"/>
  <c r="Q12" i="21"/>
  <c r="P12" i="21"/>
  <c r="O12" i="21"/>
  <c r="N12" i="21"/>
  <c r="F82" i="21" s="1"/>
  <c r="R17" i="6"/>
  <c r="N5" i="21"/>
  <c r="L6" i="21"/>
  <c r="N7" i="21"/>
  <c r="F77" i="21" s="1"/>
  <c r="K34" i="21"/>
  <c r="J10" i="21"/>
  <c r="AH75" i="70"/>
  <c r="S25" i="38"/>
  <c r="J56" i="38"/>
  <c r="J55" i="38"/>
  <c r="I24" i="21"/>
  <c r="N36" i="21"/>
  <c r="M36" i="21"/>
  <c r="L36" i="21"/>
  <c r="K36" i="21"/>
  <c r="V36" i="21"/>
  <c r="U36" i="21"/>
  <c r="T36" i="21"/>
  <c r="S36" i="21"/>
  <c r="R36" i="21"/>
  <c r="Q36" i="21"/>
  <c r="P36" i="21"/>
  <c r="O36" i="21"/>
  <c r="S17" i="6"/>
  <c r="P5" i="21"/>
  <c r="F76" i="21"/>
  <c r="P7" i="21"/>
  <c r="J9" i="21"/>
  <c r="L10" i="21"/>
  <c r="V37" i="26" s="1"/>
  <c r="V17" i="26" s="1"/>
  <c r="P39" i="38"/>
  <c r="R39" i="38" s="1"/>
  <c r="K65" i="38"/>
  <c r="K70" i="38" s="1"/>
  <c r="T15" i="40"/>
  <c r="R17" i="40"/>
  <c r="E24" i="21"/>
  <c r="O42" i="30" s="1"/>
  <c r="E18" i="21"/>
  <c r="D24" i="21"/>
  <c r="N42" i="30" s="1"/>
  <c r="E23" i="21"/>
  <c r="O41" i="30" s="1"/>
  <c r="O24" i="30" s="1"/>
  <c r="O13" i="30" s="1"/>
  <c r="O12" i="30" s="1"/>
  <c r="D18" i="21"/>
  <c r="D23" i="21"/>
  <c r="N41" i="30" s="1"/>
  <c r="C23" i="21"/>
  <c r="M41" i="30" s="1"/>
  <c r="E19" i="21"/>
  <c r="O37" i="30" s="1"/>
  <c r="D19" i="21"/>
  <c r="N37" i="30" s="1"/>
  <c r="E20" i="21"/>
  <c r="O38" i="30" s="1"/>
  <c r="C19" i="21"/>
  <c r="M37" i="30" s="1"/>
  <c r="D20" i="21"/>
  <c r="N38" i="30" s="1"/>
  <c r="C20" i="21"/>
  <c r="M38" i="30" s="1"/>
  <c r="H7" i="21"/>
  <c r="F7" i="21"/>
  <c r="D77" i="21" s="1"/>
  <c r="H16" i="5"/>
  <c r="Q5" i="21"/>
  <c r="Q7" i="21"/>
  <c r="L9" i="21"/>
  <c r="M10" i="21"/>
  <c r="W37" i="26" s="1"/>
  <c r="W17" i="26" s="1"/>
  <c r="E81" i="21"/>
  <c r="AD49" i="70"/>
  <c r="N14" i="40"/>
  <c r="N17" i="40" s="1"/>
  <c r="V3" i="21"/>
  <c r="Q25" i="21"/>
  <c r="AA43" i="30" s="1"/>
  <c r="R7" i="21"/>
  <c r="G77" i="21" s="1"/>
  <c r="M9" i="21"/>
  <c r="F80" i="21"/>
  <c r="S15" i="40"/>
  <c r="K17" i="40"/>
  <c r="I16" i="5"/>
  <c r="P13" i="21"/>
  <c r="P14" i="21" s="1"/>
  <c r="O13" i="21"/>
  <c r="O14" i="21" s="1"/>
  <c r="N13" i="21"/>
  <c r="M13" i="21"/>
  <c r="M14" i="21" s="1"/>
  <c r="L13" i="21"/>
  <c r="L14" i="21" s="1"/>
  <c r="K13" i="21"/>
  <c r="K14" i="21" s="1"/>
  <c r="J13" i="21"/>
  <c r="V13" i="21"/>
  <c r="V14" i="21" s="1"/>
  <c r="V15" i="21" s="1"/>
  <c r="U13" i="21"/>
  <c r="U14" i="21" s="1"/>
  <c r="U15" i="21" s="1"/>
  <c r="T13" i="21"/>
  <c r="T14" i="21" s="1"/>
  <c r="S13" i="21"/>
  <c r="S14" i="21" s="1"/>
  <c r="R13" i="21"/>
  <c r="Q13" i="21"/>
  <c r="Q14" i="21" s="1"/>
  <c r="G16" i="5"/>
  <c r="E21" i="21"/>
  <c r="S7" i="21"/>
  <c r="V39" i="21"/>
  <c r="U39" i="21"/>
  <c r="T39" i="21"/>
  <c r="S39" i="21"/>
  <c r="F79" i="21"/>
  <c r="R39" i="21"/>
  <c r="Q39" i="21"/>
  <c r="P39" i="21"/>
  <c r="O39" i="21"/>
  <c r="N39" i="21"/>
  <c r="L11" i="38"/>
  <c r="L14" i="40"/>
  <c r="P14" i="40"/>
  <c r="P17" i="40" s="1"/>
  <c r="I10" i="21"/>
  <c r="S37" i="26" s="1"/>
  <c r="S17" i="26" s="1"/>
  <c r="H10" i="21"/>
  <c r="R37" i="26" s="1"/>
  <c r="R17" i="26" s="1"/>
  <c r="E8" i="5"/>
  <c r="N19" i="21"/>
  <c r="T4" i="21"/>
  <c r="AD25" i="59" s="1"/>
  <c r="AD30" i="59" s="1"/>
  <c r="F16" i="35" s="1"/>
  <c r="G18" i="55" s="1"/>
  <c r="S4" i="21"/>
  <c r="G74" i="21" s="1"/>
  <c r="D12" i="21"/>
  <c r="W12" i="21" s="1"/>
  <c r="S3" i="21"/>
  <c r="W3" i="21" s="1"/>
  <c r="U4" i="21"/>
  <c r="AE25" i="59" s="1"/>
  <c r="AE30" i="59" s="1"/>
  <c r="G16" i="35" s="1"/>
  <c r="H18" i="55" s="1"/>
  <c r="U7" i="21"/>
  <c r="Q9" i="21"/>
  <c r="E82" i="21"/>
  <c r="J16" i="40"/>
  <c r="M17" i="40"/>
  <c r="I12" i="21"/>
  <c r="D82" i="21" s="1"/>
  <c r="H12" i="21"/>
  <c r="F9" i="5"/>
  <c r="E4" i="21"/>
  <c r="C74" i="21" s="1"/>
  <c r="S9" i="21"/>
  <c r="G79" i="21" s="1"/>
  <c r="F81" i="21"/>
  <c r="I13" i="21"/>
  <c r="I14" i="21" s="1"/>
  <c r="H13" i="21"/>
  <c r="H14" i="21" s="1"/>
  <c r="G13" i="21"/>
  <c r="G14" i="21" s="1"/>
  <c r="F13" i="21"/>
  <c r="C6" i="21"/>
  <c r="C78" i="21"/>
  <c r="T9" i="21"/>
  <c r="AD35" i="26" s="1"/>
  <c r="S10" i="21"/>
  <c r="AC37" i="26" s="1"/>
  <c r="AC17" i="26" s="1"/>
  <c r="C13" i="21"/>
  <c r="L34" i="21"/>
  <c r="H6" i="21"/>
  <c r="D76" i="21" s="1"/>
  <c r="D9" i="21"/>
  <c r="W9" i="21" s="1"/>
  <c r="D11" i="21"/>
  <c r="C81" i="21" s="1"/>
  <c r="D13" i="21"/>
  <c r="D14" i="21" s="1"/>
  <c r="F21" i="21"/>
  <c r="N23" i="21"/>
  <c r="X41" i="30" s="1"/>
  <c r="X24" i="30" s="1"/>
  <c r="O34" i="21"/>
  <c r="O23" i="21"/>
  <c r="N24" i="21"/>
  <c r="P34" i="21"/>
  <c r="F20" i="21"/>
  <c r="P38" i="30" s="1"/>
  <c r="P23" i="21"/>
  <c r="O24" i="21"/>
  <c r="Q34" i="21"/>
  <c r="G20" i="21"/>
  <c r="Q38" i="30" s="1"/>
  <c r="F19" i="21"/>
  <c r="P37" i="30" s="1"/>
  <c r="Q24" i="21"/>
  <c r="D10" i="21"/>
  <c r="N37" i="26" s="1"/>
  <c r="G19" i="21"/>
  <c r="Q37" i="30" s="1"/>
  <c r="I20" i="21"/>
  <c r="S38" i="30" s="1"/>
  <c r="T34" i="21"/>
  <c r="H19" i="21"/>
  <c r="R37" i="30" s="1"/>
  <c r="F23" i="21"/>
  <c r="P41" i="30" s="1"/>
  <c r="P24" i="30" s="1"/>
  <c r="P15" i="30" s="1"/>
  <c r="U34" i="21"/>
  <c r="F18" i="21"/>
  <c r="I19" i="21"/>
  <c r="S37" i="30" s="1"/>
  <c r="G23" i="21"/>
  <c r="Q41" i="30" s="1"/>
  <c r="Q24" i="30" s="1"/>
  <c r="Q13" i="30" s="1"/>
  <c r="Q12" i="30" s="1"/>
  <c r="F24" i="21"/>
  <c r="G18" i="21"/>
  <c r="H23" i="21"/>
  <c r="R41" i="30" s="1"/>
  <c r="R24" i="30" s="1"/>
  <c r="R15" i="30" s="1"/>
  <c r="G24" i="21"/>
  <c r="S6" i="21"/>
  <c r="AC45" i="30" s="1"/>
  <c r="E7" i="35" s="1"/>
  <c r="F9" i="55" s="1"/>
  <c r="H18" i="21"/>
  <c r="I23" i="21"/>
  <c r="S41" i="30" s="1"/>
  <c r="S24" i="30" s="1"/>
  <c r="S13" i="30" s="1"/>
  <c r="S12" i="30" s="1"/>
  <c r="H24" i="21"/>
  <c r="J34" i="21"/>
  <c r="I18" i="21"/>
  <c r="J98" i="75" l="1"/>
  <c r="J27" i="75"/>
  <c r="R98" i="75"/>
  <c r="R27" i="75"/>
  <c r="AB11" i="30"/>
  <c r="AB46" i="30" s="1"/>
  <c r="D6" i="35" s="1"/>
  <c r="E8" i="55" s="1"/>
  <c r="AC12" i="30"/>
  <c r="U24" i="30"/>
  <c r="AD61" i="30" s="1"/>
  <c r="AD78" i="30"/>
  <c r="Q98" i="75"/>
  <c r="Q27" i="75"/>
  <c r="Y104" i="75"/>
  <c r="Y106" i="75" s="1"/>
  <c r="Y105" i="75" s="1"/>
  <c r="M98" i="75"/>
  <c r="M27" i="75"/>
  <c r="F27" i="75"/>
  <c r="F26" i="75" s="1"/>
  <c r="F29" i="75" s="1"/>
  <c r="F98" i="75"/>
  <c r="F97" i="75" s="1"/>
  <c r="F100" i="75" s="1"/>
  <c r="F101" i="75"/>
  <c r="F39" i="75" s="1"/>
  <c r="AB14" i="75"/>
  <c r="AB14" i="59"/>
  <c r="D8" i="35"/>
  <c r="H98" i="75"/>
  <c r="H97" i="75" s="1"/>
  <c r="H100" i="75" s="1"/>
  <c r="H109" i="75" s="1"/>
  <c r="H37" i="75" s="1"/>
  <c r="H27" i="75"/>
  <c r="H26" i="75" s="1"/>
  <c r="H29" i="75" s="1"/>
  <c r="H101" i="75"/>
  <c r="G82" i="55"/>
  <c r="G114" i="55"/>
  <c r="AC14" i="70"/>
  <c r="AC24" i="70" s="1"/>
  <c r="D3" i="71" s="1"/>
  <c r="F29" i="55"/>
  <c r="AF14" i="70"/>
  <c r="AF24" i="70" s="1"/>
  <c r="G3" i="71" s="1"/>
  <c r="I31" i="55"/>
  <c r="M119" i="48"/>
  <c r="Q15" i="30"/>
  <c r="T49" i="20"/>
  <c r="M9" i="50"/>
  <c r="Z49" i="20"/>
  <c r="S9" i="50"/>
  <c r="V20" i="74"/>
  <c r="W20" i="74" s="1"/>
  <c r="X20" i="74" s="1"/>
  <c r="Y20" i="74" s="1"/>
  <c r="Z20" i="74" s="1"/>
  <c r="AA20" i="74" s="1"/>
  <c r="AB20" i="74" s="1"/>
  <c r="AC20" i="74" s="1"/>
  <c r="U19" i="74"/>
  <c r="U49" i="20"/>
  <c r="N9" i="50"/>
  <c r="F73" i="55"/>
  <c r="F105" i="55"/>
  <c r="O4" i="21"/>
  <c r="Q4" i="21"/>
  <c r="P4" i="21"/>
  <c r="N4" i="21"/>
  <c r="E83" i="21"/>
  <c r="J14" i="21"/>
  <c r="L21" i="21"/>
  <c r="V45" i="30"/>
  <c r="F4" i="21"/>
  <c r="H4" i="21"/>
  <c r="I4" i="21"/>
  <c r="G4" i="21"/>
  <c r="O31" i="21"/>
  <c r="K31" i="21"/>
  <c r="W11" i="21"/>
  <c r="W49" i="20"/>
  <c r="P9" i="50"/>
  <c r="O15" i="26"/>
  <c r="O20" i="26" s="1"/>
  <c r="O78" i="26" s="1"/>
  <c r="P28" i="26"/>
  <c r="O76" i="26"/>
  <c r="O27" i="26"/>
  <c r="D63" i="59"/>
  <c r="D62" i="59" s="1"/>
  <c r="D65" i="59" s="1"/>
  <c r="D74" i="59" s="1"/>
  <c r="D29" i="59" s="1"/>
  <c r="D33" i="59" s="1"/>
  <c r="K50" i="20"/>
  <c r="K51" i="20" s="1"/>
  <c r="D2" i="50"/>
  <c r="C83" i="21"/>
  <c r="C14" i="21"/>
  <c r="W13" i="21"/>
  <c r="J31" i="21"/>
  <c r="T5" i="21"/>
  <c r="AD24" i="59" s="1"/>
  <c r="U5" i="21"/>
  <c r="AE24" i="59" s="1"/>
  <c r="S5" i="21"/>
  <c r="R5" i="21"/>
  <c r="W7" i="21"/>
  <c r="AC51" i="70"/>
  <c r="AC16" i="70"/>
  <c r="AC25" i="70" s="1"/>
  <c r="D4" i="71" s="1"/>
  <c r="F30" i="55"/>
  <c r="J73" i="38"/>
  <c r="J71" i="38"/>
  <c r="H135" i="48"/>
  <c r="H119" i="48"/>
  <c r="K34" i="75"/>
  <c r="K99" i="75" s="1"/>
  <c r="K24" i="75"/>
  <c r="K28" i="75" s="1"/>
  <c r="O24" i="75"/>
  <c r="O34" i="75"/>
  <c r="Q34" i="75"/>
  <c r="Q24" i="75"/>
  <c r="R135" i="48"/>
  <c r="I34" i="21"/>
  <c r="O25" i="21"/>
  <c r="Y43" i="30" s="1"/>
  <c r="Y41" i="30"/>
  <c r="Y24" i="30" s="1"/>
  <c r="AD13" i="26"/>
  <c r="K15" i="21"/>
  <c r="U36" i="26"/>
  <c r="U33" i="26" s="1"/>
  <c r="F75" i="21"/>
  <c r="X32" i="75"/>
  <c r="X24" i="59"/>
  <c r="T33" i="21"/>
  <c r="C5" i="21"/>
  <c r="F16" i="5"/>
  <c r="E5" i="21"/>
  <c r="D5" i="21"/>
  <c r="G82" i="21"/>
  <c r="L24" i="21"/>
  <c r="P31" i="21"/>
  <c r="L31" i="21"/>
  <c r="T50" i="21"/>
  <c r="V17" i="6"/>
  <c r="T51" i="21"/>
  <c r="N144" i="48"/>
  <c r="Q26" i="48"/>
  <c r="P135" i="48"/>
  <c r="N24" i="75"/>
  <c r="N28" i="75" s="1"/>
  <c r="N34" i="75"/>
  <c r="I24" i="75"/>
  <c r="I28" i="75" s="1"/>
  <c r="I34" i="75"/>
  <c r="I99" i="75" s="1"/>
  <c r="Z26" i="48"/>
  <c r="U34" i="75"/>
  <c r="U24" i="75"/>
  <c r="AH13" i="33"/>
  <c r="AF13" i="33"/>
  <c r="AG13" i="33"/>
  <c r="AI13" i="33"/>
  <c r="X49" i="20"/>
  <c r="Q9" i="50"/>
  <c r="D98" i="75"/>
  <c r="D97" i="75" s="1"/>
  <c r="D100" i="75" s="1"/>
  <c r="D109" i="75" s="1"/>
  <c r="D37" i="75" s="1"/>
  <c r="D27" i="75"/>
  <c r="D26" i="75" s="1"/>
  <c r="D29" i="75" s="1"/>
  <c r="AC11" i="25"/>
  <c r="AC20" i="25" s="1"/>
  <c r="AC15" i="25"/>
  <c r="AC14" i="25" s="1"/>
  <c r="AD13" i="25"/>
  <c r="D22" i="21"/>
  <c r="N40" i="30" s="1"/>
  <c r="N39" i="30"/>
  <c r="J21" i="21"/>
  <c r="E76" i="21"/>
  <c r="T45" i="30"/>
  <c r="O16" i="40"/>
  <c r="I102" i="48"/>
  <c r="H72" i="48"/>
  <c r="H79" i="48" s="1"/>
  <c r="H45" i="48"/>
  <c r="O48" i="75"/>
  <c r="J70" i="48"/>
  <c r="J77" i="48" s="1"/>
  <c r="J42" i="48"/>
  <c r="K38" i="48"/>
  <c r="AB19" i="48"/>
  <c r="D20" i="35" s="1"/>
  <c r="E22" i="55" s="1"/>
  <c r="D41" i="75"/>
  <c r="AC70" i="59"/>
  <c r="AC69" i="59"/>
  <c r="AC71" i="59" s="1"/>
  <c r="AC11" i="20"/>
  <c r="D4" i="35"/>
  <c r="E6" i="55" s="1"/>
  <c r="AK32" i="26"/>
  <c r="V21" i="25"/>
  <c r="U20" i="25"/>
  <c r="U14" i="75" s="1"/>
  <c r="AK31" i="26"/>
  <c r="F63" i="59"/>
  <c r="F62" i="59" s="1"/>
  <c r="F65" i="59" s="1"/>
  <c r="F66" i="59"/>
  <c r="F31" i="59" s="1"/>
  <c r="I73" i="48"/>
  <c r="I80" i="48" s="1"/>
  <c r="J41" i="48"/>
  <c r="I46" i="48"/>
  <c r="S40" i="59"/>
  <c r="R31" i="21"/>
  <c r="AI137" i="48"/>
  <c r="AH24" i="48"/>
  <c r="F40" i="59"/>
  <c r="AC49" i="20"/>
  <c r="E3" i="35"/>
  <c r="F5" i="55" s="1"/>
  <c r="G62" i="59"/>
  <c r="G65" i="59" s="1"/>
  <c r="C21" i="21"/>
  <c r="M39" i="30" s="1"/>
  <c r="C76" i="21"/>
  <c r="W6" i="21"/>
  <c r="M45" i="30"/>
  <c r="T34" i="75"/>
  <c r="T24" i="75"/>
  <c r="T53" i="48"/>
  <c r="S53" i="48"/>
  <c r="R53" i="48"/>
  <c r="Q53" i="48"/>
  <c r="K37" i="59"/>
  <c r="K38" i="59" s="1"/>
  <c r="K45" i="75"/>
  <c r="K46" i="75" s="1"/>
  <c r="K48" i="75" s="1"/>
  <c r="K30" i="49"/>
  <c r="G48" i="75"/>
  <c r="U46" i="75" s="1"/>
  <c r="V46" i="75" s="1"/>
  <c r="W46" i="75" s="1"/>
  <c r="X46" i="75" s="1"/>
  <c r="Y46" i="75" s="1"/>
  <c r="Z46" i="75" s="1"/>
  <c r="AA46" i="75" s="1"/>
  <c r="AB46" i="75" s="1"/>
  <c r="AC46" i="75" s="1"/>
  <c r="N45" i="75"/>
  <c r="N46" i="75" s="1"/>
  <c r="N48" i="75" s="1"/>
  <c r="N37" i="59"/>
  <c r="N38" i="59" s="1"/>
  <c r="N40" i="59" s="1"/>
  <c r="N30" i="49"/>
  <c r="V16" i="26"/>
  <c r="V77" i="26" s="1"/>
  <c r="AA49" i="20"/>
  <c r="C3" i="35"/>
  <c r="D5" i="55" s="1"/>
  <c r="T9" i="50"/>
  <c r="M20" i="26"/>
  <c r="M78" i="26" s="1"/>
  <c r="AD49" i="20"/>
  <c r="F3" i="35"/>
  <c r="G5" i="55" s="1"/>
  <c r="O14" i="75"/>
  <c r="O14" i="59"/>
  <c r="O63" i="59" s="1"/>
  <c r="G98" i="75"/>
  <c r="G97" i="75" s="1"/>
  <c r="G100" i="75" s="1"/>
  <c r="G109" i="75" s="1"/>
  <c r="G37" i="75" s="1"/>
  <c r="G41" i="75" s="1"/>
  <c r="G27" i="75"/>
  <c r="G26" i="75" s="1"/>
  <c r="G29" i="75" s="1"/>
  <c r="T14" i="75"/>
  <c r="R36" i="30"/>
  <c r="AH45" i="70"/>
  <c r="K29" i="55"/>
  <c r="S34" i="21"/>
  <c r="M15" i="21"/>
  <c r="W36" i="26"/>
  <c r="L35" i="21"/>
  <c r="K35" i="21"/>
  <c r="J35" i="21"/>
  <c r="V35" i="21"/>
  <c r="U35" i="21"/>
  <c r="T35" i="21"/>
  <c r="S35" i="21"/>
  <c r="R35" i="21"/>
  <c r="E79" i="21"/>
  <c r="Q35" i="21"/>
  <c r="P35" i="21"/>
  <c r="O35" i="21"/>
  <c r="N35" i="21"/>
  <c r="M35" i="21"/>
  <c r="T35" i="26"/>
  <c r="W10" i="21"/>
  <c r="D86" i="55"/>
  <c r="D118" i="55"/>
  <c r="M77" i="26"/>
  <c r="L17" i="40"/>
  <c r="L15" i="40"/>
  <c r="V14" i="40"/>
  <c r="F83" i="21"/>
  <c r="N14" i="21"/>
  <c r="C18" i="21"/>
  <c r="P15" i="40"/>
  <c r="O31" i="38"/>
  <c r="Q31" i="38" s="1"/>
  <c r="S32" i="38"/>
  <c r="AF135" i="48"/>
  <c r="AE21" i="48"/>
  <c r="P119" i="48"/>
  <c r="E88" i="55"/>
  <c r="E120" i="55"/>
  <c r="V34" i="21"/>
  <c r="H20" i="21"/>
  <c r="R38" i="30" s="1"/>
  <c r="N34" i="21"/>
  <c r="F14" i="21"/>
  <c r="D83" i="21"/>
  <c r="E22" i="21"/>
  <c r="O40" i="30" s="1"/>
  <c r="O39" i="30"/>
  <c r="O15" i="21"/>
  <c r="Y36" i="26"/>
  <c r="Q37" i="21"/>
  <c r="P37" i="21"/>
  <c r="O37" i="21"/>
  <c r="N37" i="21"/>
  <c r="M37" i="21"/>
  <c r="L37" i="21"/>
  <c r="V37" i="21"/>
  <c r="U37" i="21"/>
  <c r="T37" i="21"/>
  <c r="S37" i="21"/>
  <c r="R37" i="21"/>
  <c r="V35" i="26"/>
  <c r="I33" i="21"/>
  <c r="R40" i="21"/>
  <c r="Q40" i="21"/>
  <c r="P40" i="21"/>
  <c r="O40" i="21"/>
  <c r="V40" i="21"/>
  <c r="U40" i="21"/>
  <c r="T40" i="21"/>
  <c r="S40" i="21"/>
  <c r="Y35" i="26"/>
  <c r="J20" i="21"/>
  <c r="T38" i="30" s="1"/>
  <c r="S31" i="21"/>
  <c r="I22" i="21"/>
  <c r="S40" i="30" s="1"/>
  <c r="S39" i="30"/>
  <c r="J19" i="21"/>
  <c r="T37" i="30" s="1"/>
  <c r="N11" i="38"/>
  <c r="R119" i="48"/>
  <c r="AJ52" i="70"/>
  <c r="AJ20" i="70" s="1"/>
  <c r="AJ27" i="70" s="1"/>
  <c r="AJ18" i="70"/>
  <c r="AJ26" i="70" s="1"/>
  <c r="L52" i="78"/>
  <c r="H18" i="49"/>
  <c r="H19" i="49" s="1"/>
  <c r="G18" i="49"/>
  <c r="G19" i="49" s="1"/>
  <c r="G20" i="49" s="1"/>
  <c r="Q14" i="59"/>
  <c r="Q63" i="59" s="1"/>
  <c r="R49" i="20"/>
  <c r="K9" i="50"/>
  <c r="N25" i="21"/>
  <c r="X43" i="30" s="1"/>
  <c r="X37" i="30"/>
  <c r="X20" i="30" s="1"/>
  <c r="V36" i="30"/>
  <c r="L15" i="21"/>
  <c r="V36" i="26"/>
  <c r="AD51" i="70"/>
  <c r="AD16" i="70"/>
  <c r="AD25" i="70" s="1"/>
  <c r="E4" i="71" s="1"/>
  <c r="G32" i="55"/>
  <c r="N14" i="75"/>
  <c r="N14" i="59"/>
  <c r="N63" i="59" s="1"/>
  <c r="G25" i="21"/>
  <c r="Q36" i="30"/>
  <c r="M21" i="21"/>
  <c r="W45" i="30"/>
  <c r="Q17" i="40"/>
  <c r="M4" i="21"/>
  <c r="L4" i="21"/>
  <c r="K4" i="21"/>
  <c r="J4" i="21"/>
  <c r="L26" i="48"/>
  <c r="N16" i="40"/>
  <c r="J149" i="48"/>
  <c r="G144" i="48"/>
  <c r="E22" i="35"/>
  <c r="F24" i="55" s="1"/>
  <c r="AD138" i="48"/>
  <c r="P149" i="48"/>
  <c r="H46" i="48"/>
  <c r="F22" i="21"/>
  <c r="P40" i="30" s="1"/>
  <c r="P39" i="30"/>
  <c r="G15" i="21"/>
  <c r="Q36" i="26"/>
  <c r="Q33" i="26" s="1"/>
  <c r="S42" i="21"/>
  <c r="R42" i="21"/>
  <c r="Q42" i="21"/>
  <c r="V42" i="21"/>
  <c r="U42" i="21"/>
  <c r="T42" i="21"/>
  <c r="AA35" i="26"/>
  <c r="P15" i="21"/>
  <c r="Z36" i="26"/>
  <c r="C24" i="21"/>
  <c r="M42" i="30" s="1"/>
  <c r="Z32" i="75"/>
  <c r="Z24" i="59"/>
  <c r="J33" i="21"/>
  <c r="V41" i="21"/>
  <c r="U41" i="21"/>
  <c r="T41" i="21"/>
  <c r="S41" i="21"/>
  <c r="R41" i="21"/>
  <c r="Q41" i="21"/>
  <c r="P41" i="21"/>
  <c r="Z35" i="26"/>
  <c r="K20" i="21"/>
  <c r="U38" i="30" s="1"/>
  <c r="AD75" i="30" s="1"/>
  <c r="F31" i="21"/>
  <c r="G80" i="21"/>
  <c r="K19" i="21"/>
  <c r="U37" i="30" s="1"/>
  <c r="AG14" i="70"/>
  <c r="AG24" i="70" s="1"/>
  <c r="H3" i="71" s="1"/>
  <c r="J31" i="55"/>
  <c r="M135" i="48"/>
  <c r="K135" i="48"/>
  <c r="J144" i="48"/>
  <c r="J135" i="48"/>
  <c r="O136" i="48"/>
  <c r="T119" i="48"/>
  <c r="W26" i="48"/>
  <c r="AE14" i="70"/>
  <c r="AE24" i="70" s="1"/>
  <c r="F3" i="71" s="1"/>
  <c r="H31" i="55"/>
  <c r="S149" i="48"/>
  <c r="S121" i="48"/>
  <c r="H70" i="48"/>
  <c r="H77" i="48" s="1"/>
  <c r="H42" i="48"/>
  <c r="H40" i="59"/>
  <c r="AK30" i="26"/>
  <c r="E20" i="49"/>
  <c r="G66" i="59"/>
  <c r="G31" i="59" s="1"/>
  <c r="I29" i="20"/>
  <c r="AF49" i="20"/>
  <c r="H3" i="35"/>
  <c r="I5" i="55" s="1"/>
  <c r="H48" i="75"/>
  <c r="K14" i="75"/>
  <c r="K14" i="59"/>
  <c r="K63" i="59" s="1"/>
  <c r="K62" i="59" s="1"/>
  <c r="K65" i="59" s="1"/>
  <c r="H101" i="55"/>
  <c r="H69" i="55"/>
  <c r="M14" i="59"/>
  <c r="M63" i="59" s="1"/>
  <c r="AC28" i="20"/>
  <c r="D5" i="35"/>
  <c r="E7" i="55" s="1"/>
  <c r="N17" i="26"/>
  <c r="W36" i="30"/>
  <c r="Q31" i="21"/>
  <c r="M31" i="21"/>
  <c r="G76" i="21"/>
  <c r="N31" i="21"/>
  <c r="K71" i="38"/>
  <c r="K73" i="38"/>
  <c r="Z119" i="48"/>
  <c r="R34" i="21"/>
  <c r="M34" i="21"/>
  <c r="H15" i="21"/>
  <c r="R36" i="26"/>
  <c r="R33" i="26" s="1"/>
  <c r="AA32" i="75"/>
  <c r="AA24" i="59"/>
  <c r="D25" i="21"/>
  <c r="N36" i="30"/>
  <c r="V51" i="21"/>
  <c r="V50" i="21"/>
  <c r="J18" i="21"/>
  <c r="L20" i="21"/>
  <c r="V38" i="30" s="1"/>
  <c r="T31" i="21"/>
  <c r="L19" i="21"/>
  <c r="V37" i="30" s="1"/>
  <c r="V20" i="30" s="1"/>
  <c r="J40" i="48"/>
  <c r="I45" i="48"/>
  <c r="I72" i="48"/>
  <c r="I79" i="48" s="1"/>
  <c r="S24" i="75"/>
  <c r="S34" i="75"/>
  <c r="S119" i="48"/>
  <c r="S144" i="48"/>
  <c r="L119" i="48"/>
  <c r="T13" i="33"/>
  <c r="V13" i="33"/>
  <c r="W13" i="33"/>
  <c r="U13" i="33"/>
  <c r="O15" i="40"/>
  <c r="J45" i="75"/>
  <c r="J46" i="75" s="1"/>
  <c r="J48" i="75" s="1"/>
  <c r="J37" i="59"/>
  <c r="J38" i="59" s="1"/>
  <c r="J40" i="59" s="1"/>
  <c r="J30" i="49"/>
  <c r="P45" i="75"/>
  <c r="P46" i="75" s="1"/>
  <c r="P30" i="49"/>
  <c r="P37" i="59"/>
  <c r="P38" i="59" s="1"/>
  <c r="U38" i="59"/>
  <c r="V38" i="59" s="1"/>
  <c r="W38" i="59" s="1"/>
  <c r="X38" i="59" s="1"/>
  <c r="Y38" i="59" s="1"/>
  <c r="Z38" i="59" s="1"/>
  <c r="AA38" i="59" s="1"/>
  <c r="X85" i="75"/>
  <c r="W34" i="75"/>
  <c r="W24" i="75"/>
  <c r="P14" i="59"/>
  <c r="P63" i="59" s="1"/>
  <c r="P14" i="75"/>
  <c r="P20" i="25"/>
  <c r="S49" i="20"/>
  <c r="L9" i="50"/>
  <c r="AB26" i="59"/>
  <c r="AC50" i="59"/>
  <c r="L73" i="26"/>
  <c r="O33" i="75"/>
  <c r="O38" i="75" s="1"/>
  <c r="O23" i="75"/>
  <c r="O28" i="75" s="1"/>
  <c r="O25" i="59"/>
  <c r="O30" i="59" s="1"/>
  <c r="H5" i="50" s="1"/>
  <c r="AD45" i="70"/>
  <c r="G29" i="55"/>
  <c r="U51" i="21"/>
  <c r="U50" i="21"/>
  <c r="D15" i="21"/>
  <c r="N36" i="26"/>
  <c r="I15" i="21"/>
  <c r="S36" i="26"/>
  <c r="S33" i="26" s="1"/>
  <c r="H114" i="55"/>
  <c r="H82" i="55"/>
  <c r="Q15" i="21"/>
  <c r="AA36" i="26"/>
  <c r="G31" i="21"/>
  <c r="G22" i="21"/>
  <c r="Q40" i="30" s="1"/>
  <c r="Q39" i="30"/>
  <c r="C79" i="21"/>
  <c r="AE52" i="70"/>
  <c r="AE20" i="70" s="1"/>
  <c r="AE27" i="70" s="1"/>
  <c r="F6" i="71" s="1"/>
  <c r="AE18" i="70"/>
  <c r="AE26" i="70" s="1"/>
  <c r="F5" i="71" s="1"/>
  <c r="E75" i="21"/>
  <c r="Q32" i="75"/>
  <c r="Q24" i="59"/>
  <c r="X119" i="48"/>
  <c r="O144" i="48"/>
  <c r="O119" i="48"/>
  <c r="J24" i="75"/>
  <c r="J28" i="75" s="1"/>
  <c r="J34" i="75"/>
  <c r="J99" i="75" s="1"/>
  <c r="AD136" i="48"/>
  <c r="AC23" i="48"/>
  <c r="AC19" i="48" s="1"/>
  <c r="E20" i="35" s="1"/>
  <c r="F22" i="55" s="1"/>
  <c r="Q144" i="48"/>
  <c r="Q119" i="48"/>
  <c r="M48" i="75"/>
  <c r="Y29" i="49"/>
  <c r="Y30" i="49" s="1"/>
  <c r="P34" i="75"/>
  <c r="P24" i="75"/>
  <c r="AB17" i="75"/>
  <c r="AB15" i="33"/>
  <c r="AC10" i="33"/>
  <c r="AB17" i="59"/>
  <c r="D12" i="35"/>
  <c r="E14" i="55" s="1"/>
  <c r="R13" i="33"/>
  <c r="P13" i="33"/>
  <c r="S13" i="33"/>
  <c r="Q13" i="33"/>
  <c r="I18" i="49"/>
  <c r="I19" i="49" s="1"/>
  <c r="I20" i="49" s="1"/>
  <c r="AG49" i="20"/>
  <c r="I3" i="35"/>
  <c r="J5" i="55" s="1"/>
  <c r="R13" i="30"/>
  <c r="R12" i="30" s="1"/>
  <c r="P13" i="30"/>
  <c r="P12" i="30" s="1"/>
  <c r="Z63" i="59"/>
  <c r="R14" i="59"/>
  <c r="R63" i="59" s="1"/>
  <c r="G83" i="21"/>
  <c r="R14" i="21"/>
  <c r="S26" i="38"/>
  <c r="M26" i="38" s="1"/>
  <c r="O26" i="38" s="1"/>
  <c r="M25" i="38"/>
  <c r="O25" i="38" s="1"/>
  <c r="K21" i="21"/>
  <c r="U45" i="30"/>
  <c r="J24" i="21"/>
  <c r="J23" i="21"/>
  <c r="T41" i="30" s="1"/>
  <c r="T24" i="30" s="1"/>
  <c r="P42" i="38"/>
  <c r="R42" i="38" s="1"/>
  <c r="T43" i="38"/>
  <c r="AH14" i="70"/>
  <c r="AH24" i="70" s="1"/>
  <c r="I3" i="71" s="1"/>
  <c r="K31" i="55"/>
  <c r="U32" i="75"/>
  <c r="U24" i="59"/>
  <c r="I66" i="38"/>
  <c r="I69" i="38"/>
  <c r="S32" i="75"/>
  <c r="S24" i="59"/>
  <c r="F102" i="48"/>
  <c r="AA26" i="48"/>
  <c r="C19" i="35"/>
  <c r="D21" i="55" s="1"/>
  <c r="AC13" i="30"/>
  <c r="AD17" i="30"/>
  <c r="AC15" i="30"/>
  <c r="D20" i="49"/>
  <c r="K101" i="55"/>
  <c r="K69" i="55"/>
  <c r="L20" i="25"/>
  <c r="L14" i="59" s="1"/>
  <c r="L63" i="59" s="1"/>
  <c r="L62" i="59" s="1"/>
  <c r="L65" i="59" s="1"/>
  <c r="AB49" i="20"/>
  <c r="D3" i="35"/>
  <c r="E5" i="55" s="1"/>
  <c r="J73" i="26"/>
  <c r="J50" i="20" s="1"/>
  <c r="J51" i="20" s="1"/>
  <c r="S14" i="59"/>
  <c r="S63" i="59" s="1"/>
  <c r="S14" i="75"/>
  <c r="I25" i="21"/>
  <c r="S36" i="30"/>
  <c r="P36" i="30"/>
  <c r="U29" i="21"/>
  <c r="G29" i="21"/>
  <c r="T29" i="21"/>
  <c r="F29" i="21"/>
  <c r="F28" i="21" s="1"/>
  <c r="S29" i="21"/>
  <c r="S28" i="21" s="1"/>
  <c r="AC81" i="26" s="1"/>
  <c r="E29" i="21"/>
  <c r="E28" i="21" s="1"/>
  <c r="R29" i="21"/>
  <c r="D29" i="21"/>
  <c r="D28" i="21" s="1"/>
  <c r="Q29" i="21"/>
  <c r="P29" i="21"/>
  <c r="O29" i="21"/>
  <c r="O28" i="21" s="1"/>
  <c r="N29" i="21"/>
  <c r="N28" i="21" s="1"/>
  <c r="M29" i="21"/>
  <c r="L29" i="21"/>
  <c r="K29" i="21"/>
  <c r="K28" i="21" s="1"/>
  <c r="J29" i="21"/>
  <c r="I29" i="21"/>
  <c r="V29" i="21"/>
  <c r="H29" i="21"/>
  <c r="H28" i="21" s="1"/>
  <c r="N35" i="26"/>
  <c r="S15" i="21"/>
  <c r="AC36" i="26"/>
  <c r="E25" i="21"/>
  <c r="O36" i="30"/>
  <c r="D80" i="21"/>
  <c r="P37" i="26"/>
  <c r="P17" i="26" s="1"/>
  <c r="U36" i="30"/>
  <c r="AD73" i="30" s="1"/>
  <c r="S17" i="40"/>
  <c r="S16" i="40"/>
  <c r="H31" i="21"/>
  <c r="S16" i="38"/>
  <c r="L15" i="38"/>
  <c r="N15" i="38" s="1"/>
  <c r="V32" i="75"/>
  <c r="V24" i="59"/>
  <c r="L135" i="48"/>
  <c r="R34" i="75"/>
  <c r="R24" i="75"/>
  <c r="AI45" i="70"/>
  <c r="L29" i="55"/>
  <c r="L93" i="55" s="1"/>
  <c r="AD21" i="48"/>
  <c r="M34" i="75"/>
  <c r="M24" i="75"/>
  <c r="M28" i="75" s="1"/>
  <c r="L45" i="75"/>
  <c r="L46" i="75" s="1"/>
  <c r="L37" i="59"/>
  <c r="L38" i="59" s="1"/>
  <c r="L40" i="59" s="1"/>
  <c r="L30" i="49"/>
  <c r="H66" i="59"/>
  <c r="S15" i="30"/>
  <c r="H13" i="20"/>
  <c r="D104" i="55"/>
  <c r="D72" i="55"/>
  <c r="C43" i="26"/>
  <c r="E45" i="26"/>
  <c r="E43" i="26" s="1"/>
  <c r="J14" i="59"/>
  <c r="J63" i="59" s="1"/>
  <c r="J62" i="59" s="1"/>
  <c r="J65" i="59" s="1"/>
  <c r="D75" i="21"/>
  <c r="P32" i="75"/>
  <c r="P24" i="59"/>
  <c r="H71" i="48"/>
  <c r="H78" i="48" s="1"/>
  <c r="H44" i="48"/>
  <c r="P25" i="21"/>
  <c r="Z43" i="30" s="1"/>
  <c r="Z41" i="30"/>
  <c r="Z24" i="30" s="1"/>
  <c r="H21" i="21"/>
  <c r="R45" i="30"/>
  <c r="V44" i="21"/>
  <c r="U44" i="21"/>
  <c r="T44" i="21"/>
  <c r="S44" i="21"/>
  <c r="AC35" i="26"/>
  <c r="AC33" i="75"/>
  <c r="AC38" i="75" s="1"/>
  <c r="AC23" i="75"/>
  <c r="AC25" i="59"/>
  <c r="AC30" i="59" s="1"/>
  <c r="T15" i="21"/>
  <c r="AD36" i="26"/>
  <c r="AD33" i="26" s="1"/>
  <c r="U38" i="21"/>
  <c r="T38" i="21"/>
  <c r="S38" i="21"/>
  <c r="R38" i="21"/>
  <c r="Q38" i="21"/>
  <c r="P38" i="21"/>
  <c r="O38" i="21"/>
  <c r="N38" i="21"/>
  <c r="M38" i="21"/>
  <c r="V38" i="21"/>
  <c r="W35" i="26"/>
  <c r="E80" i="21"/>
  <c r="T37" i="26"/>
  <c r="T17" i="26" s="1"/>
  <c r="L23" i="21"/>
  <c r="V41" i="30" s="1"/>
  <c r="V24" i="30" s="1"/>
  <c r="V31" i="21"/>
  <c r="M48" i="21"/>
  <c r="L48" i="21"/>
  <c r="H8" i="2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AB51" i="70"/>
  <c r="AB16" i="70"/>
  <c r="AB25" i="70" s="1"/>
  <c r="C4" i="71" s="1"/>
  <c r="E30" i="55"/>
  <c r="E16" i="5"/>
  <c r="W32" i="75"/>
  <c r="W24" i="59"/>
  <c r="I144" i="48"/>
  <c r="R32" i="75"/>
  <c r="R24" i="59"/>
  <c r="I44" i="48"/>
  <c r="I71" i="48"/>
  <c r="I78" i="48" s="1"/>
  <c r="J39" i="48"/>
  <c r="S135" i="48"/>
  <c r="J18" i="49"/>
  <c r="J19" i="49" s="1"/>
  <c r="J20" i="49" s="1"/>
  <c r="Y49" i="20"/>
  <c r="R9" i="50"/>
  <c r="L29" i="49"/>
  <c r="W15" i="30"/>
  <c r="D47" i="26"/>
  <c r="E47" i="26" s="1"/>
  <c r="I20" i="25"/>
  <c r="I14" i="75" s="1"/>
  <c r="E14" i="59"/>
  <c r="E14" i="75"/>
  <c r="V14" i="74"/>
  <c r="V13" i="74" s="1"/>
  <c r="V11" i="74" s="1"/>
  <c r="V19" i="74" s="1"/>
  <c r="W12" i="74"/>
  <c r="U98" i="75" l="1"/>
  <c r="U27" i="75"/>
  <c r="Z104" i="75"/>
  <c r="Z106" i="75" s="1"/>
  <c r="Z105" i="75" s="1"/>
  <c r="I98" i="75"/>
  <c r="I97" i="75" s="1"/>
  <c r="I100" i="75" s="1"/>
  <c r="I109" i="75" s="1"/>
  <c r="I37" i="75" s="1"/>
  <c r="I27" i="75"/>
  <c r="I26" i="75" s="1"/>
  <c r="I29" i="75" s="1"/>
  <c r="I101" i="75"/>
  <c r="F118" i="55"/>
  <c r="F86" i="55"/>
  <c r="S43" i="30"/>
  <c r="I26" i="21"/>
  <c r="V33" i="26"/>
  <c r="V13" i="26"/>
  <c r="P55" i="48"/>
  <c r="N55" i="48"/>
  <c r="M55" i="48"/>
  <c r="O55" i="48"/>
  <c r="E126" i="55"/>
  <c r="E94" i="55"/>
  <c r="P99" i="75"/>
  <c r="L48" i="75"/>
  <c r="J28" i="21"/>
  <c r="G28" i="21"/>
  <c r="L14" i="75"/>
  <c r="N4" i="50"/>
  <c r="E78" i="55"/>
  <c r="E110" i="55"/>
  <c r="P40" i="59"/>
  <c r="Q40" i="59"/>
  <c r="AK17" i="26"/>
  <c r="N20" i="26"/>
  <c r="N78" i="26" s="1"/>
  <c r="N73" i="26" s="1"/>
  <c r="E74" i="21"/>
  <c r="T33" i="75"/>
  <c r="T23" i="75"/>
  <c r="T28" i="75" s="1"/>
  <c r="T25" i="59"/>
  <c r="AD52" i="70"/>
  <c r="AD20" i="70" s="1"/>
  <c r="AD27" i="70" s="1"/>
  <c r="E6" i="71" s="1"/>
  <c r="AD18" i="70"/>
  <c r="AD26" i="70" s="1"/>
  <c r="E5" i="71" s="1"/>
  <c r="M73" i="26"/>
  <c r="Q4" i="50"/>
  <c r="G15" i="35"/>
  <c r="H17" i="55" s="1"/>
  <c r="Z33" i="75"/>
  <c r="Z38" i="75" s="1"/>
  <c r="Z23" i="75"/>
  <c r="Z25" i="59"/>
  <c r="Z30" i="59" s="1"/>
  <c r="S5" i="50" s="1"/>
  <c r="O98" i="75"/>
  <c r="O27" i="75"/>
  <c r="O26" i="75" s="1"/>
  <c r="O29" i="75" s="1"/>
  <c r="E98" i="75"/>
  <c r="E97" i="75" s="1"/>
  <c r="E100" i="75" s="1"/>
  <c r="E109" i="75" s="1"/>
  <c r="E37" i="75" s="1"/>
  <c r="E27" i="75"/>
  <c r="E26" i="75" s="1"/>
  <c r="E29" i="75" s="1"/>
  <c r="E101" i="75"/>
  <c r="E39" i="75" s="1"/>
  <c r="Z13" i="30"/>
  <c r="Z12" i="30" s="1"/>
  <c r="Z15" i="30"/>
  <c r="U99" i="75"/>
  <c r="AK37" i="26"/>
  <c r="AL16" i="26" s="1"/>
  <c r="U23" i="75"/>
  <c r="U28" i="75" s="1"/>
  <c r="U33" i="75"/>
  <c r="U38" i="75" s="1"/>
  <c r="U25" i="59"/>
  <c r="U30" i="59" s="1"/>
  <c r="N5" i="50" s="1"/>
  <c r="AK16" i="26"/>
  <c r="T98" i="75"/>
  <c r="T27" i="75"/>
  <c r="T26" i="75" s="1"/>
  <c r="T29" i="75" s="1"/>
  <c r="F15" i="35"/>
  <c r="G17" i="55" s="1"/>
  <c r="AA33" i="75"/>
  <c r="AA38" i="75" s="1"/>
  <c r="AA23" i="75"/>
  <c r="AA25" i="59"/>
  <c r="AA30" i="59" s="1"/>
  <c r="O40" i="59"/>
  <c r="M46" i="38"/>
  <c r="M47" i="38" s="1"/>
  <c r="K39" i="48"/>
  <c r="J44" i="48"/>
  <c r="J71" i="48"/>
  <c r="J78" i="48" s="1"/>
  <c r="AI12" i="70"/>
  <c r="AI23" i="70" s="1"/>
  <c r="J2" i="71" s="1"/>
  <c r="L28" i="55"/>
  <c r="L92" i="55" s="1"/>
  <c r="AD13" i="30"/>
  <c r="AE17" i="30"/>
  <c r="AD15" i="30"/>
  <c r="K4" i="50"/>
  <c r="AA33" i="26"/>
  <c r="AA13" i="26"/>
  <c r="AA20" i="26" s="1"/>
  <c r="U68" i="59"/>
  <c r="U67" i="59" s="1"/>
  <c r="H31" i="59"/>
  <c r="H33" i="59" s="1"/>
  <c r="AD12" i="70"/>
  <c r="AD23" i="70" s="1"/>
  <c r="E2" i="71" s="1"/>
  <c r="G28" i="55"/>
  <c r="I69" i="55"/>
  <c r="I101" i="55"/>
  <c r="K93" i="55"/>
  <c r="K125" i="55"/>
  <c r="U28" i="21"/>
  <c r="AE81" i="26" s="1"/>
  <c r="AB52" i="70"/>
  <c r="AB18" i="70"/>
  <c r="AB26" i="70" s="1"/>
  <c r="C5" i="71" s="1"/>
  <c r="E31" i="55"/>
  <c r="V47" i="21"/>
  <c r="AF83" i="26" s="1"/>
  <c r="AG83" i="26" s="1"/>
  <c r="AH83" i="26" s="1"/>
  <c r="AI83" i="26" s="1"/>
  <c r="AJ83" i="26" s="1"/>
  <c r="L28" i="21"/>
  <c r="K127" i="55"/>
  <c r="K95" i="55"/>
  <c r="L50" i="20"/>
  <c r="L51" i="20" s="1"/>
  <c r="E2" i="50"/>
  <c r="P48" i="75"/>
  <c r="Q48" i="75"/>
  <c r="E71" i="55"/>
  <c r="E103" i="55"/>
  <c r="V23" i="75"/>
  <c r="V28" i="75" s="1"/>
  <c r="V33" i="75"/>
  <c r="V38" i="75" s="1"/>
  <c r="V25" i="59"/>
  <c r="V30" i="59" s="1"/>
  <c r="O5" i="50" s="1"/>
  <c r="F74" i="59"/>
  <c r="F29" i="59" s="1"/>
  <c r="F33" i="59" s="1"/>
  <c r="M6" i="50"/>
  <c r="T46" i="30"/>
  <c r="Y33" i="75"/>
  <c r="Y23" i="75"/>
  <c r="Y25" i="59"/>
  <c r="E10" i="55"/>
  <c r="O47" i="21"/>
  <c r="Y83" i="26" s="1"/>
  <c r="J47" i="21"/>
  <c r="T83" i="26" s="1"/>
  <c r="J72" i="48"/>
  <c r="J79" i="48" s="1"/>
  <c r="J45" i="48"/>
  <c r="K40" i="48"/>
  <c r="N53" i="48"/>
  <c r="M53" i="48"/>
  <c r="O53" i="48"/>
  <c r="P53" i="48"/>
  <c r="W14" i="74"/>
  <c r="W13" i="74" s="1"/>
  <c r="W11" i="74" s="1"/>
  <c r="W19" i="74" s="1"/>
  <c r="X12" i="74"/>
  <c r="V15" i="30"/>
  <c r="V13" i="30"/>
  <c r="V12" i="30" s="1"/>
  <c r="Z33" i="26"/>
  <c r="Z13" i="26"/>
  <c r="Z20" i="26" s="1"/>
  <c r="Z78" i="26" s="1"/>
  <c r="S47" i="21"/>
  <c r="AC83" i="26" s="1"/>
  <c r="D101" i="55"/>
  <c r="D69" i="55"/>
  <c r="AC33" i="26"/>
  <c r="AC13" i="26"/>
  <c r="N47" i="21"/>
  <c r="X83" i="26" s="1"/>
  <c r="M28" i="21"/>
  <c r="F25" i="21"/>
  <c r="AC17" i="59"/>
  <c r="AC17" i="75"/>
  <c r="AD10" i="33"/>
  <c r="AC15" i="33"/>
  <c r="E12" i="35"/>
  <c r="F14" i="55" s="1"/>
  <c r="AD50" i="59"/>
  <c r="AC26" i="59"/>
  <c r="T56" i="48"/>
  <c r="R56" i="48"/>
  <c r="Q56" i="48"/>
  <c r="S56" i="48"/>
  <c r="AD28" i="20"/>
  <c r="E5" i="35"/>
  <c r="F7" i="55" s="1"/>
  <c r="J95" i="55"/>
  <c r="J127" i="55"/>
  <c r="W33" i="75"/>
  <c r="W38" i="75" s="1"/>
  <c r="W25" i="59"/>
  <c r="W30" i="59" s="1"/>
  <c r="P5" i="50" s="1"/>
  <c r="W23" i="75"/>
  <c r="W28" i="75" s="1"/>
  <c r="W26" i="75" s="1"/>
  <c r="AG135" i="48"/>
  <c r="AF21" i="48"/>
  <c r="G74" i="59"/>
  <c r="G29" i="59" s="1"/>
  <c r="G33" i="59" s="1"/>
  <c r="AD70" i="59"/>
  <c r="AD69" i="59"/>
  <c r="AD71" i="59" s="1"/>
  <c r="I127" i="55"/>
  <c r="I95" i="55"/>
  <c r="F101" i="55"/>
  <c r="F69" i="55"/>
  <c r="C84" i="21"/>
  <c r="W14" i="21"/>
  <c r="C15" i="21"/>
  <c r="Q23" i="75"/>
  <c r="Q28" i="75" s="1"/>
  <c r="Q26" i="75" s="1"/>
  <c r="Q29" i="75" s="1"/>
  <c r="Q25" i="59"/>
  <c r="Q30" i="59" s="1"/>
  <c r="J5" i="50" s="1"/>
  <c r="Q33" i="75"/>
  <c r="Q38" i="75" s="1"/>
  <c r="J22" i="21"/>
  <c r="T40" i="30" s="1"/>
  <c r="T39" i="30"/>
  <c r="S33" i="75"/>
  <c r="S38" i="75" s="1"/>
  <c r="S23" i="75"/>
  <c r="S28" i="75" s="1"/>
  <c r="S25" i="59"/>
  <c r="S30" i="59" s="1"/>
  <c r="L5" i="50" s="1"/>
  <c r="I14" i="59"/>
  <c r="F41" i="75"/>
  <c r="V16" i="75"/>
  <c r="V14" i="75" s="1"/>
  <c r="V16" i="59"/>
  <c r="V14" i="59" s="1"/>
  <c r="V63" i="59" s="1"/>
  <c r="W21" i="25"/>
  <c r="Q52" i="21"/>
  <c r="Q47" i="21" s="1"/>
  <c r="AA83" i="26" s="1"/>
  <c r="D78" i="21"/>
  <c r="P52" i="21"/>
  <c r="P47" i="21" s="1"/>
  <c r="Z83" i="26" s="1"/>
  <c r="O52" i="21"/>
  <c r="N52" i="21"/>
  <c r="M52" i="21"/>
  <c r="M47" i="21" s="1"/>
  <c r="W83" i="26" s="1"/>
  <c r="L52" i="21"/>
  <c r="L47" i="21" s="1"/>
  <c r="V83" i="26" s="1"/>
  <c r="K52" i="21"/>
  <c r="K47" i="21" s="1"/>
  <c r="U83" i="26" s="1"/>
  <c r="J52" i="21"/>
  <c r="I52" i="21"/>
  <c r="I47" i="21" s="1"/>
  <c r="S83" i="26" s="1"/>
  <c r="V52" i="21"/>
  <c r="H52" i="21"/>
  <c r="H47" i="21" s="1"/>
  <c r="U52" i="21"/>
  <c r="U47" i="21" s="1"/>
  <c r="AE83" i="26" s="1"/>
  <c r="T52" i="21"/>
  <c r="S52" i="21"/>
  <c r="R52" i="21"/>
  <c r="W8" i="21"/>
  <c r="K6" i="50"/>
  <c r="R46" i="30"/>
  <c r="P28" i="21"/>
  <c r="Z81" i="26" s="1"/>
  <c r="S98" i="75"/>
  <c r="S97" i="75" s="1"/>
  <c r="S100" i="75" s="1"/>
  <c r="S27" i="75"/>
  <c r="S26" i="75" s="1"/>
  <c r="S29" i="75" s="1"/>
  <c r="J69" i="55"/>
  <c r="J101" i="55"/>
  <c r="N57" i="48"/>
  <c r="M57" i="48"/>
  <c r="P57" i="48"/>
  <c r="O57" i="48"/>
  <c r="G69" i="55"/>
  <c r="G101" i="55"/>
  <c r="K40" i="59"/>
  <c r="U14" i="59"/>
  <c r="U63" i="59" s="1"/>
  <c r="E118" i="55"/>
  <c r="E86" i="55"/>
  <c r="R33" i="75"/>
  <c r="R38" i="75" s="1"/>
  <c r="R23" i="75"/>
  <c r="R28" i="75" s="1"/>
  <c r="R25" i="59"/>
  <c r="R30" i="59" s="1"/>
  <c r="K5" i="50" s="1"/>
  <c r="F109" i="75"/>
  <c r="F37" i="75" s="1"/>
  <c r="S4" i="50"/>
  <c r="Z64" i="59"/>
  <c r="Z62" i="59" s="1"/>
  <c r="Z65" i="59" s="1"/>
  <c r="J4" i="50"/>
  <c r="Q64" i="59"/>
  <c r="AD74" i="30"/>
  <c r="U20" i="30"/>
  <c r="O32" i="38"/>
  <c r="Q32" i="38" s="1"/>
  <c r="S33" i="38"/>
  <c r="T15" i="30"/>
  <c r="T13" i="30"/>
  <c r="T12" i="30" s="1"/>
  <c r="T55" i="48"/>
  <c r="S55" i="48"/>
  <c r="R55" i="48"/>
  <c r="Q55" i="48"/>
  <c r="H22" i="21"/>
  <c r="R40" i="30" s="1"/>
  <c r="R39" i="30"/>
  <c r="O43" i="30"/>
  <c r="E26" i="21"/>
  <c r="Q28" i="21"/>
  <c r="AA81" i="26" s="1"/>
  <c r="D85" i="55"/>
  <c r="D117" i="55"/>
  <c r="M22" i="21"/>
  <c r="W39" i="30"/>
  <c r="Y15" i="30"/>
  <c r="Y13" i="30"/>
  <c r="Y12" i="30" s="1"/>
  <c r="K29" i="20"/>
  <c r="K13" i="20"/>
  <c r="D74" i="21"/>
  <c r="P33" i="75"/>
  <c r="P38" i="75" s="1"/>
  <c r="P23" i="75"/>
  <c r="P28" i="75" s="1"/>
  <c r="P25" i="59"/>
  <c r="P30" i="59" s="1"/>
  <c r="I5" i="50" s="1"/>
  <c r="W4" i="21"/>
  <c r="F125" i="55"/>
  <c r="F93" i="55"/>
  <c r="H74" i="59"/>
  <c r="H29" i="59" s="1"/>
  <c r="D43" i="26"/>
  <c r="U46" i="30"/>
  <c r="AD83" i="30" s="1"/>
  <c r="AD82" i="30"/>
  <c r="N6" i="50"/>
  <c r="P98" i="75"/>
  <c r="P27" i="75"/>
  <c r="P26" i="75" s="1"/>
  <c r="P29" i="75" s="1"/>
  <c r="J25" i="21"/>
  <c r="T36" i="30"/>
  <c r="H127" i="55"/>
  <c r="H95" i="55"/>
  <c r="AE138" i="48"/>
  <c r="F22" i="35"/>
  <c r="G24" i="55" s="1"/>
  <c r="D87" i="21"/>
  <c r="C25" i="21"/>
  <c r="M43" i="30" s="1"/>
  <c r="M36" i="30"/>
  <c r="AJ137" i="48"/>
  <c r="AJ24" i="48" s="1"/>
  <c r="AI24" i="48"/>
  <c r="K42" i="48"/>
  <c r="K70" i="48"/>
  <c r="K77" i="48" s="1"/>
  <c r="L38" i="48"/>
  <c r="AE13" i="25"/>
  <c r="AD11" i="25"/>
  <c r="AD20" i="25" s="1"/>
  <c r="F8" i="35" s="1"/>
  <c r="G10" i="55" s="1"/>
  <c r="AD15" i="25"/>
  <c r="AD14" i="25" s="1"/>
  <c r="F126" i="55"/>
  <c r="F94" i="55"/>
  <c r="O6" i="50"/>
  <c r="V46" i="30"/>
  <c r="M26" i="75"/>
  <c r="M29" i="75" s="1"/>
  <c r="AD12" i="30"/>
  <c r="AC11" i="30"/>
  <c r="AC46" i="30" s="1"/>
  <c r="E6" i="35" s="1"/>
  <c r="F8" i="55" s="1"/>
  <c r="F120" i="55"/>
  <c r="F88" i="55"/>
  <c r="Q43" i="30"/>
  <c r="G26" i="21"/>
  <c r="Q62" i="59"/>
  <c r="Q65" i="59" s="1"/>
  <c r="Y13" i="26"/>
  <c r="Y33" i="26"/>
  <c r="F15" i="21"/>
  <c r="D85" i="21" s="1"/>
  <c r="D84" i="21"/>
  <c r="P36" i="26"/>
  <c r="P33" i="26" s="1"/>
  <c r="N15" i="21"/>
  <c r="F85" i="21" s="1"/>
  <c r="F84" i="21"/>
  <c r="F87" i="21" s="1"/>
  <c r="X36" i="26"/>
  <c r="X33" i="26" s="1"/>
  <c r="E70" i="55"/>
  <c r="E102" i="55"/>
  <c r="X53" i="48"/>
  <c r="W53" i="48"/>
  <c r="U53" i="48"/>
  <c r="V53" i="48"/>
  <c r="N24" i="59"/>
  <c r="N32" i="75"/>
  <c r="N99" i="75" s="1"/>
  <c r="E104" i="55"/>
  <c r="E72" i="55"/>
  <c r="P6" i="50"/>
  <c r="W46" i="30"/>
  <c r="V99" i="75"/>
  <c r="AK35" i="26"/>
  <c r="AL13" i="26" s="1"/>
  <c r="N33" i="26"/>
  <c r="E101" i="55"/>
  <c r="E69" i="55"/>
  <c r="L4" i="50"/>
  <c r="K22" i="21"/>
  <c r="U40" i="30" s="1"/>
  <c r="AD77" i="30" s="1"/>
  <c r="U39" i="30"/>
  <c r="AD76" i="30" s="1"/>
  <c r="G125" i="55"/>
  <c r="G93" i="55"/>
  <c r="AD11" i="20"/>
  <c r="E4" i="35"/>
  <c r="F6" i="55" s="1"/>
  <c r="AC14" i="59"/>
  <c r="AC14" i="75"/>
  <c r="E8" i="35"/>
  <c r="F10" i="55" s="1"/>
  <c r="O32" i="75"/>
  <c r="O99" i="75" s="1"/>
  <c r="O24" i="59"/>
  <c r="AC52" i="70"/>
  <c r="AC18" i="70"/>
  <c r="AC26" i="70" s="1"/>
  <c r="D5" i="71" s="1"/>
  <c r="F31" i="55"/>
  <c r="O73" i="26"/>
  <c r="L22" i="21"/>
  <c r="V39" i="30"/>
  <c r="R26" i="75"/>
  <c r="R29" i="75" s="1"/>
  <c r="J13" i="20"/>
  <c r="J29" i="20"/>
  <c r="K27" i="75"/>
  <c r="K26" i="75" s="1"/>
  <c r="K29" i="75" s="1"/>
  <c r="K98" i="75"/>
  <c r="K97" i="75" s="1"/>
  <c r="K100" i="75" s="1"/>
  <c r="W64" i="59"/>
  <c r="P4" i="50"/>
  <c r="M40" i="59"/>
  <c r="Q28" i="26"/>
  <c r="P15" i="26"/>
  <c r="P76" i="26"/>
  <c r="P27" i="26"/>
  <c r="J15" i="21"/>
  <c r="E85" i="21" s="1"/>
  <c r="E84" i="21"/>
  <c r="E87" i="21" s="1"/>
  <c r="T36" i="26"/>
  <c r="T33" i="26" s="1"/>
  <c r="V103" i="75"/>
  <c r="U103" i="75"/>
  <c r="U102" i="75" s="1"/>
  <c r="H39" i="75"/>
  <c r="H41" i="75" s="1"/>
  <c r="X15" i="30"/>
  <c r="X13" i="30"/>
  <c r="X12" i="30" s="1"/>
  <c r="R47" i="21"/>
  <c r="AB83" i="26" s="1"/>
  <c r="E63" i="59"/>
  <c r="E62" i="59" s="1"/>
  <c r="E65" i="59" s="1"/>
  <c r="E74" i="59" s="1"/>
  <c r="E29" i="59" s="1"/>
  <c r="E66" i="59"/>
  <c r="E31" i="59" s="1"/>
  <c r="O4" i="50"/>
  <c r="V64" i="59"/>
  <c r="R28" i="21"/>
  <c r="AB81" i="26" s="1"/>
  <c r="S99" i="75"/>
  <c r="N98" i="75"/>
  <c r="N97" i="75" s="1"/>
  <c r="N100" i="75" s="1"/>
  <c r="N27" i="75"/>
  <c r="N26" i="75" s="1"/>
  <c r="N29" i="75" s="1"/>
  <c r="Y85" i="75"/>
  <c r="X24" i="75"/>
  <c r="X34" i="75"/>
  <c r="N43" i="30"/>
  <c r="D26" i="21"/>
  <c r="G128" i="55"/>
  <c r="G96" i="55"/>
  <c r="H20" i="49"/>
  <c r="AB27" i="49" s="1"/>
  <c r="AH12" i="70"/>
  <c r="AH23" i="70" s="1"/>
  <c r="I2" i="71" s="1"/>
  <c r="K28" i="55"/>
  <c r="T57" i="48"/>
  <c r="S57" i="48"/>
  <c r="R57" i="48"/>
  <c r="Q57" i="48"/>
  <c r="P56" i="48"/>
  <c r="O56" i="48"/>
  <c r="N56" i="48"/>
  <c r="M56" i="48"/>
  <c r="C75" i="21"/>
  <c r="W5" i="21"/>
  <c r="M24" i="59"/>
  <c r="M32" i="75"/>
  <c r="M99" i="75" s="1"/>
  <c r="M97" i="75" s="1"/>
  <c r="M100" i="75" s="1"/>
  <c r="G75" i="21"/>
  <c r="AB32" i="75"/>
  <c r="AB24" i="59"/>
  <c r="J26" i="75"/>
  <c r="J29" i="75" s="1"/>
  <c r="P43" i="38"/>
  <c r="R43" i="38" s="1"/>
  <c r="T44" i="38"/>
  <c r="W99" i="75"/>
  <c r="T47" i="21"/>
  <c r="AD83" i="26" s="1"/>
  <c r="E16" i="35"/>
  <c r="F18" i="55" s="1"/>
  <c r="S17" i="38"/>
  <c r="L16" i="38"/>
  <c r="N16" i="38" s="1"/>
  <c r="V28" i="21"/>
  <c r="AF81" i="26" s="1"/>
  <c r="AG81" i="26" s="1"/>
  <c r="AH81" i="26" s="1"/>
  <c r="AI81" i="26" s="1"/>
  <c r="AJ81" i="26" s="1"/>
  <c r="Q83" i="26"/>
  <c r="W33" i="26"/>
  <c r="W13" i="26"/>
  <c r="P64" i="59"/>
  <c r="P62" i="59" s="1"/>
  <c r="P65" i="59" s="1"/>
  <c r="I4" i="50"/>
  <c r="I28" i="21"/>
  <c r="T28" i="21"/>
  <c r="AD81" i="26" s="1"/>
  <c r="I71" i="38"/>
  <c r="I73" i="38"/>
  <c r="G84" i="21"/>
  <c r="G87" i="21" s="1"/>
  <c r="R15" i="21"/>
  <c r="G85" i="21" s="1"/>
  <c r="AB36" i="26"/>
  <c r="AB33" i="26" s="1"/>
  <c r="AE136" i="48"/>
  <c r="AD23" i="48"/>
  <c r="AD19" i="48" s="1"/>
  <c r="F20" i="35" s="1"/>
  <c r="G22" i="55" s="1"/>
  <c r="AB38" i="59"/>
  <c r="C18" i="35"/>
  <c r="D20" i="55" s="1"/>
  <c r="C15" i="35"/>
  <c r="D17" i="55" s="1"/>
  <c r="T4" i="50"/>
  <c r="AA64" i="59"/>
  <c r="AA62" i="59" s="1"/>
  <c r="AA65" i="59" s="1"/>
  <c r="F6" i="50"/>
  <c r="M46" i="30"/>
  <c r="K41" i="48"/>
  <c r="J73" i="48"/>
  <c r="J80" i="48" s="1"/>
  <c r="J46" i="48"/>
  <c r="AC32" i="75"/>
  <c r="AC24" i="59"/>
  <c r="F74" i="21"/>
  <c r="X33" i="75"/>
  <c r="X38" i="75" s="1"/>
  <c r="X23" i="75"/>
  <c r="X25" i="59"/>
  <c r="X30" i="59" s="1"/>
  <c r="Q5" i="50" s="1"/>
  <c r="J97" i="75"/>
  <c r="J100" i="75" s="1"/>
  <c r="G86" i="55" l="1"/>
  <c r="G118" i="55"/>
  <c r="R83" i="26"/>
  <c r="W47" i="21"/>
  <c r="AA104" i="75"/>
  <c r="AA106" i="75" s="1"/>
  <c r="AA105" i="75" s="1"/>
  <c r="F82" i="55"/>
  <c r="F114" i="55"/>
  <c r="P20" i="26"/>
  <c r="P78" i="26" s="1"/>
  <c r="AK36" i="26"/>
  <c r="AL14" i="26" s="1"/>
  <c r="V62" i="59"/>
  <c r="V65" i="59" s="1"/>
  <c r="W15" i="21"/>
  <c r="C85" i="21"/>
  <c r="C87" i="21" s="1"/>
  <c r="AH135" i="48"/>
  <c r="AG21" i="48"/>
  <c r="AE13" i="30"/>
  <c r="AF17" i="30"/>
  <c r="AE15" i="30"/>
  <c r="X28" i="75"/>
  <c r="X26" i="75" s="1"/>
  <c r="D15" i="35"/>
  <c r="E17" i="55" s="1"/>
  <c r="AB64" i="59"/>
  <c r="K46" i="48"/>
  <c r="L41" i="48"/>
  <c r="K73" i="48"/>
  <c r="K80" i="48" s="1"/>
  <c r="G4" i="50"/>
  <c r="N64" i="59"/>
  <c r="N62" i="59" s="1"/>
  <c r="N65" i="59" s="1"/>
  <c r="Y81" i="26"/>
  <c r="Y20" i="26"/>
  <c r="Y78" i="26" s="1"/>
  <c r="Q99" i="75"/>
  <c r="Q97" i="75" s="1"/>
  <c r="Q100" i="75" s="1"/>
  <c r="V98" i="75"/>
  <c r="V97" i="75" s="1"/>
  <c r="V100" i="75" s="1"/>
  <c r="V27" i="75"/>
  <c r="V26" i="75" s="1"/>
  <c r="V29" i="75" s="1"/>
  <c r="V42" i="75"/>
  <c r="AE50" i="59"/>
  <c r="AD26" i="59"/>
  <c r="AD64" i="59" s="1"/>
  <c r="Y38" i="75"/>
  <c r="L29" i="20"/>
  <c r="L13" i="20"/>
  <c r="G124" i="55"/>
  <c r="G92" i="55"/>
  <c r="X99" i="75"/>
  <c r="E41" i="75"/>
  <c r="R28" i="26"/>
  <c r="Q27" i="26"/>
  <c r="Q76" i="26"/>
  <c r="Q73" i="26" s="1"/>
  <c r="Q15" i="26"/>
  <c r="Q20" i="26" s="1"/>
  <c r="Q78" i="26" s="1"/>
  <c r="AC20" i="70"/>
  <c r="AC27" i="70" s="1"/>
  <c r="D6" i="71" s="1"/>
  <c r="F32" i="55"/>
  <c r="G106" i="55"/>
  <c r="G74" i="55"/>
  <c r="H4" i="50"/>
  <c r="O64" i="59"/>
  <c r="O62" i="59" s="1"/>
  <c r="O65" i="59" s="1"/>
  <c r="S64" i="59"/>
  <c r="S62" i="59" s="1"/>
  <c r="S65" i="59" s="1"/>
  <c r="AE11" i="25"/>
  <c r="AE20" i="25" s="1"/>
  <c r="G8" i="35" s="1"/>
  <c r="H10" i="55" s="1"/>
  <c r="AE15" i="25"/>
  <c r="AE14" i="25" s="1"/>
  <c r="AF13" i="25"/>
  <c r="F110" i="55"/>
  <c r="F78" i="55"/>
  <c r="H25" i="21"/>
  <c r="L70" i="48"/>
  <c r="L77" i="48" s="1"/>
  <c r="M38" i="48"/>
  <c r="L42" i="48"/>
  <c r="I63" i="59"/>
  <c r="I62" i="59" s="1"/>
  <c r="I65" i="59" s="1"/>
  <c r="I74" i="59" s="1"/>
  <c r="I29" i="59" s="1"/>
  <c r="I66" i="59"/>
  <c r="M50" i="20"/>
  <c r="M51" i="20" s="1"/>
  <c r="F2" i="50"/>
  <c r="O97" i="75"/>
  <c r="O100" i="75" s="1"/>
  <c r="U64" i="59"/>
  <c r="U62" i="59" s="1"/>
  <c r="U65" i="59" s="1"/>
  <c r="D113" i="55"/>
  <c r="D81" i="55"/>
  <c r="AK33" i="26"/>
  <c r="P97" i="75"/>
  <c r="P100" i="75" s="1"/>
  <c r="AD57" i="30"/>
  <c r="U15" i="30"/>
  <c r="AD52" i="30" s="1"/>
  <c r="U13" i="30"/>
  <c r="Z73" i="26"/>
  <c r="X56" i="48"/>
  <c r="W56" i="48"/>
  <c r="V56" i="48"/>
  <c r="U56" i="48"/>
  <c r="E127" i="55"/>
  <c r="E95" i="55"/>
  <c r="V68" i="59"/>
  <c r="V67" i="59" s="1"/>
  <c r="L39" i="48"/>
  <c r="K44" i="48"/>
  <c r="K71" i="48"/>
  <c r="K78" i="48" s="1"/>
  <c r="T30" i="59"/>
  <c r="M5" i="50" s="1"/>
  <c r="T64" i="59"/>
  <c r="T62" i="59" s="1"/>
  <c r="T65" i="59" s="1"/>
  <c r="J101" i="75"/>
  <c r="J109" i="75" s="1"/>
  <c r="J37" i="75" s="1"/>
  <c r="I39" i="75"/>
  <c r="I41" i="75" s="1"/>
  <c r="F106" i="55"/>
  <c r="F74" i="55"/>
  <c r="AB53" i="48"/>
  <c r="AA53" i="48"/>
  <c r="Z53" i="48"/>
  <c r="Y53" i="48"/>
  <c r="K45" i="48"/>
  <c r="L40" i="48"/>
  <c r="K72" i="48"/>
  <c r="K79" i="48" s="1"/>
  <c r="X55" i="48"/>
  <c r="W55" i="48"/>
  <c r="U55" i="48"/>
  <c r="V55" i="48"/>
  <c r="Y34" i="75"/>
  <c r="Y99" i="75" s="1"/>
  <c r="Y24" i="75"/>
  <c r="Y28" i="75" s="1"/>
  <c r="Y26" i="75" s="1"/>
  <c r="Z85" i="75"/>
  <c r="D116" i="55"/>
  <c r="D84" i="55"/>
  <c r="W81" i="26"/>
  <c r="V102" i="75"/>
  <c r="W103" i="75"/>
  <c r="F102" i="55"/>
  <c r="F70" i="55"/>
  <c r="F104" i="55"/>
  <c r="F72" i="55"/>
  <c r="F71" i="55"/>
  <c r="F103" i="55"/>
  <c r="W68" i="59"/>
  <c r="L98" i="75"/>
  <c r="L97" i="75" s="1"/>
  <c r="L100" i="75" s="1"/>
  <c r="L27" i="75"/>
  <c r="L26" i="75" s="1"/>
  <c r="L29" i="75" s="1"/>
  <c r="R99" i="75"/>
  <c r="R97" i="75" s="1"/>
  <c r="R100" i="75" s="1"/>
  <c r="P44" i="38"/>
  <c r="R44" i="38" s="1"/>
  <c r="T45" i="38"/>
  <c r="P45" i="38" s="1"/>
  <c r="R45" i="38" s="1"/>
  <c r="S34" i="38"/>
  <c r="O33" i="38"/>
  <c r="Q33" i="38" s="1"/>
  <c r="AC38" i="59"/>
  <c r="D18" i="35"/>
  <c r="E20" i="55" s="1"/>
  <c r="AE11" i="20"/>
  <c r="F4" i="35"/>
  <c r="G6" i="55" s="1"/>
  <c r="AE12" i="30"/>
  <c r="AD11" i="30"/>
  <c r="AD46" i="30" s="1"/>
  <c r="F6" i="35" s="1"/>
  <c r="G8" i="55" s="1"/>
  <c r="P43" i="30"/>
  <c r="F26" i="21"/>
  <c r="AB20" i="70"/>
  <c r="AB27" i="70" s="1"/>
  <c r="C6" i="71" s="1"/>
  <c r="E32" i="55"/>
  <c r="AA78" i="26"/>
  <c r="AA73" i="26" s="1"/>
  <c r="AB20" i="26"/>
  <c r="T38" i="75"/>
  <c r="T99" i="75"/>
  <c r="V81" i="26"/>
  <c r="AK13" i="26"/>
  <c r="T43" i="30"/>
  <c r="J26" i="21"/>
  <c r="AD15" i="33"/>
  <c r="AE10" i="33"/>
  <c r="F12" i="35"/>
  <c r="G14" i="55" s="1"/>
  <c r="T97" i="75"/>
  <c r="T100" i="75" s="1"/>
  <c r="AE28" i="20"/>
  <c r="F5" i="35"/>
  <c r="G7" i="55" s="1"/>
  <c r="K124" i="55"/>
  <c r="K92" i="55"/>
  <c r="K25" i="21"/>
  <c r="C16" i="35"/>
  <c r="D18" i="55" s="1"/>
  <c r="T5" i="50"/>
  <c r="U26" i="75"/>
  <c r="U29" i="75" s="1"/>
  <c r="AF136" i="48"/>
  <c r="AE23" i="48"/>
  <c r="AE19" i="48" s="1"/>
  <c r="G20" i="35" s="1"/>
  <c r="H22" i="55" s="1"/>
  <c r="V40" i="30"/>
  <c r="L25" i="21"/>
  <c r="AE69" i="59"/>
  <c r="AE71" i="59" s="1"/>
  <c r="AE70" i="59" s="1"/>
  <c r="H113" i="55"/>
  <c r="H81" i="55"/>
  <c r="N50" i="20"/>
  <c r="N51" i="20" s="1"/>
  <c r="G2" i="50"/>
  <c r="F4" i="50"/>
  <c r="M64" i="59"/>
  <c r="M62" i="59" s="1"/>
  <c r="M65" i="59" s="1"/>
  <c r="X14" i="74"/>
  <c r="X13" i="74" s="1"/>
  <c r="X11" i="74"/>
  <c r="X19" i="74" s="1"/>
  <c r="Y12" i="74"/>
  <c r="E106" i="55"/>
  <c r="E74" i="55"/>
  <c r="R64" i="59"/>
  <c r="R62" i="59" s="1"/>
  <c r="R65" i="59" s="1"/>
  <c r="U97" i="75"/>
  <c r="U100" i="75" s="1"/>
  <c r="E15" i="35"/>
  <c r="F17" i="55" s="1"/>
  <c r="AC64" i="59"/>
  <c r="AB45" i="75"/>
  <c r="AB29" i="49"/>
  <c r="AB37" i="59"/>
  <c r="AC27" i="49"/>
  <c r="AB30" i="49"/>
  <c r="D11" i="35"/>
  <c r="O50" i="20"/>
  <c r="O51" i="20" s="1"/>
  <c r="H2" i="50"/>
  <c r="G88" i="55"/>
  <c r="G120" i="55"/>
  <c r="X57" i="48"/>
  <c r="V57" i="48"/>
  <c r="W57" i="48"/>
  <c r="U57" i="48"/>
  <c r="L17" i="38"/>
  <c r="S18" i="38"/>
  <c r="E33" i="59"/>
  <c r="P73" i="26"/>
  <c r="F127" i="55"/>
  <c r="F95" i="55"/>
  <c r="AF138" i="48"/>
  <c r="G22" i="35"/>
  <c r="H24" i="55" s="1"/>
  <c r="W40" i="30"/>
  <c r="M25" i="21"/>
  <c r="W14" i="75"/>
  <c r="W16" i="59"/>
  <c r="W14" i="59" s="1"/>
  <c r="W63" i="59" s="1"/>
  <c r="W62" i="59" s="1"/>
  <c r="W65" i="59" s="1"/>
  <c r="X21" i="25"/>
  <c r="Y30" i="59"/>
  <c r="R5" i="50" s="1"/>
  <c r="Y64" i="59"/>
  <c r="G113" i="55"/>
  <c r="G81" i="55"/>
  <c r="X64" i="59"/>
  <c r="I22" i="33"/>
  <c r="AB104" i="75" l="1"/>
  <c r="AB106" i="75" s="1"/>
  <c r="AB105" i="75" s="1"/>
  <c r="AF69" i="59"/>
  <c r="AF71" i="59" s="1"/>
  <c r="AF70" i="59" s="1"/>
  <c r="Z76" i="59"/>
  <c r="AC77" i="59" s="1"/>
  <c r="N17" i="38"/>
  <c r="AF12" i="30"/>
  <c r="AE11" i="30"/>
  <c r="AE46" i="30" s="1"/>
  <c r="G6" i="35" s="1"/>
  <c r="H8" i="55" s="1"/>
  <c r="X68" i="59"/>
  <c r="W67" i="59"/>
  <c r="Z34" i="75"/>
  <c r="Z99" i="75" s="1"/>
  <c r="AA85" i="75"/>
  <c r="Z24" i="75"/>
  <c r="H74" i="55"/>
  <c r="H106" i="55"/>
  <c r="G102" i="55"/>
  <c r="G70" i="55"/>
  <c r="AG17" i="30"/>
  <c r="AF15" i="30"/>
  <c r="AF13" i="30"/>
  <c r="M13" i="20"/>
  <c r="M29" i="20"/>
  <c r="Y73" i="26"/>
  <c r="N13" i="20"/>
  <c r="N29" i="20"/>
  <c r="D82" i="55"/>
  <c r="D114" i="55"/>
  <c r="X16" i="59"/>
  <c r="Y21" i="25"/>
  <c r="X20" i="25"/>
  <c r="X15" i="59" s="1"/>
  <c r="X14" i="59" s="1"/>
  <c r="X63" i="59" s="1"/>
  <c r="X62" i="59" s="1"/>
  <c r="X65" i="59" s="1"/>
  <c r="U43" i="30"/>
  <c r="AD80" i="30" s="1"/>
  <c r="K26" i="21"/>
  <c r="E116" i="55"/>
  <c r="E84" i="55"/>
  <c r="Z50" i="20"/>
  <c r="Z51" i="20" s="1"/>
  <c r="S2" i="50"/>
  <c r="J66" i="59"/>
  <c r="I31" i="59"/>
  <c r="I33" i="59" s="1"/>
  <c r="AI135" i="48"/>
  <c r="AH21" i="48"/>
  <c r="F113" i="55"/>
  <c r="F81" i="55"/>
  <c r="AF11" i="20"/>
  <c r="G4" i="35"/>
  <c r="H6" i="55" s="1"/>
  <c r="P46" i="38"/>
  <c r="P47" i="38" s="1"/>
  <c r="G71" i="55"/>
  <c r="G103" i="55"/>
  <c r="AF53" i="48"/>
  <c r="AE53" i="48"/>
  <c r="AD53" i="48"/>
  <c r="AC53" i="48"/>
  <c r="W43" i="30"/>
  <c r="M26" i="21"/>
  <c r="AD38" i="59"/>
  <c r="E18" i="35"/>
  <c r="F20" i="55" s="1"/>
  <c r="K101" i="75"/>
  <c r="J39" i="75"/>
  <c r="J41" i="75" s="1"/>
  <c r="H120" i="55"/>
  <c r="H88" i="55"/>
  <c r="V43" i="30"/>
  <c r="L26" i="21"/>
  <c r="AF28" i="20"/>
  <c r="G5" i="35"/>
  <c r="H7" i="55" s="1"/>
  <c r="AC20" i="26"/>
  <c r="AB78" i="26"/>
  <c r="AB73" i="26" s="1"/>
  <c r="AB11" i="26"/>
  <c r="AD50" i="30"/>
  <c r="U12" i="30"/>
  <c r="AD49" i="30" s="1"/>
  <c r="M42" i="48"/>
  <c r="M70" i="48"/>
  <c r="M77" i="48" s="1"/>
  <c r="F96" i="55"/>
  <c r="F128" i="55"/>
  <c r="AG138" i="48"/>
  <c r="H22" i="35"/>
  <c r="I24" i="55" s="1"/>
  <c r="O13" i="20"/>
  <c r="O29" i="20"/>
  <c r="Y14" i="74"/>
  <c r="Y13" i="74" s="1"/>
  <c r="Z12" i="74"/>
  <c r="Y11" i="74"/>
  <c r="Y19" i="74" s="1"/>
  <c r="AA50" i="20"/>
  <c r="AA51" i="20" s="1"/>
  <c r="C2" i="35"/>
  <c r="D4" i="55" s="1"/>
  <c r="T2" i="50"/>
  <c r="O34" i="38"/>
  <c r="Q34" i="38" s="1"/>
  <c r="S35" i="38"/>
  <c r="W102" i="75"/>
  <c r="X103" i="75"/>
  <c r="L72" i="48"/>
  <c r="L79" i="48" s="1"/>
  <c r="L45" i="48"/>
  <c r="M40" i="48"/>
  <c r="L73" i="48"/>
  <c r="L80" i="48" s="1"/>
  <c r="L46" i="48"/>
  <c r="M41" i="48"/>
  <c r="H118" i="55"/>
  <c r="H86" i="55"/>
  <c r="E96" i="55"/>
  <c r="E128" i="55"/>
  <c r="R46" i="38"/>
  <c r="R47" i="38" s="1"/>
  <c r="AB56" i="48"/>
  <c r="AA56" i="48"/>
  <c r="Y56" i="48"/>
  <c r="Z56" i="48"/>
  <c r="Z55" i="48"/>
  <c r="Y55" i="48"/>
  <c r="AA55" i="48"/>
  <c r="AB55" i="48"/>
  <c r="R43" i="30"/>
  <c r="H26" i="21"/>
  <c r="AB57" i="48"/>
  <c r="AA57" i="48"/>
  <c r="Z57" i="48"/>
  <c r="Y57" i="48"/>
  <c r="E13" i="55"/>
  <c r="AG136" i="48"/>
  <c r="AF23" i="48"/>
  <c r="AF19" i="48" s="1"/>
  <c r="H20" i="35" s="1"/>
  <c r="I22" i="55" s="1"/>
  <c r="L71" i="48"/>
  <c r="L78" i="48" s="1"/>
  <c r="L44" i="48"/>
  <c r="M39" i="48"/>
  <c r="P50" i="20"/>
  <c r="P51" i="20" s="1"/>
  <c r="I2" i="50"/>
  <c r="AC45" i="75"/>
  <c r="AD27" i="49"/>
  <c r="AC30" i="49"/>
  <c r="AC29" i="49"/>
  <c r="AC37" i="59"/>
  <c r="E11" i="35"/>
  <c r="F13" i="55" s="1"/>
  <c r="AF10" i="33"/>
  <c r="AE15" i="33"/>
  <c r="G12" i="35"/>
  <c r="H14" i="55" s="1"/>
  <c r="Q50" i="20"/>
  <c r="Q51" i="20" s="1"/>
  <c r="J2" i="50"/>
  <c r="E81" i="55"/>
  <c r="E113" i="55"/>
  <c r="G110" i="55"/>
  <c r="G78" i="55"/>
  <c r="AG13" i="25"/>
  <c r="AF15" i="25"/>
  <c r="AF14" i="25" s="1"/>
  <c r="AF11" i="25" s="1"/>
  <c r="AF20" i="25" s="1"/>
  <c r="H8" i="35" s="1"/>
  <c r="I10" i="55" s="1"/>
  <c r="AE26" i="59"/>
  <c r="AE64" i="59" s="1"/>
  <c r="AF50" i="59"/>
  <c r="S19" i="38"/>
  <c r="L18" i="38"/>
  <c r="N18" i="38" s="1"/>
  <c r="D10" i="35"/>
  <c r="E12" i="55" s="1"/>
  <c r="AB10" i="26"/>
  <c r="AB9" i="26" s="1"/>
  <c r="G72" i="55"/>
  <c r="G104" i="55"/>
  <c r="R15" i="26"/>
  <c r="R20" i="26" s="1"/>
  <c r="R78" i="26" s="1"/>
  <c r="R76" i="26"/>
  <c r="S28" i="26"/>
  <c r="R27" i="26"/>
  <c r="AG69" i="59" l="1"/>
  <c r="AG71" i="59" s="1"/>
  <c r="AG70" i="59"/>
  <c r="I74" i="55"/>
  <c r="I106" i="55"/>
  <c r="AC105" i="75"/>
  <c r="AC104" i="75"/>
  <c r="AC106" i="75" s="1"/>
  <c r="Q13" i="20"/>
  <c r="Q29" i="20"/>
  <c r="AB50" i="20"/>
  <c r="AB51" i="20" s="1"/>
  <c r="D2" i="35"/>
  <c r="E4" i="55" s="1"/>
  <c r="H71" i="55"/>
  <c r="H103" i="55"/>
  <c r="E77" i="55"/>
  <c r="E109" i="55"/>
  <c r="M45" i="48"/>
  <c r="M72" i="48"/>
  <c r="M79" i="48" s="1"/>
  <c r="X14" i="75"/>
  <c r="AD55" i="48"/>
  <c r="AF55" i="48"/>
  <c r="AB12" i="48"/>
  <c r="AE55" i="48"/>
  <c r="AC55" i="48"/>
  <c r="AG11" i="20"/>
  <c r="H4" i="35"/>
  <c r="I6" i="55" s="1"/>
  <c r="AF26" i="59"/>
  <c r="AF64" i="59" s="1"/>
  <c r="AG50" i="59"/>
  <c r="AD56" i="48"/>
  <c r="AC56" i="48"/>
  <c r="AF56" i="48"/>
  <c r="AE56" i="48"/>
  <c r="AB14" i="48"/>
  <c r="AC14" i="48" s="1"/>
  <c r="AD14" i="48" s="1"/>
  <c r="AE14" i="48" s="1"/>
  <c r="AF14" i="48" s="1"/>
  <c r="AG14" i="48" s="1"/>
  <c r="AH14" i="48" s="1"/>
  <c r="AI14" i="48" s="1"/>
  <c r="AJ14" i="48" s="1"/>
  <c r="P13" i="20"/>
  <c r="P29" i="20"/>
  <c r="M71" i="48"/>
  <c r="M78" i="48" s="1"/>
  <c r="M44" i="48"/>
  <c r="AC78" i="26"/>
  <c r="AC73" i="26" s="1"/>
  <c r="AD20" i="26"/>
  <c r="AC11" i="26"/>
  <c r="AF11" i="30"/>
  <c r="AF46" i="30" s="1"/>
  <c r="H6" i="35" s="1"/>
  <c r="I8" i="55" s="1"/>
  <c r="AG12" i="30"/>
  <c r="AD10" i="48"/>
  <c r="AC27" i="48"/>
  <c r="AG15" i="25"/>
  <c r="AG14" i="25" s="1"/>
  <c r="AG11" i="25" s="1"/>
  <c r="AG20" i="25" s="1"/>
  <c r="I8" i="35" s="1"/>
  <c r="J10" i="55" s="1"/>
  <c r="AH13" i="25"/>
  <c r="T28" i="26"/>
  <c r="S27" i="26"/>
  <c r="S76" i="26"/>
  <c r="S15" i="26"/>
  <c r="S20" i="26" s="1"/>
  <c r="S78" i="26" s="1"/>
  <c r="AH138" i="48"/>
  <c r="I22" i="35"/>
  <c r="J24" i="55" s="1"/>
  <c r="AA13" i="20"/>
  <c r="AA29" i="20"/>
  <c r="H102" i="55"/>
  <c r="H70" i="55"/>
  <c r="Z14" i="74"/>
  <c r="Z13" i="74" s="1"/>
  <c r="Z11" i="74" s="1"/>
  <c r="Z19" i="74" s="1"/>
  <c r="AA12" i="74"/>
  <c r="AH17" i="30"/>
  <c r="AG15" i="30"/>
  <c r="AG13" i="30"/>
  <c r="AH136" i="48"/>
  <c r="AG23" i="48"/>
  <c r="AG19" i="48" s="1"/>
  <c r="I20" i="35" s="1"/>
  <c r="J22" i="55" s="1"/>
  <c r="F77" i="55"/>
  <c r="F109" i="55"/>
  <c r="R73" i="26"/>
  <c r="E10" i="35"/>
  <c r="F12" i="55" s="1"/>
  <c r="AC10" i="26"/>
  <c r="AC9" i="26" s="1"/>
  <c r="Y103" i="75"/>
  <c r="X102" i="75"/>
  <c r="D68" i="55"/>
  <c r="D100" i="55"/>
  <c r="H104" i="55"/>
  <c r="H72" i="55"/>
  <c r="J31" i="59"/>
  <c r="K66" i="59"/>
  <c r="J74" i="59"/>
  <c r="J29" i="59" s="1"/>
  <c r="H78" i="55"/>
  <c r="H110" i="55"/>
  <c r="AD29" i="49"/>
  <c r="F10" i="35" s="1"/>
  <c r="G12" i="55" s="1"/>
  <c r="AE27" i="49"/>
  <c r="AD30" i="49"/>
  <c r="F11" i="35"/>
  <c r="G13" i="55" s="1"/>
  <c r="S36" i="38"/>
  <c r="O36" i="38" s="1"/>
  <c r="O35" i="38"/>
  <c r="Q35" i="38" s="1"/>
  <c r="L101" i="75"/>
  <c r="K39" i="75"/>
  <c r="K109" i="75"/>
  <c r="K37" i="75" s="1"/>
  <c r="Y50" i="20"/>
  <c r="Y51" i="20" s="1"/>
  <c r="R2" i="50"/>
  <c r="Z28" i="75"/>
  <c r="Z26" i="75" s="1"/>
  <c r="E108" i="55"/>
  <c r="E76" i="55"/>
  <c r="Y68" i="59"/>
  <c r="X67" i="59"/>
  <c r="M73" i="48"/>
  <c r="M80" i="48" s="1"/>
  <c r="M46" i="48"/>
  <c r="AG57" i="48" s="1"/>
  <c r="I118" i="55"/>
  <c r="I86" i="55"/>
  <c r="Y14" i="75"/>
  <c r="Y16" i="59"/>
  <c r="Y20" i="25"/>
  <c r="Y15" i="59" s="1"/>
  <c r="AG10" i="33"/>
  <c r="AF15" i="33"/>
  <c r="H12" i="35"/>
  <c r="I14" i="55" s="1"/>
  <c r="AG28" i="20"/>
  <c r="H5" i="35"/>
  <c r="I7" i="55" s="1"/>
  <c r="AH53" i="48"/>
  <c r="AG53" i="48"/>
  <c r="AJ53" i="48"/>
  <c r="AI53" i="48"/>
  <c r="F116" i="55"/>
  <c r="F84" i="55"/>
  <c r="Z13" i="20"/>
  <c r="Z29" i="20"/>
  <c r="AB85" i="75"/>
  <c r="AA34" i="75"/>
  <c r="AA99" i="75" s="1"/>
  <c r="AA24" i="75"/>
  <c r="L19" i="38"/>
  <c r="N19" i="38" s="1"/>
  <c r="S20" i="38"/>
  <c r="L20" i="38" s="1"/>
  <c r="N20" i="38" s="1"/>
  <c r="N46" i="38" s="1"/>
  <c r="N47" i="38" s="1"/>
  <c r="AF57" i="48"/>
  <c r="AE57" i="48"/>
  <c r="AD57" i="48"/>
  <c r="AC57" i="48"/>
  <c r="AB16" i="48"/>
  <c r="I120" i="55"/>
  <c r="I88" i="55"/>
  <c r="AJ135" i="48"/>
  <c r="AJ21" i="48" s="1"/>
  <c r="AI21" i="48"/>
  <c r="AE38" i="59"/>
  <c r="F18" i="35"/>
  <c r="G20" i="55" s="1"/>
  <c r="J74" i="55" l="1"/>
  <c r="J106" i="55"/>
  <c r="G116" i="55"/>
  <c r="G84" i="55"/>
  <c r="AF38" i="59"/>
  <c r="G18" i="35"/>
  <c r="H20" i="55" s="1"/>
  <c r="AI138" i="48"/>
  <c r="J22" i="35"/>
  <c r="K24" i="55" s="1"/>
  <c r="I102" i="55"/>
  <c r="I70" i="55"/>
  <c r="J86" i="55"/>
  <c r="J118" i="55"/>
  <c r="AD78" i="26"/>
  <c r="AD73" i="26" s="1"/>
  <c r="AE20" i="26"/>
  <c r="AD11" i="26"/>
  <c r="AH11" i="20"/>
  <c r="I4" i="35"/>
  <c r="J6" i="55" s="1"/>
  <c r="AG15" i="33"/>
  <c r="AH10" i="33"/>
  <c r="I12" i="35"/>
  <c r="J14" i="55" s="1"/>
  <c r="L66" i="59"/>
  <c r="K31" i="59"/>
  <c r="K74" i="59"/>
  <c r="K29" i="59" s="1"/>
  <c r="AH23" i="48"/>
  <c r="AH19" i="48" s="1"/>
  <c r="J20" i="35" s="1"/>
  <c r="K22" i="55" s="1"/>
  <c r="AI136" i="48"/>
  <c r="AC50" i="20"/>
  <c r="AC51" i="20" s="1"/>
  <c r="E2" i="35"/>
  <c r="F4" i="55" s="1"/>
  <c r="Y14" i="59"/>
  <c r="Y63" i="59" s="1"/>
  <c r="Y62" i="59" s="1"/>
  <c r="Y65" i="59" s="1"/>
  <c r="Y13" i="20"/>
  <c r="Y29" i="20"/>
  <c r="J33" i="59"/>
  <c r="S73" i="26"/>
  <c r="AH55" i="48"/>
  <c r="AG55" i="48"/>
  <c r="AJ55" i="48"/>
  <c r="AI55" i="48"/>
  <c r="E100" i="55"/>
  <c r="E68" i="55"/>
  <c r="AH13" i="30"/>
  <c r="AI17" i="30"/>
  <c r="U28" i="26"/>
  <c r="T15" i="26"/>
  <c r="T76" i="26"/>
  <c r="T27" i="26"/>
  <c r="L39" i="75"/>
  <c r="M101" i="75"/>
  <c r="L109" i="75"/>
  <c r="L37" i="75" s="1"/>
  <c r="AA11" i="74"/>
  <c r="AA19" i="74" s="1"/>
  <c r="AB12" i="74"/>
  <c r="AA14" i="74"/>
  <c r="AA13" i="74" s="1"/>
  <c r="AC85" i="75"/>
  <c r="AB34" i="75"/>
  <c r="AB99" i="75" s="1"/>
  <c r="AB24" i="75"/>
  <c r="AB28" i="48"/>
  <c r="AC12" i="48"/>
  <c r="AB9" i="48"/>
  <c r="AB13" i="20"/>
  <c r="AB29" i="20"/>
  <c r="L46" i="38"/>
  <c r="L47" i="38" s="1"/>
  <c r="K41" i="75"/>
  <c r="AC16" i="48"/>
  <c r="D21" i="35"/>
  <c r="E23" i="55" s="1"/>
  <c r="AH11" i="25"/>
  <c r="AH20" i="25" s="1"/>
  <c r="J8" i="35" s="1"/>
  <c r="K10" i="55" s="1"/>
  <c r="AH15" i="25"/>
  <c r="AH14" i="25" s="1"/>
  <c r="AI13" i="25"/>
  <c r="AD105" i="75"/>
  <c r="AD104" i="75"/>
  <c r="AD106" i="75" s="1"/>
  <c r="Q36" i="38"/>
  <c r="Q46" i="38" s="1"/>
  <c r="Q47" i="38" s="1"/>
  <c r="O46" i="38"/>
  <c r="O47" i="38" s="1"/>
  <c r="G109" i="55"/>
  <c r="G77" i="55"/>
  <c r="Z103" i="75"/>
  <c r="Y102" i="75"/>
  <c r="AH56" i="48"/>
  <c r="AJ56" i="48"/>
  <c r="AI56" i="48"/>
  <c r="AG56" i="48"/>
  <c r="AH69" i="59"/>
  <c r="AH71" i="59" s="1"/>
  <c r="AH70" i="59" s="1"/>
  <c r="I103" i="55"/>
  <c r="I71" i="55"/>
  <c r="Y67" i="59"/>
  <c r="Z68" i="59"/>
  <c r="AF27" i="49"/>
  <c r="AE29" i="49"/>
  <c r="G10" i="35" s="1"/>
  <c r="H12" i="55" s="1"/>
  <c r="AE30" i="49"/>
  <c r="G11" i="35"/>
  <c r="H13" i="55" s="1"/>
  <c r="F108" i="55"/>
  <c r="F76" i="55"/>
  <c r="AE10" i="48"/>
  <c r="AD27" i="48"/>
  <c r="AH28" i="20"/>
  <c r="I5" i="35"/>
  <c r="J7" i="55" s="1"/>
  <c r="G76" i="55"/>
  <c r="G108" i="55"/>
  <c r="R50" i="20"/>
  <c r="R51" i="20" s="1"/>
  <c r="K2" i="50"/>
  <c r="AG11" i="30"/>
  <c r="AG46" i="30" s="1"/>
  <c r="I6" i="35" s="1"/>
  <c r="J8" i="55" s="1"/>
  <c r="AH12" i="30"/>
  <c r="AH50" i="59"/>
  <c r="AG26" i="59"/>
  <c r="AG64" i="59" s="1"/>
  <c r="AA28" i="75"/>
  <c r="AA26" i="75" s="1"/>
  <c r="I110" i="55"/>
  <c r="I78" i="55"/>
  <c r="J120" i="55"/>
  <c r="J88" i="55"/>
  <c r="I104" i="55"/>
  <c r="I72" i="55"/>
  <c r="AI69" i="59" l="1"/>
  <c r="AI71" i="59" s="1"/>
  <c r="AI70" i="59" s="1"/>
  <c r="AI28" i="20"/>
  <c r="J5" i="35"/>
  <c r="K7" i="55" s="1"/>
  <c r="AE104" i="75"/>
  <c r="AE106" i="75" s="1"/>
  <c r="AE105" i="75" s="1"/>
  <c r="AC28" i="48"/>
  <c r="AD12" i="48"/>
  <c r="AC9" i="48"/>
  <c r="T20" i="26"/>
  <c r="T78" i="26" s="1"/>
  <c r="T73" i="26" s="1"/>
  <c r="AE78" i="26"/>
  <c r="AE73" i="26" s="1"/>
  <c r="AF20" i="26"/>
  <c r="V28" i="26"/>
  <c r="U27" i="26"/>
  <c r="U76" i="26"/>
  <c r="U73" i="26" s="1"/>
  <c r="U15" i="26"/>
  <c r="U20" i="26" s="1"/>
  <c r="U78" i="26" s="1"/>
  <c r="F68" i="55"/>
  <c r="F100" i="55"/>
  <c r="AD50" i="20"/>
  <c r="AD51" i="20" s="1"/>
  <c r="F2" i="35"/>
  <c r="G4" i="55" s="1"/>
  <c r="AI15" i="25"/>
  <c r="AI14" i="25" s="1"/>
  <c r="AJ13" i="25"/>
  <c r="AI11" i="25"/>
  <c r="AI20" i="25" s="1"/>
  <c r="K8" i="35" s="1"/>
  <c r="L10" i="55" s="1"/>
  <c r="L74" i="55" s="1"/>
  <c r="AI13" i="30"/>
  <c r="AJ17" i="30"/>
  <c r="AJ13" i="30" s="1"/>
  <c r="AC13" i="20"/>
  <c r="AC29" i="20"/>
  <c r="AF10" i="48"/>
  <c r="AE27" i="48"/>
  <c r="AB28" i="75"/>
  <c r="AB26" i="75" s="1"/>
  <c r="AJ136" i="48"/>
  <c r="AJ23" i="48" s="1"/>
  <c r="AJ19" i="48" s="1"/>
  <c r="AI23" i="48"/>
  <c r="AI19" i="48" s="1"/>
  <c r="K20" i="35" s="1"/>
  <c r="L22" i="55" s="1"/>
  <c r="L86" i="55" s="1"/>
  <c r="K118" i="55"/>
  <c r="K86" i="55"/>
  <c r="AD16" i="48"/>
  <c r="E21" i="35"/>
  <c r="F23" i="55" s="1"/>
  <c r="K33" i="59"/>
  <c r="D3" i="50" s="1"/>
  <c r="K88" i="55"/>
  <c r="K120" i="55"/>
  <c r="AB14" i="74"/>
  <c r="AB13" i="74" s="1"/>
  <c r="AB11" i="74"/>
  <c r="AB19" i="74" s="1"/>
  <c r="AC12" i="74"/>
  <c r="M66" i="59"/>
  <c r="L31" i="59"/>
  <c r="L74" i="59"/>
  <c r="L29" i="59" s="1"/>
  <c r="AJ138" i="48"/>
  <c r="K22" i="35"/>
  <c r="L24" i="55" s="1"/>
  <c r="J78" i="55"/>
  <c r="J110" i="55"/>
  <c r="H116" i="55"/>
  <c r="H84" i="55"/>
  <c r="E119" i="55"/>
  <c r="E87" i="55"/>
  <c r="AI50" i="59"/>
  <c r="AH26" i="59"/>
  <c r="AH64" i="59" s="1"/>
  <c r="Z102" i="75"/>
  <c r="AA103" i="75"/>
  <c r="AI10" i="33"/>
  <c r="J12" i="35"/>
  <c r="K14" i="55" s="1"/>
  <c r="J22" i="33"/>
  <c r="AG38" i="59"/>
  <c r="H18" i="35"/>
  <c r="I20" i="55" s="1"/>
  <c r="H109" i="55"/>
  <c r="H77" i="55"/>
  <c r="AG27" i="49"/>
  <c r="AF30" i="49"/>
  <c r="AF29" i="49"/>
  <c r="H10" i="35" s="1"/>
  <c r="I12" i="55" s="1"/>
  <c r="H11" i="35"/>
  <c r="I13" i="55" s="1"/>
  <c r="Z67" i="59"/>
  <c r="AA68" i="59"/>
  <c r="M39" i="75"/>
  <c r="N101" i="75"/>
  <c r="M109" i="75"/>
  <c r="M37" i="75" s="1"/>
  <c r="S50" i="20"/>
  <c r="S51" i="20" s="1"/>
  <c r="L2" i="50"/>
  <c r="L41" i="75"/>
  <c r="J102" i="55"/>
  <c r="J70" i="55"/>
  <c r="K74" i="55"/>
  <c r="K106" i="55"/>
  <c r="AD85" i="75"/>
  <c r="AE85" i="75" s="1"/>
  <c r="AF85" i="75" s="1"/>
  <c r="AG85" i="75" s="1"/>
  <c r="AC34" i="75"/>
  <c r="AC99" i="75" s="1"/>
  <c r="AC24" i="75"/>
  <c r="J104" i="55"/>
  <c r="J72" i="55"/>
  <c r="R13" i="20"/>
  <c r="R29" i="20"/>
  <c r="AB26" i="48"/>
  <c r="D19" i="35"/>
  <c r="E21" i="55" s="1"/>
  <c r="AI11" i="20"/>
  <c r="J4" i="35"/>
  <c r="K6" i="55" s="1"/>
  <c r="AH11" i="30"/>
  <c r="AH46" i="30" s="1"/>
  <c r="J6" i="35" s="1"/>
  <c r="K8" i="55" s="1"/>
  <c r="AI12" i="30"/>
  <c r="H108" i="55"/>
  <c r="H76" i="55"/>
  <c r="J103" i="55"/>
  <c r="J71" i="55"/>
  <c r="L88" i="55" l="1"/>
  <c r="L120" i="55"/>
  <c r="AF104" i="75"/>
  <c r="AF106" i="75" s="1"/>
  <c r="AF105" i="75"/>
  <c r="T50" i="20"/>
  <c r="T51" i="20" s="1"/>
  <c r="M2" i="50"/>
  <c r="AJ69" i="59"/>
  <c r="AJ71" i="59" s="1"/>
  <c r="AJ70" i="59" s="1"/>
  <c r="AD76" i="59" s="1"/>
  <c r="K70" i="55"/>
  <c r="K102" i="55"/>
  <c r="AE16" i="48"/>
  <c r="F21" i="35"/>
  <c r="G23" i="55" s="1"/>
  <c r="I84" i="55"/>
  <c r="I116" i="55"/>
  <c r="K110" i="55"/>
  <c r="K78" i="55"/>
  <c r="N39" i="75"/>
  <c r="O101" i="75"/>
  <c r="N109" i="75"/>
  <c r="N37" i="75" s="1"/>
  <c r="K12" i="35"/>
  <c r="L14" i="55" s="1"/>
  <c r="L78" i="55" s="1"/>
  <c r="AJ10" i="33"/>
  <c r="L33" i="59"/>
  <c r="E3" i="50" s="1"/>
  <c r="K71" i="55"/>
  <c r="K103" i="55"/>
  <c r="AJ11" i="20"/>
  <c r="K4" i="35"/>
  <c r="L6" i="55" s="1"/>
  <c r="L70" i="55" s="1"/>
  <c r="AH38" i="59"/>
  <c r="I18" i="35"/>
  <c r="J20" i="55" s="1"/>
  <c r="AC26" i="48"/>
  <c r="E19" i="35"/>
  <c r="F21" i="55" s="1"/>
  <c r="G68" i="55"/>
  <c r="G100" i="55"/>
  <c r="N66" i="59"/>
  <c r="M31" i="59"/>
  <c r="M33" i="59" s="1"/>
  <c r="F3" i="50" s="1"/>
  <c r="M74" i="59"/>
  <c r="M29" i="59" s="1"/>
  <c r="AJ28" i="20"/>
  <c r="K5" i="35"/>
  <c r="L7" i="55" s="1"/>
  <c r="L71" i="55" s="1"/>
  <c r="F87" i="55"/>
  <c r="F119" i="55"/>
  <c r="E117" i="55"/>
  <c r="E85" i="55"/>
  <c r="S13" i="20"/>
  <c r="S29" i="20"/>
  <c r="AB68" i="59"/>
  <c r="AA67" i="59"/>
  <c r="AC14" i="74"/>
  <c r="AC13" i="74" s="1"/>
  <c r="AC11" i="74" s="1"/>
  <c r="AC19" i="74" s="1"/>
  <c r="I77" i="55"/>
  <c r="I109" i="55"/>
  <c r="AJ50" i="59"/>
  <c r="AJ26" i="59" s="1"/>
  <c r="AJ64" i="59" s="1"/>
  <c r="AI26" i="59"/>
  <c r="AI64" i="59" s="1"/>
  <c r="AG10" i="48"/>
  <c r="AF27" i="48"/>
  <c r="AD28" i="48"/>
  <c r="AE12" i="48"/>
  <c r="AD9" i="48"/>
  <c r="M41" i="75"/>
  <c r="AA102" i="75"/>
  <c r="AB103" i="75"/>
  <c r="AC28" i="75"/>
  <c r="AC26" i="75" s="1"/>
  <c r="U50" i="20"/>
  <c r="U51" i="20" s="1"/>
  <c r="N2" i="50"/>
  <c r="I76" i="55"/>
  <c r="I108" i="55"/>
  <c r="V76" i="26"/>
  <c r="V73" i="26" s="1"/>
  <c r="W28" i="26"/>
  <c r="V27" i="26"/>
  <c r="V15" i="26"/>
  <c r="V20" i="26" s="1"/>
  <c r="V78" i="26" s="1"/>
  <c r="AG20" i="26"/>
  <c r="AF78" i="26"/>
  <c r="AF73" i="26" s="1"/>
  <c r="AJ15" i="25"/>
  <c r="AJ14" i="25" s="1"/>
  <c r="AJ11" i="25" s="1"/>
  <c r="AJ20" i="25" s="1"/>
  <c r="AI11" i="30"/>
  <c r="AJ12" i="30"/>
  <c r="AJ11" i="30" s="1"/>
  <c r="K72" i="55"/>
  <c r="K104" i="55"/>
  <c r="AH27" i="49"/>
  <c r="AG29" i="49"/>
  <c r="I10" i="35" s="1"/>
  <c r="J12" i="55" s="1"/>
  <c r="I11" i="35"/>
  <c r="J13" i="55" s="1"/>
  <c r="AE50" i="20"/>
  <c r="AE51" i="20" s="1"/>
  <c r="G2" i="35"/>
  <c r="H4" i="55" s="1"/>
  <c r="J116" i="55" l="1"/>
  <c r="J84" i="55"/>
  <c r="H68" i="55"/>
  <c r="H100" i="55"/>
  <c r="AI38" i="59"/>
  <c r="J18" i="35"/>
  <c r="K20" i="55" s="1"/>
  <c r="AE28" i="48"/>
  <c r="AF12" i="48"/>
  <c r="AE9" i="48"/>
  <c r="J109" i="55"/>
  <c r="J77" i="55"/>
  <c r="W15" i="26"/>
  <c r="W20" i="26" s="1"/>
  <c r="W78" i="26" s="1"/>
  <c r="X28" i="26"/>
  <c r="W27" i="26"/>
  <c r="W76" i="26"/>
  <c r="G119" i="55"/>
  <c r="G87" i="55"/>
  <c r="AI27" i="49"/>
  <c r="AH29" i="49"/>
  <c r="J10" i="35" s="1"/>
  <c r="K12" i="55" s="1"/>
  <c r="J11" i="35"/>
  <c r="K13" i="55" s="1"/>
  <c r="AG27" i="48"/>
  <c r="AH10" i="48"/>
  <c r="AF16" i="48"/>
  <c r="G21" i="35"/>
  <c r="H23" i="55" s="1"/>
  <c r="J76" i="55"/>
  <c r="J108" i="55"/>
  <c r="V50" i="20"/>
  <c r="V51" i="20" s="1"/>
  <c r="O2" i="50"/>
  <c r="AG30" i="49"/>
  <c r="U13" i="20"/>
  <c r="U29" i="20"/>
  <c r="O66" i="59"/>
  <c r="N31" i="59"/>
  <c r="N74" i="59"/>
  <c r="N29" i="59" s="1"/>
  <c r="AB102" i="75"/>
  <c r="AC103" i="75"/>
  <c r="P101" i="75"/>
  <c r="O39" i="75"/>
  <c r="O41" i="75" s="1"/>
  <c r="O109" i="75"/>
  <c r="O37" i="75" s="1"/>
  <c r="T29" i="20"/>
  <c r="T13" i="20"/>
  <c r="F117" i="55"/>
  <c r="F85" i="55"/>
  <c r="N41" i="75"/>
  <c r="AF50" i="20"/>
  <c r="AF51" i="20" s="1"/>
  <c r="H2" i="35"/>
  <c r="I4" i="55" s="1"/>
  <c r="AC68" i="59"/>
  <c r="AB67" i="59"/>
  <c r="AH20" i="26"/>
  <c r="AG78" i="26"/>
  <c r="AG73" i="26" s="1"/>
  <c r="AD26" i="48"/>
  <c r="F19" i="35"/>
  <c r="G21" i="55" s="1"/>
  <c r="G85" i="55" l="1"/>
  <c r="G117" i="55"/>
  <c r="AI20" i="26"/>
  <c r="AH78" i="26"/>
  <c r="AH73" i="26" s="1"/>
  <c r="J2" i="35" s="1"/>
  <c r="K4" i="55" s="1"/>
  <c r="AC67" i="59"/>
  <c r="AD68" i="59"/>
  <c r="AI10" i="48"/>
  <c r="AH27" i="48"/>
  <c r="AG12" i="48"/>
  <c r="AF28" i="48"/>
  <c r="AF9" i="48"/>
  <c r="AE26" i="48"/>
  <c r="G19" i="35"/>
  <c r="H21" i="55" s="1"/>
  <c r="O31" i="59"/>
  <c r="P66" i="59"/>
  <c r="O74" i="59"/>
  <c r="O29" i="59" s="1"/>
  <c r="K109" i="55"/>
  <c r="K77" i="55"/>
  <c r="AD103" i="75"/>
  <c r="AC102" i="75"/>
  <c r="K84" i="55"/>
  <c r="K116" i="55"/>
  <c r="X76" i="26"/>
  <c r="X27" i="26"/>
  <c r="AK27" i="26" s="1"/>
  <c r="X15" i="26"/>
  <c r="AK28" i="26"/>
  <c r="AL15" i="26" s="1"/>
  <c r="D135" i="75"/>
  <c r="AH30" i="49"/>
  <c r="AJ38" i="59"/>
  <c r="K18" i="35"/>
  <c r="L20" i="55" s="1"/>
  <c r="L84" i="55" s="1"/>
  <c r="Q101" i="75"/>
  <c r="P39" i="75"/>
  <c r="P109" i="75"/>
  <c r="P37" i="75" s="1"/>
  <c r="AI29" i="49"/>
  <c r="AJ27" i="49"/>
  <c r="K11" i="35"/>
  <c r="L13" i="55" s="1"/>
  <c r="L77" i="55" s="1"/>
  <c r="AG50" i="20"/>
  <c r="AG51" i="20" s="1"/>
  <c r="I2" i="35"/>
  <c r="J4" i="55" s="1"/>
  <c r="N33" i="59"/>
  <c r="G3" i="50" s="1"/>
  <c r="I100" i="55"/>
  <c r="I68" i="55"/>
  <c r="V29" i="20"/>
  <c r="V13" i="20"/>
  <c r="H87" i="55"/>
  <c r="H119" i="55"/>
  <c r="AG16" i="48"/>
  <c r="H21" i="35"/>
  <c r="I23" i="55" s="1"/>
  <c r="K108" i="55"/>
  <c r="K76" i="55"/>
  <c r="W73" i="26"/>
  <c r="AF26" i="48" l="1"/>
  <c r="H19" i="35"/>
  <c r="I21" i="55" s="1"/>
  <c r="AD10" i="26"/>
  <c r="AD9" i="26" s="1"/>
  <c r="K10" i="35"/>
  <c r="L12" i="55" s="1"/>
  <c r="L76" i="55" s="1"/>
  <c r="H85" i="55"/>
  <c r="H117" i="55"/>
  <c r="I87" i="55"/>
  <c r="I119" i="55"/>
  <c r="AI30" i="49"/>
  <c r="AI27" i="48"/>
  <c r="AJ10" i="48"/>
  <c r="AH16" i="48"/>
  <c r="I21" i="35"/>
  <c r="J23" i="55" s="1"/>
  <c r="AD102" i="75"/>
  <c r="AE103" i="75"/>
  <c r="AD67" i="59"/>
  <c r="AE68" i="59"/>
  <c r="P41" i="75"/>
  <c r="Q39" i="75"/>
  <c r="R101" i="75"/>
  <c r="Q109" i="75"/>
  <c r="Q37" i="75" s="1"/>
  <c r="K100" i="55"/>
  <c r="K68" i="55"/>
  <c r="AG28" i="48"/>
  <c r="AH12" i="48"/>
  <c r="AG9" i="48"/>
  <c r="AJ20" i="26"/>
  <c r="AJ78" i="26" s="1"/>
  <c r="AJ73" i="26" s="1"/>
  <c r="AI78" i="26"/>
  <c r="AI73" i="26" s="1"/>
  <c r="K2" i="35" s="1"/>
  <c r="L4" i="55" s="1"/>
  <c r="L68" i="55" s="1"/>
  <c r="J100" i="55"/>
  <c r="J68" i="55"/>
  <c r="X20" i="26"/>
  <c r="X78" i="26" s="1"/>
  <c r="X73" i="26" s="1"/>
  <c r="AK15" i="26"/>
  <c r="W50" i="20"/>
  <c r="W51" i="20" s="1"/>
  <c r="P2" i="50"/>
  <c r="AJ29" i="49"/>
  <c r="AJ30" i="49" s="1"/>
  <c r="P31" i="59"/>
  <c r="Q66" i="59"/>
  <c r="P74" i="59"/>
  <c r="P29" i="59" s="1"/>
  <c r="O33" i="59"/>
  <c r="H3" i="50" s="1"/>
  <c r="D100" i="59"/>
  <c r="X50" i="20" l="1"/>
  <c r="X51" i="20" s="1"/>
  <c r="Q2" i="50"/>
  <c r="R39" i="75"/>
  <c r="S101" i="75"/>
  <c r="R109" i="75"/>
  <c r="R37" i="75" s="1"/>
  <c r="J119" i="55"/>
  <c r="J87" i="55"/>
  <c r="R66" i="59"/>
  <c r="Q31" i="59"/>
  <c r="Q74" i="59"/>
  <c r="Q29" i="59" s="1"/>
  <c r="P33" i="59"/>
  <c r="I3" i="50" s="1"/>
  <c r="AJ27" i="48"/>
  <c r="W13" i="20"/>
  <c r="W29" i="20"/>
  <c r="Q41" i="75"/>
  <c r="AH28" i="48"/>
  <c r="AI12" i="48"/>
  <c r="AH9" i="48"/>
  <c r="AE67" i="59"/>
  <c r="AF68" i="59"/>
  <c r="AF103" i="75"/>
  <c r="AF102" i="75" s="1"/>
  <c r="AE102" i="75"/>
  <c r="I117" i="55"/>
  <c r="I85" i="55"/>
  <c r="AI16" i="48"/>
  <c r="J21" i="35"/>
  <c r="K23" i="55" s="1"/>
  <c r="AG26" i="48"/>
  <c r="I19" i="35"/>
  <c r="J21" i="55" s="1"/>
  <c r="AG68" i="59" l="1"/>
  <c r="AF67" i="59"/>
  <c r="Q33" i="59"/>
  <c r="J3" i="50" s="1"/>
  <c r="S66" i="59"/>
  <c r="R31" i="59"/>
  <c r="R74" i="59"/>
  <c r="R29" i="59" s="1"/>
  <c r="AH26" i="48"/>
  <c r="J19" i="35"/>
  <c r="K21" i="55" s="1"/>
  <c r="T101" i="75"/>
  <c r="S39" i="75"/>
  <c r="S109" i="75"/>
  <c r="S37" i="75" s="1"/>
  <c r="J117" i="55"/>
  <c r="J85" i="55"/>
  <c r="R41" i="75"/>
  <c r="AJ12" i="48"/>
  <c r="AI28" i="48"/>
  <c r="AI9" i="48"/>
  <c r="AJ16" i="48"/>
  <c r="K21" i="35"/>
  <c r="L23" i="55" s="1"/>
  <c r="L87" i="55" s="1"/>
  <c r="K119" i="55"/>
  <c r="K87" i="55"/>
  <c r="X13" i="20"/>
  <c r="X29" i="20"/>
  <c r="K85" i="55" l="1"/>
  <c r="K117" i="55"/>
  <c r="S41" i="75"/>
  <c r="E135" i="75"/>
  <c r="U101" i="75"/>
  <c r="T39" i="75"/>
  <c r="T109" i="75"/>
  <c r="T37" i="75" s="1"/>
  <c r="R33" i="59"/>
  <c r="K3" i="50" s="1"/>
  <c r="E100" i="59"/>
  <c r="S31" i="59"/>
  <c r="T66" i="59"/>
  <c r="S74" i="59"/>
  <c r="S29" i="59" s="1"/>
  <c r="AI26" i="48"/>
  <c r="K19" i="35"/>
  <c r="L21" i="55" s="1"/>
  <c r="AJ28" i="48"/>
  <c r="AJ9" i="48"/>
  <c r="AJ26" i="48" s="1"/>
  <c r="AH68" i="59"/>
  <c r="AG67" i="59"/>
  <c r="L85" i="55" l="1"/>
  <c r="L117" i="55"/>
  <c r="S33" i="59"/>
  <c r="L3" i="50" s="1"/>
  <c r="T41" i="75"/>
  <c r="U39" i="75"/>
  <c r="U41" i="75" s="1"/>
  <c r="V101" i="75"/>
  <c r="U109" i="75"/>
  <c r="U37" i="75" s="1"/>
  <c r="U66" i="59"/>
  <c r="T31" i="59"/>
  <c r="T74" i="59"/>
  <c r="T29" i="59" s="1"/>
  <c r="AI68" i="59"/>
  <c r="AH67" i="59"/>
  <c r="T33" i="59" l="1"/>
  <c r="M3" i="50" s="1"/>
  <c r="U31" i="59"/>
  <c r="V66" i="59"/>
  <c r="U74" i="59"/>
  <c r="U29" i="59" s="1"/>
  <c r="AJ68" i="59"/>
  <c r="AJ67" i="59" s="1"/>
  <c r="AI67" i="59"/>
  <c r="V39" i="75"/>
  <c r="W101" i="75"/>
  <c r="V109" i="75"/>
  <c r="W66" i="59" l="1"/>
  <c r="V31" i="59"/>
  <c r="V33" i="59" s="1"/>
  <c r="O3" i="50" s="1"/>
  <c r="V74" i="59"/>
  <c r="V29" i="59" s="1"/>
  <c r="U33" i="59"/>
  <c r="N3" i="50" s="1"/>
  <c r="X101" i="75"/>
  <c r="W39" i="75"/>
  <c r="V37" i="75"/>
  <c r="V41" i="75" s="1"/>
  <c r="W109" i="75"/>
  <c r="Y101" i="75" l="1"/>
  <c r="X39" i="75"/>
  <c r="W37" i="75"/>
  <c r="W12" i="75" s="1"/>
  <c r="F133" i="75" s="1"/>
  <c r="F137" i="75" s="1"/>
  <c r="X109" i="75"/>
  <c r="W41" i="75"/>
  <c r="F135" i="75"/>
  <c r="V52" i="75"/>
  <c r="X66" i="59"/>
  <c r="W31" i="59"/>
  <c r="W74" i="59"/>
  <c r="W29" i="59" s="1"/>
  <c r="V43" i="75"/>
  <c r="Y66" i="59" l="1"/>
  <c r="X31" i="59"/>
  <c r="X74" i="59"/>
  <c r="X29" i="59" s="1"/>
  <c r="W33" i="59"/>
  <c r="P3" i="50" s="1"/>
  <c r="F100" i="59"/>
  <c r="X37" i="75"/>
  <c r="X12" i="75" s="1"/>
  <c r="Y109" i="75"/>
  <c r="X41" i="75"/>
  <c r="Z101" i="75"/>
  <c r="Y39" i="75"/>
  <c r="Z39" i="75" l="1"/>
  <c r="AA101" i="75"/>
  <c r="Z109" i="75"/>
  <c r="Y37" i="75"/>
  <c r="Y12" i="75" s="1"/>
  <c r="X33" i="59"/>
  <c r="Q3" i="50" s="1"/>
  <c r="Z66" i="59"/>
  <c r="Y31" i="59"/>
  <c r="Y74" i="59"/>
  <c r="Y29" i="59" s="1"/>
  <c r="AA66" i="59" l="1"/>
  <c r="Z31" i="59"/>
  <c r="Z74" i="59"/>
  <c r="Z29" i="59" s="1"/>
  <c r="AA109" i="75"/>
  <c r="Z37" i="75"/>
  <c r="Z12" i="75" s="1"/>
  <c r="Y33" i="59"/>
  <c r="R3" i="50" s="1"/>
  <c r="AA39" i="75"/>
  <c r="G135" i="75" s="1"/>
  <c r="AB101" i="75"/>
  <c r="Y41" i="75"/>
  <c r="Z41" i="75"/>
  <c r="AB39" i="75" l="1"/>
  <c r="AC101" i="75"/>
  <c r="AA37" i="75"/>
  <c r="AB109" i="75"/>
  <c r="AB66" i="59"/>
  <c r="AA31" i="59"/>
  <c r="G100" i="59" s="1"/>
  <c r="AA74" i="59"/>
  <c r="AA41" i="75"/>
  <c r="AA12" i="75"/>
  <c r="G133" i="75" s="1"/>
  <c r="G137" i="75" s="1"/>
  <c r="Z33" i="59"/>
  <c r="S3" i="50" s="1"/>
  <c r="AB74" i="59" l="1"/>
  <c r="AA29" i="59"/>
  <c r="AA33" i="59" s="1"/>
  <c r="AD101" i="75"/>
  <c r="AE101" i="75" s="1"/>
  <c r="AF101" i="75" s="1"/>
  <c r="AC39" i="75"/>
  <c r="AC66" i="59"/>
  <c r="AB31" i="59"/>
  <c r="AB37" i="75"/>
  <c r="AB41" i="75" s="1"/>
  <c r="AC109" i="75"/>
  <c r="AB12" i="75"/>
  <c r="C17" i="35" l="1"/>
  <c r="D19" i="55" s="1"/>
  <c r="T3" i="50"/>
  <c r="AD109" i="75"/>
  <c r="AE109" i="75" s="1"/>
  <c r="AF109" i="75" s="1"/>
  <c r="AC37" i="75"/>
  <c r="AC31" i="59"/>
  <c r="AD66" i="59"/>
  <c r="AC41" i="75"/>
  <c r="AC12" i="75"/>
  <c r="AC74" i="59"/>
  <c r="AB29" i="59"/>
  <c r="AB12" i="59" s="1"/>
  <c r="AD31" i="59" l="1"/>
  <c r="AE66" i="59"/>
  <c r="AC29" i="59"/>
  <c r="AC12" i="59" s="1"/>
  <c r="AD74" i="59"/>
  <c r="AB33" i="59"/>
  <c r="D17" i="35" s="1"/>
  <c r="E19" i="55" s="1"/>
  <c r="AC33" i="59"/>
  <c r="E17" i="35" s="1"/>
  <c r="F19" i="55" s="1"/>
  <c r="D115" i="55"/>
  <c r="D83" i="55"/>
  <c r="E83" i="55" l="1"/>
  <c r="E115" i="55"/>
  <c r="AD29" i="59"/>
  <c r="AE74" i="59"/>
  <c r="AF66" i="59"/>
  <c r="AE31" i="59"/>
  <c r="F83" i="55"/>
  <c r="F115" i="55"/>
  <c r="AD33" i="59"/>
  <c r="F17" i="35" s="1"/>
  <c r="G19" i="55" s="1"/>
  <c r="G83" i="55" l="1"/>
  <c r="G115" i="55"/>
  <c r="AG66" i="59"/>
  <c r="AF31" i="59"/>
  <c r="AF74" i="59"/>
  <c r="AE29" i="59"/>
  <c r="AE33" i="59" s="1"/>
  <c r="G17" i="35" s="1"/>
  <c r="H19" i="55" s="1"/>
  <c r="H115" i="55" l="1"/>
  <c r="H83" i="55"/>
  <c r="AG31" i="59"/>
  <c r="AH66" i="59"/>
  <c r="AG74" i="59"/>
  <c r="AF29" i="59"/>
  <c r="AF33" i="59" s="1"/>
  <c r="H17" i="35" s="1"/>
  <c r="I19" i="55" s="1"/>
  <c r="I115" i="55" l="1"/>
  <c r="I83" i="55"/>
  <c r="AG29" i="59"/>
  <c r="AH74" i="59"/>
  <c r="AI66" i="59"/>
  <c r="AH31" i="59"/>
  <c r="AG33" i="59"/>
  <c r="I17" i="35" s="1"/>
  <c r="J19" i="55" s="1"/>
  <c r="J83" i="55" l="1"/>
  <c r="J115" i="55"/>
  <c r="AH29" i="59"/>
  <c r="AI74" i="59"/>
  <c r="AH33" i="59"/>
  <c r="J17" i="35" s="1"/>
  <c r="K19" i="55" s="1"/>
  <c r="AI31" i="59"/>
  <c r="AJ66" i="59"/>
  <c r="AJ31" i="59" s="1"/>
  <c r="AJ33" i="59" l="1"/>
  <c r="K115" i="55"/>
  <c r="K83" i="55"/>
  <c r="AJ74" i="59"/>
  <c r="AJ29" i="59" s="1"/>
  <c r="AI29" i="59"/>
  <c r="AI33" i="59" s="1"/>
  <c r="K17" i="35" s="1"/>
  <c r="L19" i="55" s="1"/>
  <c r="L83" i="5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6"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tc={AB1A14CA-DE5C-4A74-9649-E3C9566127ED}</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tc={D570B77E-B816-43C6-ACEF-79E4AFAEEA7C}</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6" authorId="6" shapeId="0" xr:uid="{00000000-0006-0000-1800-000007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AC21"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AA25" authorId="13" shapeId="0" xr:uid="{00000000-0006-0000-1800-00000E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K42"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6"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6"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6"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62"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62"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3"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4"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5"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6"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7"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7" authorId="25" shapeId="0" xr:uid="{00000000-0006-0000-1800-00001A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5"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6"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7"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8"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9"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10"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11" authorId="32" shapeId="0" xr:uid="{00000000-0006-0000-1800-000021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12" authorId="33" shapeId="0" xr:uid="{00000000-0006-0000-1800-000022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5"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8"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8" authorId="36"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8" authorId="37" shapeId="0" xr:uid="{00000000-0006-0000-1800-000026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8" authorId="38" shapeId="0" xr:uid="{00000000-0006-0000-1800-000027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8" authorId="39" shapeId="0" xr:uid="{00000000-0006-0000-1800-00002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<sst xmlns="http://schemas.openxmlformats.org/spreadsheetml/2006/main" count="5011" uniqueCount="2295">
  <si>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</si>
  <si>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</si>
  <si>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</si>
  <si>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</si>
  <si>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</si>
  <si>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</si>
  <si>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</si>
  <si>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</si>
  <si>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</si>
  <si>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</si>
  <si>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</si>
  <si>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</si>
  <si>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</si>
  <si>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</si>
  <si>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</si>
  <si>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</si>
  <si>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</si>
  <si>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</si>
  <si>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</si>
  <si>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</si>
  <si>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</si>
  <si>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</si>
  <si>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</si>
  <si>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</si>
  <si>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</si>
  <si>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</si>
  <si>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</si>
  <si>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</si>
  <si>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</si>
  <si>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</si>
  <si>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</si>
  <si>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</si>
  <si>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</si>
  <si>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</si>
  <si>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</si>
  <si>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</si>
  <si>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</si>
  <si>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</si>
  <si>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</si>
  <si>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</si>
  <si>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</si>
  <si>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</si>
  <si>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</si>
  <si>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</si>
  <si>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</si>
  <si>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</si>
  <si>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</si>
  <si>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</si>
  <si>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</si>
  <si>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</si>
  <si>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</si>
  <si>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</si>
  <si>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</si>
  <si>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</si>
  <si>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</si>
  <si>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</si>
  <si>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</si>
  <si>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</si>
  <si>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</si>
  <si>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</si>
  <si>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</si>
  <si>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</si>
  <si>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</si>
  <si>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</si>
  <si>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</si>
  <si>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</si>
  <si>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</si>
  <si>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</si>
  <si>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</si>
  <si>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</si>
  <si>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</si>
  <si>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</si>
  <si>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</si>
  <si>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</si>
  <si>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</si>
  <si>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</si>
  <si>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</si>
  <si>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</si>
  <si>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</si>
  <si>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</si>
  <si>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</si>
  <si>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</si>
  <si>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</si>
  <si>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</si>
  <si>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</si>
  <si>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</si>
  <si>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</si>
  <si>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</si>
  <si>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</si>
  <si>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</si>
  <si>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</si>
  <si>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</si>
  <si>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</si>
  <si>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</si>
  <si>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</si>
  <si>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</si>
  <si>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</si>
  <si>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</si>
  <si>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</si>
  <si>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</si>
  <si>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</si>
  <si>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</si>
  <si>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</si>
  <si>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</si>
  <si>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</si>
  <si>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</si>
  <si>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</si>
  <si>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</si>
  <si>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</si>
  <si>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</si>
  <si>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</si>
  <si>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</si>
  <si>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</si>
  <si>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</si>
  <si>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</si>
  <si>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</si>
  <si>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</si>
  <si>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</si>
  <si>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</si>
  <si>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</si>
  <si>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</si>
  <si>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</si>
  <si>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</si>
  <si>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</si>
  <si>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</si>
  <si>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</si>
  <si>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</si>
  <si>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</si>
  <si>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</si>
  <si>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</si>
  <si>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</si>
  <si>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</si>
  <si>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</si>
  <si>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</si>
  <si>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</si>
  <si>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</si>
  <si>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</si>
  <si>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</si>
  <si>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</si>
  <si>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</si>
  <si>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</si>
  <si>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</si>
  <si>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</si>
  <si>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</si>
  <si>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</si>
  <si>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</si>
  <si>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</si>
  <si>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</si>
  <si>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</si>
  <si>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</si>
  <si>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</si>
  <si>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</si>
  <si>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</si>
  <si>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</si>
  <si>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</si>
  <si>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</si>
  <si>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</si>
  <si>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</si>
  <si>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</si>
  <si>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</si>
  <si>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</si>
  <si>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</si>
  <si>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</si>
  <si>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</si>
  <si>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</si>
  <si>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</si>
  <si>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</si>
  <si>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</si>
  <si>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</si>
  <si>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</si>
  <si>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</si>
  <si>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</si>
  <si>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</si>
  <si>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</si>
  <si>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</si>
  <si>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</si>
  <si>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</si>
  <si>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</si>
  <si>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</si>
  <si>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</si>
  <si>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</si>
  <si>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</si>
  <si>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</si>
  <si>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</si>
  <si>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</si>
  <si>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</si>
  <si>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</si>
  <si>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</si>
  <si>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</si>
  <si>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</si>
  <si>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</si>
  <si>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</si>
  <si>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</si>
  <si>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</si>
  <si>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</si>
  <si>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</si>
  <si>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</si>
  <si>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</si>
  <si>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</si>
  <si>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</si>
  <si>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</si>
  <si>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</si>
  <si>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</si>
  <si>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</si>
  <si>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</si>
  <si>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</si>
  <si>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</si>
  <si>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</si>
  <si>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</si>
  <si>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</si>
  <si>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</si>
  <si>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</si>
  <si>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</si>
  <si>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</si>
  <si>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</si>
  <si>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</si>
  <si>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</si>
  <si>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</si>
  <si>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</si>
  <si>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</si>
  <si>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</si>
  <si>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</si>
  <si>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</si>
  <si>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</si>
  <si>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</si>
  <si>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</si>
  <si>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</si>
  <si>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</si>
  <si>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</si>
  <si>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</si>
  <si>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</si>
  <si>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</si>
  <si>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</si>
  <si>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</si>
  <si>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</si>
  <si>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</si>
  <si>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</si>
  <si>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</si>
  <si>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</si>
  <si>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</si>
  <si>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</si>
  <si>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</si>
  <si>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</si>
  <si>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</si>
  <si>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</si>
  <si>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</si>
  <si>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</si>
  <si>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</si>
  <si>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</si>
  <si>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</si>
  <si>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</si>
  <si>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</si>
  <si>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</si>
  <si>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</si>
  <si>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</si>
  <si>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</si>
  <si>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</si>
  <si>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</si>
  <si>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</si>
  <si>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</si>
  <si>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</si>
  <si>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</si>
  <si>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</si>
  <si>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</si>
  <si>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</si>
  <si>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</si>
  <si>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</si>
  <si>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</si>
  <si>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</si>
  <si>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</si>
  <si>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</si>
  <si>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</si>
  <si>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</si>
  <si>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</si>
  <si>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</si>
  <si>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</si>
  <si>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</si>
  <si>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</si>
  <si>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</si>
  <si>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</si>
  <si>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</si>
  <si>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</si>
  <si>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</si>
  <si>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</si>
  <si>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</si>
  <si>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</si>
  <si>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</si>
  <si>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</si>
  <si>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</si>
  <si>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</si>
  <si>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</si>
  <si>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</si>
  <si>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</si>
  <si>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</si>
  <si>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</si>
  <si>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</si>
  <si>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</si>
  <si>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</si>
  <si>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</si>
  <si>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</si>
  <si>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</si>
  <si>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</si>
  <si>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</si>
  <si>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</si>
  <si>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</si>
  <si>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</si>
  <si>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</si>
  <si>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</si>
  <si>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</si>
  <si>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</si>
  <si>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</si>
  <si>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</si>
  <si>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</si>
  <si>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</si>
  <si>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</si>
  <si>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</si>
  <si>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</si>
  <si>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</si>
  <si>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</si>
  <si>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</si>
  <si>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</si>
  <si>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</si>
  <si>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</si>
  <si>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</si>
  <si>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</si>
  <si>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</si>
  <si>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</si>
  <si>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</si>
  <si>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</si>
  <si>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</si>
  <si>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</si>
  <si>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</si>
  <si>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</si>
  <si>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</si>
  <si>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</si>
  <si>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</si>
  <si>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</si>
  <si>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</si>
  <si>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</si>
  <si>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</si>
  <si>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</si>
  <si>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</si>
  <si>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</si>
  <si>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</si>
  <si>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</si>
  <si>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</si>
  <si>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</si>
  <si>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</si>
  <si>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</si>
  <si>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</si>
  <si>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</si>
  <si>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</si>
  <si>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</si>
  <si>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</si>
  <si>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</si>
  <si>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</si>
  <si>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</si>
  <si>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</si>
  <si>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</si>
  <si>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</si>
  <si>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</si>
  <si>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</si>
  <si>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</si>
  <si>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</si>
  <si>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</si>
  <si>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</si>
  <si>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</si>
  <si>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</si>
  <si>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</si>
  <si>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</si>
  <si>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</si>
  <si>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</si>
  <si>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</si>
  <si>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</si>
  <si>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</si>
  <si>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</si>
  <si>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</si>
  <si>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</si>
  <si>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</si>
  <si>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</si>
  <si>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</si>
  <si>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</si>
  <si>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</si>
  <si>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</si>
  <si>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</si>
  <si>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</si>
  <si>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</si>
  <si>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</si>
  <si>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</si>
  <si>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</si>
  <si>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</si>
  <si>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</si>
  <si>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</si>
  <si>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</si>
  <si>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</si>
  <si>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</si>
  <si>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</si>
  <si>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</si>
  <si>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</si>
  <si>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</si>
  <si>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</si>
  <si>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</si>
  <si>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</si>
  <si>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</si>
  <si>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</si>
  <si>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</si>
  <si>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</si>
  <si>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</si>
  <si>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</si>
  <si>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</si>
  <si>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</si>
  <si>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</si>
  <si>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</si>
  <si>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</si>
  <si>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</si>
  <si>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</si>
  <si>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</si>
  <si>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</si>
  <si>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</si>
  <si>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</si>
  <si>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</si>
  <si>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</si>
  <si>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</si>
  <si>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</si>
  <si>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</si>
  <si>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</si>
  <si>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</si>
  <si>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</si>
  <si>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</si>
  <si>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</si>
  <si>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</si>
  <si>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</si>
  <si>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</si>
  <si>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</si>
  <si>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</si>
  <si>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</si>
  <si>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</si>
  <si>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</si>
  <si>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</si>
  <si>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</si>
  <si>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</si>
  <si>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</si>
  <si>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</si>
  <si>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</si>
  <si>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</si>
  <si>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</si>
  <si>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</si>
  <si>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</si>
  <si>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</si>
  <si>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</si>
  <si>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</si>
  <si>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</si>
  <si>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</si>
  <si>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</si>
  <si>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</si>
  <si>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</si>
  <si>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</si>
  <si>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</si>
  <si>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</si>
  <si>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</si>
  <si>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</si>
  <si>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</si>
  <si>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</si>
  <si>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</si>
  <si>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</si>
  <si>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</si>
  <si>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</si>
  <si>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</si>
  <si>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</si>
  <si>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</si>
  <si>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</si>
  <si>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</si>
  <si>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</si>
  <si>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</si>
  <si>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</si>
  <si>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</si>
  <si>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</si>
  <si>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</si>
  <si>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</si>
  <si>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</si>
  <si>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</si>
  <si>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</si>
  <si>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</si>
  <si>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</si>
  <si>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</si>
  <si>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</si>
  <si>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</si>
  <si>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</si>
  <si>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</si>
  <si>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</si>
  <si>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</si>
  <si>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</si>
  <si>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</si>
  <si>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</si>
  <si>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</si>
  <si>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</si>
  <si>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</si>
  <si>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</si>
  <si>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</si>
  <si>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</si>
  <si>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</si>
  <si>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</si>
  <si>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</si>
  <si>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</si>
  <si>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</si>
  <si>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</si>
  <si>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</si>
  <si>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</si>
  <si>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</si>
  <si>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</si>
  <si>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</si>
  <si>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</si>
  <si>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</si>
  <si>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</si>
  <si>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</si>
  <si>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</si>
  <si>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</si>
  <si>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</si>
  <si>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</si>
  <si>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</si>
  <si>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</si>
  <si>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</si>
  <si>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</si>
  <si>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</si>
  <si>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</si>
  <si>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</si>
  <si>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</si>
  <si>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</si>
  <si>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</si>
  <si>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</si>
  <si>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</si>
  <si>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</si>
  <si>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</si>
  <si>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</si>
  <si>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</si>
  <si>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</si>
  <si>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</si>
  <si>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</si>
  <si>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</si>
  <si>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</si>
  <si>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</si>
  <si>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</si>
  <si>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</si>
  <si>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</si>
  <si>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</si>
  <si>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</si>
  <si>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</si>
  <si>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</si>
  <si>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</si>
  <si>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</si>
  <si>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</si>
  <si>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</si>
  <si>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</si>
  <si>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</si>
  <si>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</si>
  <si>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</si>
  <si>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</si>
  <si>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</si>
  <si>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</si>
  <si>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</si>
  <si>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</si>
  <si>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</si>
  <si>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</si>
  <si>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</si>
  <si>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</si>
  <si>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</si>
  <si>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</si>
  <si>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</si>
  <si>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</si>
  <si>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</si>
  <si>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</si>
  <si>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</si>
  <si>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</si>
  <si>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</si>
  <si>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</si>
  <si>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</si>
  <si>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</si>
  <si>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</si>
  <si>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</si>
  <si>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</si>
  <si>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</si>
  <si>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</si>
  <si>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</si>
  <si>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</si>
  <si>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</si>
  <si>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</si>
  <si>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</si>
  <si>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</si>
  <si>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</si>
  <si>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</si>
  <si>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</si>
  <si>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</si>
  <si>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</si>
  <si>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</si>
  <si>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</si>
  <si>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</si>
  <si>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</si>
  <si>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</si>
  <si>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</si>
  <si>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</si>
  <si>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</si>
  <si>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</si>
  <si>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</si>
  <si>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</si>
  <si>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</si>
  <si>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</si>
  <si>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</si>
  <si>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</si>
  <si>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</si>
  <si>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</si>
  <si>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</si>
  <si>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</si>
  <si>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</si>
  <si>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</si>
  <si>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</si>
  <si>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</si>
  <si>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</si>
  <si>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</si>
  <si>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</si>
  <si>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</si>
  <si>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</si>
  <si>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</si>
  <si>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</si>
  <si>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</si>
  <si>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</si>
  <si>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</si>
  <si>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</si>
  <si>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</si>
  <si>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</si>
  <si>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</si>
  <si>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</si>
  <si>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</si>
  <si>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</si>
  <si>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</si>
  <si>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</si>
  <si>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</si>
  <si>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</si>
  <si>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</si>
  <si>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</si>
  <si>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</si>
  <si>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</si>
  <si>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</si>
  <si>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</si>
  <si>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</si>
  <si>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</si>
  <si>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</si>
  <si>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</si>
  <si>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</si>
  <si>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</si>
  <si>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</si>
  <si>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</si>
  <si>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</si>
  <si>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</si>
  <si>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</si>
  <si>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</si>
  <si>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</si>
  <si>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</si>
  <si>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</si>
  <si>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</si>
  <si>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</si>
  <si>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</si>
  <si>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</si>
  <si>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</si>
  <si>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</si>
  <si>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</si>
  <si>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</si>
  <si>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</si>
  <si>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</si>
  <si>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</si>
  <si>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</si>
  <si>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</si>
  <si>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</si>
  <si>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</si>
  <si>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</si>
  <si>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</si>
  <si>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</si>
  <si>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</si>
  <si>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</si>
  <si>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</si>
  <si>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</si>
  <si>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</si>
  <si>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</si>
  <si>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</si>
  <si>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</si>
  <si>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</si>
  <si>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</si>
  <si>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</si>
  <si>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</si>
  <si>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</si>
  <si>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</si>
  <si>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</si>
  <si>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</si>
  <si>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</si>
  <si>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</si>
  <si>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</si>
  <si>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</si>
  <si>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</si>
  <si>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</si>
  <si>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</si>
  <si>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</si>
  <si>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</si>
  <si>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</si>
  <si>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</si>
  <si>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</si>
  <si>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</si>
  <si>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</si>
  <si>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</si>
  <si>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</si>
  <si>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</si>
  <si>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</si>
  <si>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</si>
  <si>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</si>
  <si>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</si>
  <si>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</si>
  <si>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</si>
  <si>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</si>
  <si>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</si>
  <si>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</si>
  <si>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</si>
  <si>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</si>
  <si>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</si>
  <si>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</si>
  <si>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</si>
  <si>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</si>
  <si>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</si>
  <si>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</si>
  <si>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</si>
  <si>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</si>
  <si>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</si>
  <si>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</si>
  <si>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</si>
  <si>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</si>
  <si>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</si>
  <si>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</si>
  <si>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</si>
  <si>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</si>
  <si>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</si>
  <si>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</si>
  <si>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</si>
  <si>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</si>
  <si>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</si>
  <si>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</si>
  <si>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</si>
  <si>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</si>
  <si>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</si>
  <si>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</si>
  <si>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</si>
  <si>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</si>
  <si>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</si>
  <si>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</si>
  <si>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</si>
  <si>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</si>
  <si>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</si>
  <si>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</si>
  <si>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</si>
  <si>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</si>
  <si>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</si>
  <si>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</si>
  <si>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</si>
  <si>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</si>
  <si>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</si>
  <si>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</si>
  <si>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</si>
  <si>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</si>
  <si>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</si>
  <si>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</si>
  <si>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</si>
  <si>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</si>
  <si>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</si>
  <si>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</si>
  <si>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</si>
  <si>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</si>
  <si>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</si>
  <si>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</si>
  <si>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</si>
  <si>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</si>
  <si>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</si>
  <si>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</si>
  <si>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</si>
  <si>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</si>
  <si>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</si>
  <si>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</si>
  <si>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</si>
  <si>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</si>
  <si>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</si>
  <si>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</si>
  <si>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</si>
  <si>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</si>
  <si>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</si>
  <si>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</si>
  <si>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</si>
  <si>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</si>
  <si>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</si>
  <si>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</si>
  <si>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</si>
  <si>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</si>
  <si>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</si>
  <si>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</si>
  <si>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</si>
  <si>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</si>
  <si>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</si>
  <si>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</si>
  <si>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</si>
  <si>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</si>
  <si>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</si>
  <si>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</si>
  <si>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</si>
  <si>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</si>
  <si>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</si>
  <si>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</si>
  <si>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</si>
  <si>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</si>
  <si>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</si>
  <si>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</si>
  <si>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</si>
  <si>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</si>
  <si>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</si>
  <si>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</si>
  <si>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</si>
  <si>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</si>
  <si>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</si>
  <si>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</si>
  <si>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</si>
  <si>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</si>
  <si>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</si>
  <si>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</si>
  <si>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</si>
  <si>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</si>
  <si>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</si>
  <si>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</si>
  <si>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</si>
  <si>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</si>
  <si>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</si>
  <si>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</si>
  <si>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</si>
  <si>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</si>
  <si>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</si>
  <si>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</si>
  <si>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</si>
  <si>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</si>
  <si>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</si>
  <si>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</si>
  <si>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</si>
  <si>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</si>
  <si>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</si>
  <si>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</si>
  <si>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</si>
  <si>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</si>
  <si>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</si>
  <si>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</si>
  <si>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</si>
  <si>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</si>
  <si>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</si>
  <si>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</si>
  <si>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</si>
  <si>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</si>
  <si>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</si>
  <si>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</si>
  <si>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</si>
  <si>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</si>
  <si>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</si>
  <si>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</si>
  <si>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</si>
  <si>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</si>
  <si>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</si>
  <si>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</si>
  <si>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</si>
  <si>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</si>
  <si>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</si>
  <si>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</si>
  <si>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</si>
  <si>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</si>
  <si>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</si>
  <si>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</si>
  <si>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</si>
  <si>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</si>
  <si>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</si>
  <si>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</si>
  <si>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</si>
  <si>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</si>
  <si>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</si>
  <si>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</si>
  <si>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</si>
  <si>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</si>
  <si>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</si>
  <si>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</si>
  <si>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</si>
  <si>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</si>
  <si>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</si>
  <si>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</si>
  <si>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</si>
  <si>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</si>
  <si>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</si>
  <si>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</si>
  <si>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</si>
  <si>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</si>
  <si>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</si>
  <si>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</si>
  <si>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</si>
  <si>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</si>
  <si>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</si>
  <si>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</si>
  <si>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</si>
  <si>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</si>
  <si>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</si>
  <si>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</si>
  <si>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</si>
  <si>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</si>
  <si>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</si>
  <si>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</si>
  <si>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</si>
  <si>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</si>
  <si>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</si>
  <si>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</si>
  <si>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</si>
  <si>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</si>
  <si>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</si>
  <si>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</si>
  <si>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</si>
  <si>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</si>
  <si>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</si>
  <si>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</si>
  <si>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</si>
  <si>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</si>
  <si>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</si>
  <si>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</si>
  <si>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</si>
  <si>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</si>
  <si>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</si>
  <si>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</si>
  <si>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</si>
  <si>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</si>
  <si>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</si>
  <si>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</si>
  <si>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</si>
  <si>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</si>
  <si>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</si>
  <si>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</si>
  <si>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</si>
  <si>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</si>
  <si>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</si>
  <si>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</si>
  <si>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</si>
  <si>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</si>
  <si>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</si>
  <si>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</si>
  <si>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</si>
  <si>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</si>
  <si>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</si>
  <si>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</si>
  <si>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</si>
  <si>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</si>
  <si>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</si>
  <si>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</si>
  <si>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</si>
  <si>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</si>
  <si>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</si>
  <si>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</si>
  <si>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</si>
  <si>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</si>
  <si>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</si>
  <si>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</si>
  <si>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</si>
  <si>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</si>
  <si>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</si>
  <si>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</si>
  <si>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</si>
  <si>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</si>
  <si>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</si>
  <si>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</si>
  <si>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</si>
  <si>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</si>
  <si>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</si>
  <si>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</si>
  <si>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</si>
  <si>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</si>
  <si>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</si>
  <si>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</si>
  <si>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</si>
  <si>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</si>
  <si>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</si>
  <si>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</si>
  <si>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</si>
  <si>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</si>
  <si>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</si>
  <si>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</si>
  <si>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</si>
  <si>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</si>
  <si>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</si>
  <si>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</si>
  <si>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</si>
  <si>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</si>
  <si>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</si>
  <si>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</si>
  <si>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</si>
  <si>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</si>
  <si>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</si>
  <si>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</si>
  <si>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</si>
  <si>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</si>
  <si>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</si>
  <si>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</si>
  <si>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</si>
  <si>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</si>
  <si>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</si>
  <si>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</si>
  <si>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</si>
  <si>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</si>
  <si>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</si>
  <si>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</si>
  <si>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</si>
  <si>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</si>
  <si>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</si>
  <si>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</si>
  <si>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</si>
  <si>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</si>
  <si>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</si>
  <si>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</si>
  <si>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</si>
  <si>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</si>
  <si>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</si>
  <si>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</si>
  <si>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</si>
  <si>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</si>
  <si>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</si>
  <si>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</si>
  <si>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</si>
  <si>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</si>
  <si>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</si>
  <si>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</si>
  <si>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</si>
  <si>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</si>
  <si>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</si>
  <si>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</si>
  <si>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</si>
  <si>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</si>
  <si>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</si>
  <si>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</si>
  <si>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</si>
  <si>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</si>
  <si>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</si>
  <si>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</si>
  <si>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</si>
  <si>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</si>
  <si>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</si>
  <si>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</si>
  <si>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</si>
  <si>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</si>
  <si>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</si>
  <si>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</si>
  <si>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</si>
  <si>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</si>
  <si>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</si>
  <si>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</si>
  <si>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</si>
  <si>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</si>
  <si>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</si>
  <si>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</si>
  <si>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</si>
  <si>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</si>
  <si>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</si>
  <si>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</si>
  <si>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</si>
  <si>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</si>
  <si>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</si>
  <si>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</si>
  <si>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</si>
  <si>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</si>
  <si>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</si>
  <si>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</si>
  <si>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</si>
  <si>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</si>
  <si>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</si>
  <si>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</si>
  <si>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</si>
  <si>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</si>
  <si>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</si>
  <si>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</si>
  <si>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</si>
  <si>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</si>
  <si>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</si>
  <si>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</si>
  <si>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</si>
  <si>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</si>
  <si>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</si>
  <si>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</si>
  <si>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</si>
  <si>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</si>
  <si>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</si>
  <si>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</si>
  <si>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</si>
  <si>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</si>
  <si>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</si>
  <si>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</si>
  <si>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</si>
  <si>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</si>
  <si>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</si>
  <si>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</si>
  <si>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</si>
  <si>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</si>
  <si>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</si>
  <si>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</si>
  <si>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</si>
  <si>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</si>
  <si>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</si>
  <si>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</si>
  <si>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</si>
  <si>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</si>
  <si>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</si>
  <si>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</si>
  <si>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</si>
  <si>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</si>
  <si>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</si>
  <si>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</si>
  <si>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</si>
  <si>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</si>
  <si>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</si>
  <si>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</si>
  <si>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</si>
  <si>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</si>
  <si>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</si>
  <si>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</si>
  <si>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</si>
  <si>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</si>
  <si>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</si>
  <si>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</si>
  <si>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</si>
  <si>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</si>
  <si>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</si>
  <si>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</si>
  <si>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</si>
  <si>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</si>
  <si>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</si>
  <si>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</si>
  <si>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</si>
  <si>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</si>
  <si>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</si>
  <si>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</si>
  <si>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</si>
  <si>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</si>
  <si>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</si>
  <si>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</si>
  <si>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</si>
  <si>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</si>
  <si>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</si>
  <si>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</si>
  <si>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</si>
  <si>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</si>
  <si>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</si>
  <si>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</si>
  <si>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</si>
  <si>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</si>
  <si>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</si>
  <si>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</si>
  <si>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</si>
  <si>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</si>
  <si>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</si>
  <si>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</si>
  <si>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</si>
  <si>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</si>
  <si>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</si>
  <si>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</si>
  <si>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</si>
  <si>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</si>
  <si>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</si>
  <si>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</si>
  <si>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</si>
  <si>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</si>
  <si>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</si>
  <si>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</si>
  <si>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</si>
  <si>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</si>
  <si>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</si>
  <si>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</si>
  <si>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</si>
  <si>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</si>
  <si>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</si>
  <si>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</si>
  <si>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</si>
  <si>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</si>
  <si>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</si>
  <si>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</si>
  <si>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</si>
  <si>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</si>
  <si>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</si>
  <si>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</si>
  <si>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</si>
  <si>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</si>
  <si>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</si>
  <si>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</si>
  <si>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</si>
  <si>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</si>
  <si>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</si>
  <si>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</si>
  <si>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</si>
  <si>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</si>
  <si>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</si>
  <si>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</si>
  <si>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</si>
  <si>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</si>
  <si>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</si>
  <si>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</si>
  <si>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</si>
  <si>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</si>
  <si>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</si>
  <si>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</si>
  <si>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</si>
  <si>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</si>
  <si>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</si>
  <si>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</si>
  <si>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</si>
  <si>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</si>
  <si>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</si>
  <si>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</si>
  <si>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</si>
  <si>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</si>
  <si>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</si>
  <si>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</si>
  <si>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</si>
  <si>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</si>
  <si>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</si>
  <si>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</si>
  <si>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</si>
  <si>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</si>
  <si>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</si>
  <si>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</si>
  <si>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</si>
  <si>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</si>
  <si>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</si>
  <si>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</si>
  <si>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</si>
  <si>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</si>
  <si>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</si>
  <si>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</si>
  <si>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</si>
  <si>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</si>
  <si>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</si>
  <si>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</si>
  <si>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</si>
  <si>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</si>
  <si>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</si>
  <si>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</si>
  <si>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</si>
  <si>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</si>
  <si>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</si>
  <si>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</si>
  <si>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</si>
  <si>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</si>
  <si>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</si>
  <si>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</si>
  <si>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</si>
  <si>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</si>
  <si>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</si>
  <si>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</si>
  <si>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</si>
  <si>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</si>
  <si>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</si>
  <si>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</si>
  <si>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</si>
  <si>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</si>
  <si>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</si>
  <si>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</si>
  <si>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</si>
  <si>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</si>
  <si>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</si>
  <si>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</si>
  <si>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</si>
  <si>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</si>
  <si>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</si>
  <si>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</si>
  <si>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</si>
  <si>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</si>
  <si>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</si>
  <si>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</si>
  <si>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</si>
  <si>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</si>
  <si>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</si>
  <si>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</si>
  <si>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</si>
  <si>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</si>
  <si>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</si>
  <si>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</si>
  <si>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</si>
  <si>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</si>
  <si>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</si>
  <si>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</si>
  <si>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</si>
  <si>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</si>
  <si>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</si>
  <si>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</si>
  <si>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</si>
  <si>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</si>
  <si>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</si>
  <si>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</si>
  <si>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</si>
  <si>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</si>
  <si>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</si>
  <si>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</si>
  <si>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</si>
  <si>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</si>
  <si>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</si>
  <si>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</si>
  <si>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</si>
  <si>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</si>
  <si>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</si>
  <si>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</si>
  <si>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</si>
  <si>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</si>
  <si>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</si>
  <si>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</si>
  <si>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</si>
  <si>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</si>
  <si>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</si>
  <si>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</si>
  <si>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</si>
  <si>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</si>
  <si>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</si>
  <si>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</si>
  <si>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</si>
  <si>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</si>
  <si>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</si>
  <si>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</si>
  <si>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</si>
  <si>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</si>
  <si>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</si>
  <si>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</si>
  <si>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</si>
  <si>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</si>
  <si>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</si>
  <si>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</si>
  <si>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</si>
  <si>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</si>
  <si>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</si>
  <si>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</si>
  <si>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</si>
  <si>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</si>
  <si>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</si>
  <si>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</si>
  <si>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</si>
  <si>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</si>
  <si>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</si>
  <si>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</si>
  <si>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</si>
  <si>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</si>
  <si>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</si>
  <si>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</si>
  <si>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</si>
  <si>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</si>
  <si>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</si>
  <si>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</si>
  <si>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</si>
  <si>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</si>
  <si>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</si>
  <si>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</si>
  <si>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</si>
  <si>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</si>
  <si>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</si>
  <si>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</si>
  <si>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</si>
  <si>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</si>
  <si>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</si>
  <si>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</si>
  <si>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</si>
  <si>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</si>
  <si>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</si>
  <si>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</si>
  <si>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</si>
  <si>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</si>
  <si>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</si>
  <si>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</si>
  <si>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</si>
  <si>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</si>
  <si>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</si>
  <si>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</si>
  <si>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</si>
  <si>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</si>
  <si>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</si>
  <si>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</si>
  <si>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</si>
  <si>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</si>
  <si>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</si>
  <si>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</si>
  <si>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</si>
  <si>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</si>
  <si>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</si>
  <si>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</si>
  <si>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</si>
  <si>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</si>
  <si>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</si>
  <si>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</si>
  <si>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</si>
  <si>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</si>
  <si>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</si>
  <si>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</si>
  <si>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</si>
  <si>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</si>
  <si>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</si>
  <si>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</si>
  <si>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</si>
  <si>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</si>
  <si>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</si>
  <si>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</si>
  <si>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</si>
  <si>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</si>
  <si>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</si>
  <si>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</si>
  <si>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</si>
  <si>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</si>
  <si>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</si>
  <si>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</si>
  <si>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</si>
  <si>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</si>
  <si>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</si>
  <si>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</si>
  <si>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</si>
  <si>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</si>
  <si>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</si>
  <si>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</si>
  <si>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</si>
  <si>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</si>
  <si>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</si>
  <si>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</si>
  <si>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</si>
  <si>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</si>
  <si>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</si>
  <si>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</si>
  <si>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</si>
  <si>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</si>
  <si>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</si>
  <si>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</si>
  <si>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</si>
  <si>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</si>
  <si>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</si>
  <si>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</si>
  <si>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</si>
  <si>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</si>
  <si>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</si>
  <si>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</si>
  <si>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</si>
  <si>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</si>
  <si>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</si>
  <si>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</si>
  <si>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</si>
  <si>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</si>
  <si>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</si>
  <si>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</si>
  <si>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</si>
  <si>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</si>
  <si>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</si>
  <si>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</si>
  <si>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</si>
  <si>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</si>
  <si>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</si>
  <si>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</si>
  <si>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</si>
  <si>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</si>
  <si>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</si>
  <si>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</si>
  <si>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</si>
  <si>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</si>
  <si>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</si>
  <si>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</si>
  <si>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</si>
  <si>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</si>
  <si>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</si>
  <si>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</si>
  <si>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</si>
  <si>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</si>
  <si>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</si>
  <si>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</si>
  <si>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</si>
  <si>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</si>
  <si>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</si>
  <si>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</si>
  <si>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</si>
  <si>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</si>
  <si>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</si>
  <si>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</si>
  <si>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</si>
  <si>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</si>
  <si>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</si>
  <si>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</si>
  <si>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</si>
  <si>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</si>
  <si>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</si>
  <si>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</si>
  <si>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</si>
  <si>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</si>
  <si>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</si>
  <si>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</si>
  <si>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</si>
  <si>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</si>
  <si>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</si>
  <si>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</si>
  <si>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</si>
  <si>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</si>
  <si>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</si>
  <si>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</si>
  <si>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</si>
  <si>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</si>
  <si>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</si>
  <si>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</si>
  <si>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</si>
  <si>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</si>
  <si>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</si>
  <si>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</si>
  <si>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</si>
  <si>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</si>
  <si>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</si>
  <si>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</si>
  <si>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</si>
  <si>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</si>
  <si>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</si>
  <si>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</si>
  <si>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</si>
  <si>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</si>
  <si>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</si>
  <si>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</si>
  <si>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</si>
  <si>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</si>
  <si>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</si>
  <si>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</si>
  <si>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</si>
  <si>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</si>
  <si>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</si>
  <si>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</si>
  <si>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</si>
  <si>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</si>
  <si>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</si>
  <si>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</si>
  <si>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</si>
  <si>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</si>
  <si>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</si>
  <si>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</si>
  <si>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</si>
  <si>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</si>
  <si>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</si>
  <si>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</si>
  <si>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</si>
  <si>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</si>
  <si>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</si>
  <si>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</si>
  <si>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</si>
  <si>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</si>
  <si>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</si>
  <si>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</si>
  <si>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</si>
  <si>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</si>
  <si>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</si>
  <si>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</si>
  <si>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</si>
  <si>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</si>
  <si>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</si>
  <si>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</si>
  <si>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</si>
  <si>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</si>
  <si>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</si>
  <si>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</si>
  <si>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</si>
  <si>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</si>
  <si>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</si>
  <si>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</si>
  <si>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</si>
  <si>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</si>
  <si>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</si>
  <si>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</si>
  <si>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</si>
  <si>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</si>
  <si>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</si>
  <si>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</si>
  <si>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</si>
  <si>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</si>
  <si>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</si>
  <si>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</si>
  <si>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</si>
  <si>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</si>
  <si>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</si>
  <si>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</si>
  <si>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</si>
  <si>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</si>
  <si>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</si>
  <si>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</si>
  <si>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</si>
  <si>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</si>
  <si>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</si>
  <si>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</si>
  <si>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</si>
  <si>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</si>
  <si>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</si>
  <si>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</si>
  <si>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</si>
  <si>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</si>
  <si>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</si>
  <si>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</si>
  <si>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</si>
  <si>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</si>
  <si>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</si>
  <si>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</si>
  <si>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</si>
  <si>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</si>
  <si>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</si>
  <si>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</si>
  <si>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</si>
  <si>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</si>
  <si>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</si>
  <si>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</si>
  <si>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</si>
  <si>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</si>
  <si>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</si>
  <si>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</si>
  <si>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</si>
  <si>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</si>
  <si>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</si>
  <si>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</si>
  <si>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</si>
  <si>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</si>
  <si>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</si>
  <si>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</si>
  <si>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</si>
  <si>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</si>
  <si>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</si>
  <si>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</si>
  <si>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</si>
  <si>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</si>
  <si>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</si>
  <si>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</si>
  <si>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</si>
  <si>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</si>
  <si>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</si>
  <si>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</si>
  <si>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</si>
  <si>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</si>
  <si>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</si>
  <si>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</si>
  <si>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</si>
  <si>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</si>
  <si>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</si>
  <si>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</si>
  <si>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</si>
  <si>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</si>
  <si>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</si>
  <si>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</si>
  <si>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</si>
  <si>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</si>
  <si>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</si>
  <si>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</si>
  <si>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</si>
  <si>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</si>
  <si>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</si>
  <si>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</si>
  <si>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</si>
  <si>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</si>
  <si>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</si>
  <si>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</si>
  <si>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</si>
  <si>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</si>
  <si>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</si>
  <si>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</si>
  <si>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</si>
  <si>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</si>
  <si>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</si>
  <si>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</si>
  <si>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</si>
  <si>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</si>
  <si>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</si>
  <si>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</si>
  <si>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</si>
  <si>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</si>
  <si>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</si>
  <si>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</si>
  <si>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</si>
  <si>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</si>
  <si>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</si>
  <si>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</si>
  <si>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</si>
  <si>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</si>
  <si>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</si>
  <si>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</si>
  <si>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</si>
  <si>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</si>
  <si>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</si>
  <si>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</si>
  <si>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</si>
  <si>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</si>
  <si>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</si>
  <si>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</si>
  <si>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</si>
  <si>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</si>
  <si>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</si>
  <si>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</si>
  <si>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</si>
  <si>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</si>
  <si>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</si>
  <si>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</si>
  <si>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</si>
  <si>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</si>
  <si>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</si>
  <si>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</si>
  <si>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</si>
  <si>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</si>
  <si>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</si>
  <si>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</si>
  <si>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</si>
  <si>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</si>
  <si>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</si>
  <si>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</si>
  <si>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</si>
  <si>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</si>
  <si>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</si>
  <si>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</si>
  <si>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</si>
  <si>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</si>
  <si>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</si>
  <si>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</si>
  <si>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</si>
  <si>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</si>
  <si>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</si>
  <si>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</si>
  <si>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</si>
  <si>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</si>
  <si>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</si>
  <si>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</si>
  <si>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</si>
  <si>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</si>
  <si>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</si>
  <si>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</si>
  <si>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</si>
  <si>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</si>
  <si>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</si>
  <si>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</si>
  <si>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</si>
  <si>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</si>
  <si>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</si>
  <si>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</si>
  <si>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</si>
  <si>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</si>
  <si>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</si>
  <si>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</si>
  <si>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</si>
  <si>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</si>
  <si>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</si>
  <si>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</si>
  <si>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</si>
  <si>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</si>
  <si>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</si>
  <si>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</si>
  <si>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</si>
  <si>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</si>
  <si>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</si>
  <si>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</si>
  <si>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</si>
  <si>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</si>
  <si>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</si>
  <si>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</si>
  <si>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</si>
  <si>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</si>
  <si>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</si>
  <si>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</si>
  <si>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</si>
  <si>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</si>
  <si>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</si>
  <si>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</si>
  <si>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</si>
  <si>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</si>
  <si>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</si>
  <si>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</si>
  <si>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</si>
  <si>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</si>
  <si>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</si>
  <si>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</si>
  <si>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</si>
  <si>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</si>
  <si>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</si>
  <si>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</si>
  <si>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</si>
  <si>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</si>
  <si>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</si>
  <si>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</si>
  <si>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</si>
  <si>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</si>
  <si>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</si>
  <si>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</si>
  <si>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</si>
  <si>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</si>
  <si>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</si>
  <si>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</si>
  <si>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</si>
  <si>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</si>
  <si>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</si>
  <si>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</si>
  <si>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</si>
  <si>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</si>
  <si>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</si>
  <si>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</si>
  <si>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</si>
  <si>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</si>
  <si>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</si>
  <si>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</si>
  <si>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</si>
  <si>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</si>
  <si>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</si>
  <si>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</si>
  <si>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</si>
  <si>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</si>
  <si>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</si>
  <si>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</si>
  <si>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</si>
  <si>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</si>
  <si>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</si>
  <si>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</si>
  <si>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</si>
  <si>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</si>
  <si>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</si>
  <si>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</si>
  <si>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</si>
  <si>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</si>
  <si>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</si>
  <si>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</si>
  <si>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</si>
  <si>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</si>
  <si>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</si>
  <si>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</si>
  <si>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</si>
  <si>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</si>
  <si>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</si>
  <si>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</si>
  <si>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</si>
  <si>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</si>
  <si>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</si>
  <si>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</si>
  <si>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</si>
  <si>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</si>
  <si>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</si>
  <si>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</si>
  <si>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</si>
  <si>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</si>
  <si>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</si>
  <si>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</si>
  <si>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</si>
  <si>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</si>
  <si>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</si>
  <si>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</si>
  <si>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</si>
  <si>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</si>
  <si>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</si>
  <si>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</si>
  <si>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</si>
  <si>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</si>
  <si>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</si>
  <si>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</si>
  <si>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</si>
  <si>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</si>
  <si>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</si>
  <si>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</si>
  <si>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</si>
  <si>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</si>
  <si>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</si>
  <si>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</si>
  <si>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</si>
  <si>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</si>
  <si>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</si>
  <si>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</si>
  <si>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</si>
  <si>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</si>
  <si>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</si>
  <si>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</si>
  <si>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</si>
  <si>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</si>
  <si>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</si>
  <si>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</si>
  <si>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</si>
  <si>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</si>
  <si>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</si>
  <si>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</si>
  <si>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</si>
  <si>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</si>
  <si>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</si>
  <si>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</si>
  <si>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</si>
  <si>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</si>
  <si>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</si>
  <si>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</si>
  <si>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</si>
  <si>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</si>
  <si>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</si>
  <si>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</si>
  <si>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</si>
  <si>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</si>
  <si>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</si>
  <si>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</si>
  <si>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</si>
  <si>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</si>
  <si>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</si>
  <si>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</si>
  <si>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</si>
  <si>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</si>
  <si>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</si>
  <si>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</si>
  <si>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</si>
  <si>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</si>
  <si>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</si>
  <si>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</si>
  <si>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</si>
  <si>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</si>
  <si>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</si>
  <si>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</si>
  <si>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</si>
  <si>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</si>
  <si>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</si>
  <si>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</si>
  <si>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</si>
  <si>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</si>
  <si>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</si>
  <si>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</si>
  <si>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</si>
  <si>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</si>
  <si>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</si>
  <si>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</si>
  <si>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</si>
  <si>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</si>
  <si>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</si>
  <si>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</si>
  <si>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</si>
  <si>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</si>
  <si>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</si>
  <si>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</si>
  <si>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</si>
  <si>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</si>
  <si>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</si>
  <si>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</si>
  <si>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</si>
  <si>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</si>
  <si>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</si>
  <si>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</si>
  <si>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</si>
  <si>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</si>
  <si>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</si>
  <si>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</si>
  <si>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</si>
  <si>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</si>
  <si>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</si>
  <si>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</si>
  <si>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</si>
  <si>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</si>
  <si>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</si>
  <si>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</si>
  <si>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</si>
  <si>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</si>
  <si>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</si>
  <si>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</si>
  <si>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</si>
  <si>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</si>
  <si>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</si>
  <si>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</si>
  <si>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</si>
  <si>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</si>
  <si>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</si>
  <si>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</si>
  <si>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</si>
  <si>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</si>
  <si>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</si>
  <si>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</si>
  <si>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</si>
  <si>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</si>
  <si>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</si>
  <si>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</si>
  <si>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</si>
  <si>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</si>
  <si>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</si>
  <si>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</si>
  <si>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</si>
  <si>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</si>
  <si>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</si>
  <si>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</si>
  <si>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</si>
  <si>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Unemployment Insurance Add Factor</t>
  </si>
  <si>
    <t>2024 Q2 Second revision (September)</t>
  </si>
  <si>
    <t>Federal Purchases Add Factor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</si>
  <si>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</si>
  <si>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</si>
  <si>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</si>
  <si>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</si>
  <si>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</si>
  <si>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</si>
  <si>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</si>
  <si>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</si>
  <si>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</si>
  <si>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</si>
  <si>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</si>
  <si>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</si>
  <si>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</si>
  <si>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</si>
  <si>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</si>
  <si>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</si>
  <si>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</si>
  <si>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</si>
  <si>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</si>
  <si>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</si>
  <si>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</si>
  <si>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</si>
  <si>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</si>
  <si>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</si>
  <si>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</si>
  <si>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</si>
  <si>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</si>
  <si>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</si>
  <si>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</si>
  <si>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</si>
  <si>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</si>
  <si>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</si>
  <si>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</si>
  <si>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</si>
  <si>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</si>
  <si>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</si>
  <si>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</si>
  <si>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</si>
  <si>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</si>
  <si>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</si>
  <si>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</si>
  <si>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</si>
  <si>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</si>
  <si>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</si>
  <si>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</si>
  <si>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</si>
  <si>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</si>
  <si>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</si>
  <si>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</si>
  <si>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</si>
  <si>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</si>
  <si>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</si>
  <si>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</si>
  <si>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</si>
  <si>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</si>
  <si>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</si>
  <si>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</si>
  <si>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</si>
  <si>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</si>
  <si>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</si>
  <si>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</si>
  <si>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</si>
  <si>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</si>
  <si>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</si>
  <si>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</si>
  <si>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</si>
  <si>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</si>
  <si>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</si>
  <si>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</si>
  <si>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</si>
  <si>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</si>
  <si>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</si>
  <si>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</si>
  <si>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</si>
  <si>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</si>
  <si>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</si>
  <si>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</si>
  <si>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</si>
  <si>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</si>
  <si>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</si>
  <si>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</si>
  <si>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</si>
  <si>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</si>
  <si>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</si>
  <si>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</si>
  <si>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</si>
  <si>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</si>
  <si>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</si>
  <si>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</si>
  <si>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</si>
  <si>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</si>
  <si>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</si>
  <si>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</si>
  <si>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</si>
  <si>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</si>
  <si>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</si>
  <si>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</si>
  <si>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</si>
  <si>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</si>
  <si>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</si>
  <si>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</si>
  <si>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</si>
  <si>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</si>
  <si>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</si>
  <si>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</si>
  <si>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</si>
  <si>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</si>
  <si>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</si>
  <si>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</si>
  <si>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</si>
  <si>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</si>
  <si>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</si>
  <si>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</si>
  <si>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</si>
  <si>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</si>
  <si>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</si>
  <si>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</si>
  <si>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</si>
  <si>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</si>
  <si>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</si>
  <si>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</si>
  <si>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</si>
  <si>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</si>
  <si>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</si>
  <si>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</si>
  <si>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</si>
  <si>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</si>
  <si>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</si>
  <si>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</si>
  <si>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</si>
  <si>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</si>
  <si>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</si>
  <si>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</si>
  <si>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</si>
  <si>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</si>
  <si>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</si>
  <si>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</si>
  <si>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</si>
  <si>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</si>
  <si>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</si>
  <si>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</si>
  <si>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</si>
  <si>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</si>
  <si>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</si>
  <si>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</si>
  <si>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</si>
  <si>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</si>
  <si>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</si>
  <si>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</si>
  <si>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</si>
  <si>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</si>
  <si>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</si>
  <si>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</si>
  <si>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</si>
  <si>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</si>
  <si>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</si>
  <si>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</si>
  <si>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</si>
  <si>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</si>
  <si>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</si>
  <si>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</si>
  <si>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</si>
  <si>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</si>
  <si>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</si>
  <si>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</si>
  <si>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</si>
  <si>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</si>
  <si>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</si>
  <si>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</si>
  <si>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</si>
  <si>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</si>
  <si>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</si>
  <si>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</si>
  <si>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</si>
  <si>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</si>
  <si>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</si>
  <si>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</si>
  <si>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</si>
  <si>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</si>
  <si>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</si>
  <si>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</si>
  <si>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</si>
  <si>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</si>
  <si>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</si>
  <si>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</si>
  <si>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</si>
  <si>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</si>
  <si>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</si>
  <si>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</si>
  <si>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</si>
  <si>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</si>
  <si>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</si>
  <si>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</si>
  <si>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</si>
  <si>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</si>
  <si>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</si>
  <si>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</si>
  <si>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</si>
  <si>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</si>
  <si>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</si>
  <si>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</si>
  <si>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</si>
  <si>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</si>
  <si>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</si>
  <si>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</si>
  <si>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</si>
  <si>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</si>
  <si>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</si>
  <si>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</si>
  <si>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</si>
  <si>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</si>
  <si>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</si>
  <si>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</si>
  <si>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</si>
  <si>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</si>
  <si>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</si>
  <si>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</si>
  <si>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</si>
  <si>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</si>
  <si>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</si>
  <si>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</si>
  <si>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</si>
  <si>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</si>
  <si>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</si>
  <si>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</si>
  <si>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</si>
  <si>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</si>
  <si>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</si>
  <si>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</si>
  <si>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</si>
  <si>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</si>
  <si>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</si>
  <si>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</si>
  <si>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</si>
  <si>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</si>
  <si>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</si>
  <si>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</si>
  <si>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</si>
  <si>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</si>
  <si>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</si>
  <si>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</si>
  <si>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</si>
  <si>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</si>
  <si>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</si>
  <si>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</si>
  <si>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</si>
  <si>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</si>
  <si>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</si>
  <si>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</si>
  <si>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</si>
  <si>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</si>
  <si>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</si>
  <si>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</si>
  <si>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</si>
  <si>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</si>
  <si>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</si>
  <si>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</si>
  <si>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</si>
  <si>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</si>
  <si>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</si>
  <si>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</si>
  <si>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</si>
  <si>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</si>
  <si>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</si>
  <si>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</si>
  <si>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</si>
  <si>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</si>
  <si>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</si>
  <si>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</si>
  <si>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</si>
  <si>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</si>
  <si>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</si>
  <si>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</si>
  <si>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</si>
  <si>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</si>
  <si>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</si>
  <si>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</si>
  <si>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</si>
  <si>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</si>
  <si>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</si>
  <si>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</si>
  <si>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</si>
  <si>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</si>
  <si>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</si>
  <si>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</si>
  <si>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</si>
  <si>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</si>
  <si>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</si>
  <si>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</si>
  <si>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</si>
  <si>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</si>
  <si>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</si>
  <si>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</si>
  <si>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</si>
  <si>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</si>
  <si>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</si>
  <si>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</si>
  <si>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</si>
  <si>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</si>
  <si>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</si>
  <si>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</si>
  <si>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</si>
  <si>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</si>
  <si>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</si>
  <si>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</si>
  <si>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</si>
  <si>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</si>
  <si>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</si>
  <si>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No</t>
  </si>
  <si>
    <t>April r</t>
  </si>
  <si>
    <t>May r</t>
  </si>
  <si>
    <t>June r</t>
  </si>
  <si>
    <t>July r</t>
  </si>
  <si>
    <t>Aug. r</t>
  </si>
  <si>
    <t>Sept. r</t>
  </si>
  <si>
    <t>Oct. p</t>
  </si>
  <si>
    <t>2024 Q3 First revision (November)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</si>
</sst>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8" x14ac:knownFonts="1">
    <font>
      <sz val="11"/>
      <color theme="1"/>
      <name val="Calibri"/>
      <family val="2"/>
      <scheme val="minor"/>
    </font>
    <font>
      <sz val="11"/>
      <color theme="1"/>
      <name val="Calibri"/>
      <family val="2"/>
    </font>
    <font>
      <i/>
      <sz val="11"/>
      <color theme="1"/>
      <name val="Calibri"/>
      <family val="2"/>
    </font>
    <font>
      <sz val="11"/>
      <color theme="1"/>
      <name val="Arial"/>
      <family val="2"/>
    </font>
    <font>
      <b/>
      <sz val="11"/>
      <color theme="1"/>
      <name val="Calibri"/>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u/>
      <sz val="11"/>
      <color theme="10"/>
      <name val="Calibri"/>
      <family val="2"/>
      <scheme val="minor"/>
    </font>
    <font>
      <b/>
      <sz val="16"/>
      <color theme="1"/>
      <name val="Calibri"/>
      <family val="2"/>
    </font>
    <font>
      <b/>
      <sz val="11"/>
      <color rgb="FF4F4F4F"/>
      <name val="Segoe UI"/>
      <family val="2"/>
    </font>
    <font>
      <u/>
      <sz val="11"/>
      <color theme="10"/>
      <name val="Calibri"/>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8"/>
      <name val="Calibri"/>
      <family val="2"/>
      <scheme val="minor"/>
    </font>
    <font>
      <b/>
      <sz val="8"/>
      <color rgb="FF4F4F4F"/>
      <name val="Segoe UI"/>
      <family val="2"/>
    </font>
    <font>
      <sz val="10"/>
      <name val="Arial"/>
      <family val="2"/>
    </font>
  </fonts>
  <fills count="44">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FF00"/>
        <bgColor indexed="64"/>
      </patternFill>
    </fill>
    <fill>
      <patternFill patternType="solid">
        <fgColor rgb="FFFFFFFF"/>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style="hair">
        <color auto="1"/>
      </left>
      <right style="hair">
        <color auto="1"/>
      </right>
      <top style="hair">
        <color auto="1"/>
      </top>
      <bottom style="hair">
        <color auto="1"/>
      </bottom>
      <diagonal/>
    </border>
    <border>
      <left/>
      <right/>
      <top style="hair">
        <color indexed="64"/>
      </top>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style="thin">
        <color indexed="64"/>
      </right>
      <top style="thin">
        <color auto="1"/>
      </top>
      <bottom style="thin">
        <color indexed="64"/>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2">
    <xf numFmtId="0" fontId="0" fillId="0" borderId="0"/>
    <xf numFmtId="0" fontId="67" fillId="0" borderId="0"/>
  </cellStyleXfs>
  <cellXfs count="1437">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xf>
    <xf numFmtId="0" fontId="2" fillId="2" borderId="1" xfId="0" applyFont="1" applyFill="1" applyBorder="1" applyAlignment="1">
      <alignment vertical="top"/>
    </xf>
    <xf numFmtId="0" fontId="3"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4" fillId="2" borderId="4" xfId="0" applyFont="1" applyFill="1" applyBorder="1" applyAlignment="1">
      <alignment vertical="top"/>
    </xf>
    <xf numFmtId="0" fontId="4" fillId="2" borderId="1" xfId="0" applyFont="1" applyFill="1" applyBorder="1" applyAlignment="1">
      <alignment vertical="top"/>
    </xf>
    <xf numFmtId="0" fontId="1" fillId="2" borderId="8" xfId="0" applyFont="1" applyFill="1" applyBorder="1" applyAlignment="1">
      <alignment vertical="top"/>
    </xf>
    <xf numFmtId="0" fontId="1" fillId="2" borderId="3"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8"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4"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8" xfId="0" applyFont="1" applyBorder="1"/>
    <xf numFmtId="3" fontId="3" fillId="0" borderId="0" xfId="0" applyNumberFormat="1" applyFont="1" applyAlignment="1">
      <alignment horizontal="center" vertical="top" wrapText="1"/>
    </xf>
    <xf numFmtId="3" fontId="3" fillId="0" borderId="0" xfId="0" applyNumberFormat="1" applyFont="1" applyAlignment="1">
      <alignment horizontal="center" wrapText="1"/>
    </xf>
    <xf numFmtId="164" fontId="1" fillId="0" borderId="0" xfId="0" applyNumberFormat="1" applyFont="1" applyAlignment="1">
      <alignment horizontal="left"/>
    </xf>
    <xf numFmtId="165" fontId="3"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4"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3"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4" xfId="0" applyFont="1" applyBorder="1" applyAlignment="1">
      <alignment wrapText="1"/>
    </xf>
    <xf numFmtId="0" fontId="1" fillId="0" borderId="5" xfId="0" applyFont="1" applyBorder="1" applyAlignment="1">
      <alignment wrapText="1"/>
    </xf>
    <xf numFmtId="0" fontId="1" fillId="0" borderId="8" xfId="0" applyFont="1" applyBorder="1" applyAlignment="1">
      <alignment vertical="center" wrapText="1"/>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4" fillId="6" borderId="11" xfId="0" applyFont="1" applyFill="1" applyBorder="1" applyAlignment="1">
      <alignment horizontal="center" wrapText="1"/>
    </xf>
    <xf numFmtId="0" fontId="1" fillId="0" borderId="1" xfId="0" applyFont="1" applyBorder="1"/>
    <xf numFmtId="0" fontId="2" fillId="0" borderId="0" xfId="0" applyFont="1" applyAlignment="1">
      <alignment vertical="center" wrapText="1"/>
    </xf>
    <xf numFmtId="0" fontId="4" fillId="0" borderId="0" xfId="0" applyFont="1" applyAlignment="1">
      <alignment horizontal="center"/>
    </xf>
    <xf numFmtId="0" fontId="1" fillId="7" borderId="0" xfId="0" applyFont="1" applyFill="1"/>
    <xf numFmtId="3" fontId="1" fillId="7" borderId="0" xfId="0" applyNumberFormat="1" applyFont="1" applyFill="1"/>
    <xf numFmtId="1" fontId="1" fillId="7" borderId="0" xfId="0" applyNumberFormat="1" applyFont="1" applyFill="1"/>
    <xf numFmtId="3" fontId="1" fillId="0" borderId="0" xfId="0" applyNumberFormat="1" applyFont="1"/>
    <xf numFmtId="1" fontId="1" fillId="0" borderId="0" xfId="0" applyNumberFormat="1" applyFont="1"/>
    <xf numFmtId="0" fontId="4" fillId="0" borderId="0" xfId="0" applyFont="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4" fillId="8" borderId="0" xfId="0" applyFont="1" applyFill="1" applyAlignment="1">
      <alignment horizontal="center"/>
    </xf>
    <xf numFmtId="165" fontId="4" fillId="9" borderId="0" xfId="0" applyNumberFormat="1" applyFont="1" applyFill="1" applyAlignment="1">
      <alignment horizontal="right"/>
    </xf>
    <xf numFmtId="0" fontId="4" fillId="10" borderId="0" xfId="0" applyFont="1" applyFill="1" applyAlignment="1">
      <alignment horizontal="center"/>
    </xf>
    <xf numFmtId="165" fontId="1" fillId="9" borderId="0" xfId="0" applyNumberFormat="1" applyFont="1" applyFill="1" applyAlignment="1">
      <alignment horizontal="right"/>
    </xf>
    <xf numFmtId="3" fontId="1" fillId="9" borderId="0" xfId="0" applyNumberFormat="1" applyFont="1" applyFill="1" applyAlignment="1">
      <alignment horizontal="right"/>
    </xf>
    <xf numFmtId="3" fontId="1" fillId="9" borderId="15" xfId="0" applyNumberFormat="1" applyFont="1" applyFill="1" applyBorder="1" applyAlignment="1">
      <alignment horizontal="right"/>
    </xf>
    <xf numFmtId="0" fontId="13" fillId="0" borderId="0" xfId="0" applyFont="1" applyAlignment="1">
      <alignment wrapText="1"/>
    </xf>
    <xf numFmtId="0" fontId="4" fillId="0" borderId="0" xfId="0" applyFont="1" applyAlignment="1">
      <alignment horizontal="left" wrapText="1" indent="1"/>
    </xf>
    <xf numFmtId="168" fontId="1" fillId="10" borderId="0" xfId="0" applyNumberFormat="1" applyFont="1" applyFill="1" applyAlignment="1">
      <alignment horizontal="center"/>
    </xf>
    <xf numFmtId="165" fontId="4" fillId="11" borderId="16" xfId="0" applyNumberFormat="1" applyFont="1" applyFill="1" applyBorder="1" applyAlignment="1">
      <alignment horizontal="right"/>
    </xf>
    <xf numFmtId="165" fontId="4" fillId="11" borderId="17" xfId="0" applyNumberFormat="1" applyFont="1" applyFill="1" applyBorder="1" applyAlignment="1">
      <alignment horizontal="right"/>
    </xf>
    <xf numFmtId="165" fontId="1" fillId="11" borderId="17" xfId="0" applyNumberFormat="1" applyFont="1" applyFill="1" applyBorder="1" applyAlignment="1">
      <alignment horizontal="right"/>
    </xf>
    <xf numFmtId="1" fontId="1" fillId="10" borderId="0" xfId="0" applyNumberFormat="1" applyFont="1" applyFill="1" applyAlignment="1">
      <alignment horizontal="center"/>
    </xf>
    <xf numFmtId="3" fontId="1" fillId="11" borderId="17" xfId="0" applyNumberFormat="1" applyFont="1" applyFill="1" applyBorder="1" applyAlignment="1">
      <alignment horizontal="right"/>
    </xf>
    <xf numFmtId="3" fontId="1" fillId="11" borderId="18" xfId="0" applyNumberFormat="1" applyFont="1" applyFill="1" applyBorder="1" applyAlignment="1">
      <alignment horizontal="right"/>
    </xf>
    <xf numFmtId="10" fontId="1" fillId="12" borderId="0" xfId="0" applyNumberFormat="1" applyFont="1" applyFill="1"/>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1" fillId="0" borderId="0" xfId="0" applyFont="1" applyAlignment="1">
      <alignment horizontal="left" wrapText="1" indent="3"/>
    </xf>
    <xf numFmtId="168" fontId="1" fillId="0" borderId="0" xfId="0" applyNumberFormat="1" applyFont="1" applyAlignment="1">
      <alignment horizontal="left" wrapText="1" indent="1"/>
    </xf>
    <xf numFmtId="168" fontId="1" fillId="11" borderId="19" xfId="0" applyNumberFormat="1" applyFont="1" applyFill="1" applyBorder="1" applyAlignment="1">
      <alignment horizontal="center"/>
    </xf>
    <xf numFmtId="165" fontId="4" fillId="11" borderId="20" xfId="0" applyNumberFormat="1" applyFont="1" applyFill="1" applyBorder="1" applyAlignment="1">
      <alignment horizontal="right"/>
    </xf>
    <xf numFmtId="0" fontId="1" fillId="0" borderId="0" xfId="0" applyFont="1" applyAlignment="1">
      <alignment horizontal="left" indent="1"/>
    </xf>
    <xf numFmtId="165" fontId="4" fillId="11" borderId="0" xfId="0" applyNumberFormat="1" applyFont="1" applyFill="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5" xfId="0" applyNumberFormat="1" applyFont="1" applyFill="1" applyBorder="1" applyAlignment="1">
      <alignment horizontal="right"/>
    </xf>
    <xf numFmtId="168" fontId="1" fillId="10" borderId="19" xfId="0" applyNumberFormat="1" applyFont="1" applyFill="1" applyBorder="1" applyAlignment="1">
      <alignment horizontal="center"/>
    </xf>
    <xf numFmtId="165" fontId="4" fillId="10" borderId="20" xfId="0" applyNumberFormat="1" applyFont="1" applyFill="1" applyBorder="1" applyAlignment="1">
      <alignment horizontal="right"/>
    </xf>
    <xf numFmtId="165" fontId="4"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5" xfId="0" applyNumberFormat="1" applyFont="1" applyFill="1" applyBorder="1" applyAlignment="1">
      <alignment horizontal="right"/>
    </xf>
    <xf numFmtId="168" fontId="1" fillId="9" borderId="19" xfId="0" applyNumberFormat="1" applyFont="1" applyFill="1" applyBorder="1" applyAlignment="1">
      <alignment horizontal="center"/>
    </xf>
    <xf numFmtId="165" fontId="4" fillId="9" borderId="21" xfId="0" applyNumberFormat="1" applyFont="1" applyFill="1" applyBorder="1" applyAlignment="1">
      <alignment horizontal="right"/>
    </xf>
    <xf numFmtId="165" fontId="4" fillId="9" borderId="22" xfId="0" applyNumberFormat="1" applyFont="1" applyFill="1" applyBorder="1" applyAlignment="1">
      <alignment horizontal="right"/>
    </xf>
    <xf numFmtId="165" fontId="1" fillId="9" borderId="22" xfId="0" applyNumberFormat="1" applyFont="1" applyFill="1" applyBorder="1" applyAlignment="1">
      <alignment horizontal="right"/>
    </xf>
    <xf numFmtId="3" fontId="1" fillId="9" borderId="22" xfId="0" applyNumberFormat="1" applyFont="1" applyFill="1" applyBorder="1" applyAlignment="1">
      <alignment horizontal="right"/>
    </xf>
    <xf numFmtId="3" fontId="1" fillId="9" borderId="23" xfId="0" applyNumberFormat="1" applyFont="1" applyFill="1" applyBorder="1" applyAlignment="1">
      <alignment horizontal="right"/>
    </xf>
    <xf numFmtId="0" fontId="15" fillId="13" borderId="0" xfId="0" applyFont="1" applyFill="1" applyAlignment="1">
      <alignment horizontal="right" vertical="center"/>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2" fillId="10" borderId="24" xfId="0" applyNumberFormat="1" applyFont="1" applyFill="1" applyBorder="1" applyAlignment="1">
      <alignment horizontal="left" wrapText="1"/>
    </xf>
    <xf numFmtId="168" fontId="1" fillId="0" borderId="27" xfId="0" applyNumberFormat="1" applyFont="1" applyBorder="1" applyAlignment="1">
      <alignment horizontal="center"/>
    </xf>
    <xf numFmtId="1" fontId="1" fillId="0" borderId="21" xfId="0" applyNumberFormat="1" applyFont="1" applyBorder="1" applyAlignment="1">
      <alignment horizontal="center"/>
    </xf>
    <xf numFmtId="1" fontId="1" fillId="0" borderId="22" xfId="0" applyNumberFormat="1" applyFont="1" applyBorder="1" applyAlignment="1">
      <alignment horizontal="center"/>
    </xf>
    <xf numFmtId="1" fontId="1" fillId="0" borderId="22" xfId="0" applyNumberFormat="1" applyFont="1" applyBorder="1" applyAlignment="1">
      <alignment horizontal="center" vertical="top"/>
    </xf>
    <xf numFmtId="1" fontId="1" fillId="0" borderId="23" xfId="0" applyNumberFormat="1" applyFont="1" applyBorder="1" applyAlignment="1">
      <alignment horizontal="center"/>
    </xf>
    <xf numFmtId="2" fontId="1" fillId="0" borderId="0" xfId="0" applyNumberFormat="1" applyFont="1"/>
    <xf numFmtId="168" fontId="1" fillId="0" borderId="0" xfId="0" applyNumberFormat="1" applyFont="1" applyAlignment="1">
      <alignment horizontal="center"/>
    </xf>
    <xf numFmtId="17" fontId="12" fillId="3" borderId="24"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9" xfId="0" applyNumberFormat="1" applyFont="1" applyBorder="1" applyAlignment="1">
      <alignment horizontal="center"/>
    </xf>
    <xf numFmtId="165" fontId="4" fillId="0" borderId="16" xfId="0" applyNumberFormat="1" applyFont="1" applyBorder="1" applyAlignment="1">
      <alignment horizontal="right"/>
    </xf>
    <xf numFmtId="165" fontId="4" fillId="0" borderId="20" xfId="0" applyNumberFormat="1" applyFont="1" applyBorder="1" applyAlignment="1">
      <alignment horizontal="right"/>
    </xf>
    <xf numFmtId="165" fontId="4" fillId="0" borderId="17" xfId="0" applyNumberFormat="1" applyFont="1" applyBorder="1" applyAlignment="1">
      <alignment horizontal="right"/>
    </xf>
    <xf numFmtId="165" fontId="4" fillId="0" borderId="0" xfId="0" applyNumberFormat="1" applyFont="1" applyAlignment="1">
      <alignment horizontal="right"/>
    </xf>
    <xf numFmtId="165" fontId="1" fillId="0" borderId="17" xfId="0" applyNumberFormat="1" applyFont="1" applyBorder="1" applyAlignment="1">
      <alignment horizontal="right"/>
    </xf>
    <xf numFmtId="165" fontId="1" fillId="0" borderId="0" xfId="0" applyNumberFormat="1" applyFont="1" applyAlignment="1">
      <alignment horizontal="right"/>
    </xf>
    <xf numFmtId="3" fontId="1" fillId="0" borderId="17" xfId="0" applyNumberFormat="1" applyFont="1" applyBorder="1" applyAlignment="1">
      <alignment horizontal="right"/>
    </xf>
    <xf numFmtId="3" fontId="1" fillId="0" borderId="0" xfId="0" applyNumberFormat="1" applyFont="1" applyAlignment="1">
      <alignment horizontal="right"/>
    </xf>
    <xf numFmtId="3" fontId="1" fillId="0" borderId="18" xfId="0" applyNumberFormat="1" applyFont="1" applyBorder="1" applyAlignment="1">
      <alignment horizontal="right"/>
    </xf>
    <xf numFmtId="3" fontId="1" fillId="0" borderId="15" xfId="0" applyNumberFormat="1" applyFont="1" applyBorder="1" applyAlignment="1">
      <alignment horizontal="right"/>
    </xf>
    <xf numFmtId="1" fontId="1" fillId="12" borderId="22" xfId="0" applyNumberFormat="1" applyFont="1" applyFill="1" applyBorder="1" applyAlignment="1">
      <alignment horizontal="center"/>
    </xf>
    <xf numFmtId="0" fontId="13" fillId="0" borderId="0" xfId="0" applyFont="1"/>
    <xf numFmtId="0" fontId="1" fillId="12" borderId="0" xfId="0" applyFont="1" applyFill="1" applyAlignment="1">
      <alignment horizontal="left" indent="3"/>
    </xf>
    <xf numFmtId="165" fontId="1" fillId="12" borderId="17" xfId="0" applyNumberFormat="1" applyFont="1" applyFill="1" applyBorder="1" applyAlignment="1">
      <alignment horizontal="right"/>
    </xf>
    <xf numFmtId="165" fontId="1" fillId="12" borderId="0" xfId="0" applyNumberFormat="1" applyFont="1" applyFill="1" applyAlignment="1">
      <alignment horizontal="right"/>
    </xf>
    <xf numFmtId="2" fontId="1" fillId="12" borderId="3" xfId="0" applyNumberFormat="1" applyFont="1" applyFill="1" applyBorder="1"/>
    <xf numFmtId="165" fontId="4" fillId="9" borderId="16" xfId="0" applyNumberFormat="1" applyFont="1" applyFill="1" applyBorder="1" applyAlignment="1">
      <alignment horizontal="right"/>
    </xf>
    <xf numFmtId="2" fontId="1" fillId="12" borderId="32" xfId="0" applyNumberFormat="1" applyFont="1" applyFill="1" applyBorder="1"/>
    <xf numFmtId="165" fontId="4" fillId="9" borderId="17" xfId="0" applyNumberFormat="1" applyFont="1" applyFill="1" applyBorder="1" applyAlignment="1">
      <alignment horizontal="right"/>
    </xf>
    <xf numFmtId="165" fontId="1" fillId="9" borderId="17" xfId="0" applyNumberFormat="1" applyFont="1" applyFill="1" applyBorder="1" applyAlignment="1">
      <alignment horizontal="right"/>
    </xf>
    <xf numFmtId="3" fontId="1" fillId="9" borderId="17" xfId="0" applyNumberFormat="1" applyFont="1" applyFill="1" applyBorder="1" applyAlignment="1">
      <alignment horizontal="right"/>
    </xf>
    <xf numFmtId="3" fontId="1" fillId="9" borderId="18" xfId="0" applyNumberFormat="1" applyFont="1" applyFill="1" applyBorder="1" applyAlignment="1">
      <alignment horizontal="right"/>
    </xf>
    <xf numFmtId="0" fontId="4" fillId="12" borderId="0" xfId="0" applyFont="1" applyFill="1" applyAlignment="1">
      <alignment horizontal="left" wrapText="1" indent="1"/>
    </xf>
    <xf numFmtId="165" fontId="4" fillId="12" borderId="17" xfId="0" applyNumberFormat="1" applyFont="1" applyFill="1" applyBorder="1" applyAlignment="1">
      <alignment horizontal="right"/>
    </xf>
    <xf numFmtId="165" fontId="4" fillId="12" borderId="0" xfId="0" applyNumberFormat="1" applyFont="1" applyFill="1" applyAlignment="1">
      <alignment horizontal="right"/>
    </xf>
    <xf numFmtId="0" fontId="4" fillId="12" borderId="0" xfId="0" applyFont="1" applyFill="1" applyAlignment="1">
      <alignment horizontal="left"/>
    </xf>
    <xf numFmtId="0" fontId="1" fillId="0" borderId="0" xfId="0" applyFont="1" applyAlignment="1">
      <alignment horizontal="left" vertical="center" indent="2"/>
    </xf>
    <xf numFmtId="0" fontId="4" fillId="0" borderId="0" xfId="0" applyFont="1" applyAlignment="1">
      <alignment horizontal="left" indent="1"/>
    </xf>
    <xf numFmtId="0" fontId="4"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4" fillId="9" borderId="0" xfId="0" applyNumberFormat="1" applyFont="1" applyFill="1" applyAlignment="1">
      <alignment horizontal="center"/>
    </xf>
    <xf numFmtId="0" fontId="4" fillId="9" borderId="0" xfId="0" applyFont="1" applyFill="1"/>
    <xf numFmtId="0" fontId="1" fillId="0" borderId="0" xfId="0" applyFont="1" applyAlignment="1">
      <alignment horizontal="left" indent="3"/>
    </xf>
    <xf numFmtId="0" fontId="4"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24" xfId="0" applyNumberFormat="1" applyFont="1" applyFill="1" applyBorder="1" applyAlignment="1">
      <alignment horizontal="left" wrapText="1"/>
    </xf>
    <xf numFmtId="0" fontId="1" fillId="0" borderId="0" xfId="0" applyFont="1" applyAlignment="1">
      <alignment horizontal="left" indent="5"/>
    </xf>
    <xf numFmtId="168" fontId="14" fillId="11" borderId="0" xfId="0" applyNumberFormat="1" applyFont="1" applyFill="1" applyAlignment="1">
      <alignment horizontal="center"/>
    </xf>
    <xf numFmtId="0" fontId="4" fillId="11" borderId="0" xfId="0" applyFont="1" applyFill="1"/>
    <xf numFmtId="0" fontId="4"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0" fontId="1" fillId="0" borderId="0" xfId="0" applyFont="1" applyAlignment="1">
      <alignment horizontal="left" wrapText="1" indent="5"/>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24" xfId="0" applyNumberFormat="1" applyFont="1" applyFill="1" applyBorder="1" applyAlignment="1">
      <alignment horizontal="left" wrapText="1"/>
    </xf>
    <xf numFmtId="168" fontId="14" fillId="10" borderId="0" xfId="0" applyNumberFormat="1" applyFont="1" applyFill="1" applyAlignment="1">
      <alignment horizontal="center"/>
    </xf>
    <xf numFmtId="0" fontId="4" fillId="10" borderId="0" xfId="0" applyFont="1" applyFill="1"/>
    <xf numFmtId="165" fontId="4" fillId="9" borderId="20" xfId="0" applyNumberFormat="1" applyFont="1" applyFill="1" applyBorder="1" applyAlignment="1">
      <alignment horizontal="right"/>
    </xf>
    <xf numFmtId="0" fontId="17" fillId="8" borderId="0" xfId="0" applyFont="1" applyFill="1" applyAlignment="1">
      <alignment horizontal="center"/>
    </xf>
    <xf numFmtId="167" fontId="1" fillId="7"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3" fillId="8" borderId="33" xfId="0" applyFont="1" applyFill="1" applyBorder="1" applyAlignment="1">
      <alignment horizontal="center"/>
    </xf>
    <xf numFmtId="0" fontId="3" fillId="8" borderId="6"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7" borderId="1" xfId="0" applyFont="1" applyFill="1" applyBorder="1" applyAlignment="1">
      <alignment horizontal="center"/>
    </xf>
    <xf numFmtId="0" fontId="3" fillId="7" borderId="0" xfId="0" applyFont="1" applyFill="1" applyAlignment="1">
      <alignment horizontal="center"/>
    </xf>
    <xf numFmtId="0" fontId="3" fillId="7" borderId="3" xfId="0" applyFont="1" applyFill="1" applyBorder="1" applyAlignment="1">
      <alignment horizontal="center"/>
    </xf>
    <xf numFmtId="0" fontId="3" fillId="7" borderId="4" xfId="0" applyFont="1" applyFill="1" applyBorder="1" applyAlignment="1">
      <alignment horizontal="center"/>
    </xf>
    <xf numFmtId="0" fontId="3" fillId="7" borderId="5" xfId="0" applyFont="1" applyFill="1" applyBorder="1" applyAlignment="1">
      <alignment horizontal="center"/>
    </xf>
    <xf numFmtId="0" fontId="3" fillId="7" borderId="6" xfId="0" applyFont="1" applyFill="1" applyBorder="1" applyAlignment="1">
      <alignment horizontal="center"/>
    </xf>
    <xf numFmtId="0" fontId="12" fillId="8" borderId="6"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left"/>
    </xf>
    <xf numFmtId="165" fontId="3" fillId="8" borderId="0" xfId="0" applyNumberFormat="1" applyFont="1" applyFill="1" applyAlignment="1">
      <alignment horizontal="center"/>
    </xf>
    <xf numFmtId="3" fontId="3" fillId="8" borderId="7" xfId="0" applyNumberFormat="1" applyFont="1" applyFill="1" applyBorder="1" applyAlignment="1">
      <alignment horizontal="center"/>
    </xf>
    <xf numFmtId="168" fontId="3" fillId="8" borderId="0" xfId="0" applyNumberFormat="1" applyFont="1" applyFill="1"/>
    <xf numFmtId="168" fontId="3" fillId="0" borderId="0" xfId="0" applyNumberFormat="1" applyFont="1"/>
    <xf numFmtId="0" fontId="1" fillId="0" borderId="3" xfId="0" applyFont="1" applyBorder="1"/>
    <xf numFmtId="0" fontId="1" fillId="0" borderId="2" xfId="0" applyFont="1" applyBorder="1"/>
    <xf numFmtId="165" fontId="3" fillId="0" borderId="0" xfId="0" applyNumberFormat="1" applyFont="1" applyAlignment="1">
      <alignment horizontal="center"/>
    </xf>
    <xf numFmtId="165" fontId="3" fillId="0" borderId="3"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3" fillId="0" borderId="0" xfId="0" applyFont="1" applyAlignment="1">
      <alignment horizontal="center" wrapText="1"/>
    </xf>
    <xf numFmtId="3" fontId="3" fillId="0" borderId="0" xfId="0" applyNumberFormat="1" applyFont="1" applyAlignment="1">
      <alignment horizontal="center"/>
    </xf>
    <xf numFmtId="165" fontId="3" fillId="14" borderId="0" xfId="0" applyNumberFormat="1" applyFont="1" applyFill="1" applyAlignment="1">
      <alignment horizontal="center"/>
    </xf>
    <xf numFmtId="168" fontId="3" fillId="14" borderId="0" xfId="0" applyNumberFormat="1" applyFont="1" applyFill="1"/>
    <xf numFmtId="0" fontId="3" fillId="7" borderId="0" xfId="0" applyFont="1" applyFill="1" applyAlignment="1">
      <alignment horizontal="center" wrapText="1"/>
    </xf>
    <xf numFmtId="165" fontId="20" fillId="8" borderId="0" xfId="0" applyNumberFormat="1" applyFont="1" applyFill="1" applyAlignment="1">
      <alignment horizontal="center"/>
    </xf>
    <xf numFmtId="0" fontId="12" fillId="8" borderId="0" xfId="0" applyFont="1" applyFill="1" applyAlignment="1">
      <alignment horizontal="center"/>
    </xf>
    <xf numFmtId="0" fontId="3" fillId="7" borderId="4" xfId="0" applyFont="1" applyFill="1" applyBorder="1"/>
    <xf numFmtId="0" fontId="3" fillId="0" borderId="0" xfId="0" applyFont="1"/>
    <xf numFmtId="168" fontId="3" fillId="12" borderId="0" xfId="0" applyNumberFormat="1" applyFont="1" applyFill="1"/>
    <xf numFmtId="2" fontId="1" fillId="3" borderId="4" xfId="0" applyNumberFormat="1" applyFont="1" applyFill="1" applyBorder="1"/>
    <xf numFmtId="0" fontId="3" fillId="3" borderId="33" xfId="0" applyFont="1" applyFill="1" applyBorder="1"/>
    <xf numFmtId="0" fontId="3" fillId="3" borderId="33"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 xfId="0" applyFont="1" applyBorder="1" applyAlignment="1">
      <alignment horizontal="left" wrapText="1"/>
    </xf>
    <xf numFmtId="0" fontId="3" fillId="0" borderId="0" xfId="0" applyFont="1" applyAlignment="1">
      <alignment horizontal="left" wrapText="1"/>
    </xf>
    <xf numFmtId="0" fontId="3" fillId="0" borderId="4" xfId="0" applyFont="1" applyBorder="1" applyAlignment="1">
      <alignment horizontal="left"/>
    </xf>
    <xf numFmtId="4" fontId="3" fillId="0" borderId="0" xfId="0" applyNumberFormat="1" applyFont="1" applyAlignment="1">
      <alignment horizontal="center"/>
    </xf>
    <xf numFmtId="0" fontId="3" fillId="0" borderId="4" xfId="0" applyFont="1" applyBorder="1" applyAlignment="1">
      <alignment horizontal="center"/>
    </xf>
    <xf numFmtId="0" fontId="3"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3" fillId="3" borderId="8" xfId="0" applyFont="1" applyFill="1" applyBorder="1"/>
    <xf numFmtId="0" fontId="3" fillId="3" borderId="8" xfId="0" applyFont="1" applyFill="1" applyBorder="1" applyAlignment="1">
      <alignment horizontal="center"/>
    </xf>
    <xf numFmtId="0" fontId="3" fillId="3" borderId="2" xfId="0" applyFont="1" applyFill="1" applyBorder="1" applyAlignment="1">
      <alignment horizontal="center"/>
    </xf>
    <xf numFmtId="0" fontId="3" fillId="8" borderId="6" xfId="0" applyFont="1" applyFill="1" applyBorder="1"/>
    <xf numFmtId="0" fontId="3" fillId="7" borderId="0" xfId="0" applyFont="1" applyFill="1"/>
    <xf numFmtId="165" fontId="20" fillId="0" borderId="1" xfId="0" applyNumberFormat="1" applyFont="1" applyBorder="1" applyAlignment="1">
      <alignment horizontal="center"/>
    </xf>
    <xf numFmtId="0" fontId="20" fillId="0" borderId="0" xfId="0" applyFont="1"/>
    <xf numFmtId="0" fontId="3" fillId="0" borderId="1" xfId="0" applyFont="1" applyBorder="1" applyAlignment="1">
      <alignment horizontal="left" vertical="top"/>
    </xf>
    <xf numFmtId="0" fontId="3" fillId="0" borderId="0" xfId="0" applyFont="1" applyAlignment="1">
      <alignment horizontal="left" indent="1"/>
    </xf>
    <xf numFmtId="3" fontId="3" fillId="0" borderId="0" xfId="0" applyNumberFormat="1" applyFont="1" applyAlignment="1">
      <alignment horizontal="right"/>
    </xf>
    <xf numFmtId="3" fontId="3" fillId="8" borderId="8" xfId="0" applyNumberFormat="1" applyFont="1" applyFill="1" applyBorder="1" applyAlignment="1">
      <alignment horizontal="center"/>
    </xf>
    <xf numFmtId="0" fontId="20" fillId="0" borderId="1" xfId="0" applyFont="1" applyBorder="1" applyAlignment="1">
      <alignment horizontal="left" wrapText="1"/>
    </xf>
    <xf numFmtId="0" fontId="3" fillId="8" borderId="7" xfId="0" applyFont="1" applyFill="1" applyBorder="1" applyAlignment="1">
      <alignment horizontal="center"/>
    </xf>
    <xf numFmtId="0" fontId="3" fillId="8" borderId="8" xfId="0" applyFont="1" applyFill="1" applyBorder="1" applyAlignment="1">
      <alignment horizontal="center"/>
    </xf>
    <xf numFmtId="0" fontId="3" fillId="8" borderId="2" xfId="0" applyFont="1" applyFill="1" applyBorder="1" applyAlignment="1">
      <alignment horizontal="center"/>
    </xf>
    <xf numFmtId="0" fontId="3" fillId="0" borderId="5" xfId="0" applyFont="1" applyBorder="1" applyAlignment="1">
      <alignment horizontal="left"/>
    </xf>
    <xf numFmtId="0" fontId="3" fillId="0" borderId="1" xfId="0" applyFont="1" applyBorder="1" applyAlignment="1">
      <alignment horizontal="center" wrapText="1"/>
    </xf>
    <xf numFmtId="0" fontId="3"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3" fillId="8" borderId="5" xfId="0" applyNumberFormat="1" applyFont="1" applyFill="1" applyBorder="1" applyAlignment="1">
      <alignment horizontal="center"/>
    </xf>
    <xf numFmtId="0" fontId="4" fillId="0" borderId="0" xfId="0" applyFont="1" applyAlignment="1">
      <alignment horizontal="center" wrapText="1"/>
    </xf>
    <xf numFmtId="169" fontId="1" fillId="0" borderId="0" xfId="0" applyNumberFormat="1" applyFont="1"/>
    <xf numFmtId="0" fontId="4" fillId="3" borderId="4" xfId="0" applyFont="1" applyFill="1" applyBorder="1" applyAlignment="1">
      <alignment horizontal="center" wrapText="1"/>
    </xf>
    <xf numFmtId="0" fontId="4" fillId="3" borderId="6" xfId="0" applyFont="1" applyFill="1" applyBorder="1" applyAlignment="1">
      <alignment wrapText="1"/>
    </xf>
    <xf numFmtId="0" fontId="3" fillId="0" borderId="0" xfId="0" applyFont="1" applyAlignment="1">
      <alignment wrapText="1"/>
    </xf>
    <xf numFmtId="0" fontId="3" fillId="7" borderId="2" xfId="0" applyFont="1" applyFill="1" applyBorder="1" applyAlignment="1">
      <alignment horizontal="center"/>
    </xf>
    <xf numFmtId="0" fontId="3" fillId="7" borderId="7" xfId="0" applyFont="1" applyFill="1" applyBorder="1" applyAlignment="1">
      <alignment horizontal="center"/>
    </xf>
    <xf numFmtId="0" fontId="3" fillId="7" borderId="8" xfId="0" applyFont="1" applyFill="1" applyBorder="1" applyAlignment="1">
      <alignment horizontal="center"/>
    </xf>
    <xf numFmtId="0" fontId="3" fillId="0" borderId="5" xfId="0" applyFont="1" applyBorder="1" applyAlignment="1">
      <alignment horizontal="center"/>
    </xf>
    <xf numFmtId="0" fontId="3" fillId="7" borderId="33" xfId="0" applyFont="1" applyFill="1" applyBorder="1"/>
    <xf numFmtId="0" fontId="3" fillId="8" borderId="33" xfId="0" applyFont="1" applyFill="1" applyBorder="1"/>
    <xf numFmtId="0" fontId="12" fillId="0" borderId="1" xfId="0" applyFont="1" applyBorder="1"/>
    <xf numFmtId="3" fontId="3" fillId="8" borderId="2" xfId="0" applyNumberFormat="1" applyFont="1" applyFill="1" applyBorder="1" applyAlignment="1">
      <alignment horizontal="center"/>
    </xf>
    <xf numFmtId="0" fontId="3" fillId="0" borderId="1" xfId="0" applyFont="1" applyBorder="1" applyAlignment="1">
      <alignment horizontal="left"/>
    </xf>
    <xf numFmtId="0" fontId="3" fillId="8" borderId="5" xfId="0" applyFont="1" applyFill="1" applyBorder="1" applyAlignment="1">
      <alignment horizontal="center"/>
    </xf>
    <xf numFmtId="0" fontId="3" fillId="3" borderId="0" xfId="0" applyFont="1" applyFill="1" applyAlignment="1">
      <alignment horizontal="center"/>
    </xf>
    <xf numFmtId="0" fontId="3" fillId="8" borderId="14" xfId="0" applyFont="1" applyFill="1" applyBorder="1" applyAlignment="1">
      <alignment horizontal="center"/>
    </xf>
    <xf numFmtId="0" fontId="3" fillId="8" borderId="12" xfId="0" applyFont="1" applyFill="1" applyBorder="1" applyAlignment="1">
      <alignment horizontal="center"/>
    </xf>
    <xf numFmtId="0" fontId="3" fillId="7" borderId="33" xfId="0" applyFont="1" applyFill="1" applyBorder="1" applyAlignment="1">
      <alignment horizontal="center"/>
    </xf>
    <xf numFmtId="3" fontId="3" fillId="7" borderId="0" xfId="0" applyNumberFormat="1" applyFont="1" applyFill="1" applyAlignment="1">
      <alignment horizontal="center"/>
    </xf>
    <xf numFmtId="3" fontId="20" fillId="7" borderId="0" xfId="0" applyNumberFormat="1" applyFont="1" applyFill="1" applyAlignment="1">
      <alignment horizontal="center"/>
    </xf>
    <xf numFmtId="165" fontId="3" fillId="8" borderId="6" xfId="0" applyNumberFormat="1" applyFont="1" applyFill="1" applyBorder="1" applyAlignment="1">
      <alignment horizontal="center"/>
    </xf>
    <xf numFmtId="0" fontId="3" fillId="7" borderId="6" xfId="0" applyFont="1" applyFill="1" applyBorder="1"/>
    <xf numFmtId="0" fontId="3" fillId="3" borderId="0" xfId="0" applyFont="1" applyFill="1"/>
    <xf numFmtId="165" fontId="20" fillId="8" borderId="3" xfId="0" applyNumberFormat="1" applyFont="1" applyFill="1" applyBorder="1" applyAlignment="1">
      <alignment horizontal="center"/>
    </xf>
    <xf numFmtId="3" fontId="20" fillId="7" borderId="3" xfId="0" applyNumberFormat="1" applyFont="1" applyFill="1" applyBorder="1" applyAlignment="1">
      <alignment horizontal="center"/>
    </xf>
    <xf numFmtId="0" fontId="3" fillId="7" borderId="3" xfId="0" applyFont="1" applyFill="1" applyBorder="1" applyAlignment="1">
      <alignment horizontal="center" wrapText="1"/>
    </xf>
    <xf numFmtId="165" fontId="3" fillId="8" borderId="3" xfId="0" applyNumberFormat="1" applyFont="1" applyFill="1" applyBorder="1" applyAlignment="1">
      <alignment horizontal="center"/>
    </xf>
    <xf numFmtId="3" fontId="3" fillId="7" borderId="3" xfId="0" applyNumberFormat="1" applyFont="1" applyFill="1" applyBorder="1" applyAlignment="1">
      <alignment horizontal="center"/>
    </xf>
    <xf numFmtId="0" fontId="3" fillId="0" borderId="35" xfId="0" applyFont="1" applyBorder="1"/>
    <xf numFmtId="0" fontId="3" fillId="0" borderId="36" xfId="0" applyFont="1" applyBorder="1" applyAlignment="1">
      <alignment horizontal="center"/>
    </xf>
    <xf numFmtId="0" fontId="3" fillId="0" borderId="35" xfId="0" applyFont="1" applyBorder="1" applyAlignment="1">
      <alignment horizontal="center"/>
    </xf>
    <xf numFmtId="165" fontId="3" fillId="0" borderId="35" xfId="0" applyNumberFormat="1" applyFont="1" applyBorder="1" applyAlignment="1">
      <alignment horizontal="center"/>
    </xf>
    <xf numFmtId="0" fontId="3" fillId="0" borderId="33" xfId="0" applyFont="1" applyBorder="1" applyAlignment="1">
      <alignment horizontal="center"/>
    </xf>
    <xf numFmtId="2" fontId="1" fillId="3" borderId="0" xfId="0" applyNumberFormat="1" applyFont="1" applyFill="1"/>
    <xf numFmtId="0" fontId="1" fillId="3" borderId="0" xfId="0" applyFont="1" applyFill="1"/>
    <xf numFmtId="4" fontId="3" fillId="0" borderId="3" xfId="0" applyNumberFormat="1" applyFont="1" applyBorder="1" applyAlignment="1">
      <alignment horizontal="center"/>
    </xf>
    <xf numFmtId="168" fontId="3" fillId="8" borderId="35" xfId="0" applyNumberFormat="1" applyFont="1" applyFill="1" applyBorder="1"/>
    <xf numFmtId="168" fontId="3" fillId="8" borderId="37" xfId="0" applyNumberFormat="1" applyFont="1" applyFill="1" applyBorder="1"/>
    <xf numFmtId="0" fontId="12" fillId="0" borderId="0" xfId="0" applyFont="1" applyAlignment="1">
      <alignment horizontal="center"/>
    </xf>
    <xf numFmtId="165" fontId="20" fillId="8" borderId="6" xfId="0" applyNumberFormat="1" applyFont="1" applyFill="1" applyBorder="1" applyAlignment="1">
      <alignment horizontal="center"/>
    </xf>
    <xf numFmtId="165" fontId="1" fillId="0" borderId="0" xfId="0" applyNumberFormat="1" applyFont="1"/>
    <xf numFmtId="3" fontId="3" fillId="0" borderId="8" xfId="0" applyNumberFormat="1" applyFont="1" applyBorder="1" applyAlignment="1">
      <alignment horizontal="center" vertical="top"/>
    </xf>
    <xf numFmtId="165" fontId="3" fillId="0" borderId="6" xfId="0" applyNumberFormat="1" applyFont="1" applyBorder="1" applyAlignment="1">
      <alignment horizontal="center"/>
    </xf>
    <xf numFmtId="168" fontId="3" fillId="0" borderId="3" xfId="0" applyNumberFormat="1" applyFont="1" applyBorder="1" applyAlignment="1">
      <alignment horizontal="center"/>
    </xf>
    <xf numFmtId="165" fontId="3" fillId="0" borderId="2" xfId="0" applyNumberFormat="1" applyFont="1" applyBorder="1" applyAlignment="1">
      <alignment horizontal="center"/>
    </xf>
    <xf numFmtId="165" fontId="3" fillId="0" borderId="0" xfId="0" applyNumberFormat="1" applyFont="1" applyAlignment="1">
      <alignment horizontal="center" vertical="top"/>
    </xf>
    <xf numFmtId="0" fontId="1" fillId="0" borderId="7" xfId="0" applyFont="1" applyBorder="1"/>
    <xf numFmtId="165" fontId="3" fillId="0" borderId="0" xfId="0" applyNumberFormat="1" applyFont="1" applyAlignment="1">
      <alignment horizontal="center" wrapText="1"/>
    </xf>
    <xf numFmtId="165" fontId="3" fillId="0" borderId="8" xfId="0" applyNumberFormat="1" applyFont="1" applyBorder="1" applyAlignment="1">
      <alignment horizontal="center" wrapText="1"/>
    </xf>
    <xf numFmtId="165" fontId="12"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3" fillId="0" borderId="8" xfId="0" applyNumberFormat="1" applyFont="1" applyBorder="1"/>
    <xf numFmtId="165" fontId="3" fillId="14" borderId="0" xfId="0" applyNumberFormat="1" applyFont="1" applyFill="1" applyAlignment="1">
      <alignment horizontal="center" wrapText="1"/>
    </xf>
    <xf numFmtId="0" fontId="3" fillId="8" borderId="0" xfId="0" applyFont="1" applyFill="1" applyAlignment="1">
      <alignment horizontal="center"/>
    </xf>
    <xf numFmtId="165" fontId="3" fillId="8" borderId="0" xfId="0" applyNumberFormat="1" applyFont="1" applyFill="1" applyAlignment="1">
      <alignment horizontal="center" wrapText="1"/>
    </xf>
    <xf numFmtId="165" fontId="3" fillId="15" borderId="0" xfId="0" applyNumberFormat="1" applyFont="1" applyFill="1" applyAlignment="1">
      <alignment horizontal="center" wrapText="1"/>
    </xf>
    <xf numFmtId="165" fontId="3" fillId="15" borderId="0" xfId="0" applyNumberFormat="1" applyFont="1" applyFill="1" applyAlignment="1">
      <alignment horizontal="center" vertical="top" wrapText="1"/>
    </xf>
    <xf numFmtId="1" fontId="3" fillId="7" borderId="0" xfId="0" applyNumberFormat="1" applyFont="1" applyFill="1" applyAlignment="1">
      <alignment horizontal="center" wrapText="1"/>
    </xf>
    <xf numFmtId="1" fontId="3" fillId="7" borderId="0" xfId="0" applyNumberFormat="1" applyFont="1" applyFill="1" applyAlignment="1">
      <alignment horizontal="center"/>
    </xf>
    <xf numFmtId="3" fontId="3" fillId="12" borderId="0" xfId="0" applyNumberFormat="1" applyFont="1" applyFill="1" applyAlignment="1">
      <alignment horizontal="center" wrapText="1"/>
    </xf>
    <xf numFmtId="3" fontId="3" fillId="8" borderId="0" xfId="0" applyNumberFormat="1" applyFont="1" applyFill="1" applyAlignment="1">
      <alignment horizontal="center"/>
    </xf>
    <xf numFmtId="3" fontId="3" fillId="8" borderId="0" xfId="0" applyNumberFormat="1" applyFont="1" applyFill="1" applyAlignment="1">
      <alignment horizontal="center" wrapText="1"/>
    </xf>
    <xf numFmtId="0" fontId="3" fillId="7" borderId="4" xfId="0" applyFont="1" applyFill="1" applyBorder="1" applyAlignment="1">
      <alignment wrapText="1"/>
    </xf>
    <xf numFmtId="0" fontId="3" fillId="7" borderId="33" xfId="0" applyFont="1" applyFill="1" applyBorder="1" applyAlignment="1">
      <alignment wrapText="1"/>
    </xf>
    <xf numFmtId="0" fontId="3" fillId="8" borderId="33" xfId="0" applyFont="1" applyFill="1" applyBorder="1" applyAlignment="1">
      <alignment wrapText="1"/>
    </xf>
    <xf numFmtId="0" fontId="3" fillId="8" borderId="6" xfId="0" applyFont="1" applyFill="1" applyBorder="1" applyAlignment="1">
      <alignment wrapText="1"/>
    </xf>
    <xf numFmtId="165" fontId="20" fillId="0" borderId="0" xfId="0" applyNumberFormat="1" applyFont="1" applyAlignment="1">
      <alignment horizontal="center" wrapText="1"/>
    </xf>
    <xf numFmtId="0" fontId="3" fillId="0" borderId="0" xfId="0" applyFont="1" applyAlignment="1">
      <alignment horizontal="left" vertical="top" wrapText="1" indent="2"/>
    </xf>
    <xf numFmtId="165" fontId="12" fillId="8" borderId="0" xfId="0" applyNumberFormat="1" applyFont="1" applyFill="1" applyAlignment="1">
      <alignment horizontal="center" vertical="top" wrapText="1"/>
    </xf>
    <xf numFmtId="165" fontId="3" fillId="8" borderId="33" xfId="0" applyNumberFormat="1" applyFont="1" applyFill="1" applyBorder="1" applyAlignment="1">
      <alignment horizontal="center" wrapText="1"/>
    </xf>
    <xf numFmtId="168" fontId="3" fillId="8" borderId="0" xfId="0" applyNumberFormat="1" applyFont="1" applyFill="1" applyAlignment="1">
      <alignment horizontal="center" wrapText="1"/>
    </xf>
    <xf numFmtId="0" fontId="3" fillId="3" borderId="24" xfId="0" applyFont="1" applyFill="1" applyBorder="1" applyAlignment="1">
      <alignment horizontal="center" vertical="center" wrapText="1"/>
    </xf>
    <xf numFmtId="0" fontId="12" fillId="9" borderId="0" xfId="0" applyFont="1" applyFill="1" applyAlignment="1">
      <alignment horizontal="center" vertical="center" wrapText="1"/>
    </xf>
    <xf numFmtId="165" fontId="3" fillId="12" borderId="0" xfId="0" applyNumberFormat="1" applyFont="1" applyFill="1" applyAlignment="1">
      <alignment horizontal="center" vertical="top" wrapText="1"/>
    </xf>
    <xf numFmtId="165" fontId="3" fillId="2" borderId="0" xfId="0" applyNumberFormat="1" applyFont="1" applyFill="1" applyAlignment="1">
      <alignment horizontal="center" wrapText="1"/>
    </xf>
    <xf numFmtId="0" fontId="3" fillId="0" borderId="4" xfId="0" applyFont="1" applyBorder="1" applyAlignment="1">
      <alignment horizontal="left" wrapText="1"/>
    </xf>
    <xf numFmtId="0" fontId="3" fillId="0" borderId="4" xfId="0" applyFont="1" applyBorder="1" applyAlignment="1">
      <alignment horizontal="center" wrapText="1"/>
    </xf>
    <xf numFmtId="0" fontId="3" fillId="0" borderId="33" xfId="0" applyFont="1" applyBorder="1" applyAlignment="1">
      <alignment horizontal="center" wrapText="1"/>
    </xf>
    <xf numFmtId="165" fontId="3" fillId="0" borderId="33" xfId="0" applyNumberFormat="1" applyFont="1" applyBorder="1" applyAlignment="1">
      <alignment horizontal="center" wrapText="1"/>
    </xf>
    <xf numFmtId="3" fontId="3" fillId="0" borderId="3" xfId="0" applyNumberFormat="1" applyFont="1" applyBorder="1" applyAlignment="1">
      <alignment horizontal="center" wrapText="1"/>
    </xf>
    <xf numFmtId="0" fontId="3" fillId="0" borderId="7" xfId="0" applyFont="1" applyBorder="1"/>
    <xf numFmtId="0" fontId="3" fillId="0" borderId="8" xfId="0" applyFont="1" applyBorder="1"/>
    <xf numFmtId="3" fontId="3" fillId="0" borderId="1" xfId="0" applyNumberFormat="1" applyFont="1" applyBorder="1" applyAlignment="1">
      <alignment horizontal="center" vertical="top" wrapText="1"/>
    </xf>
    <xf numFmtId="2" fontId="3" fillId="8" borderId="8" xfId="0" applyNumberFormat="1" applyFont="1" applyFill="1" applyBorder="1"/>
    <xf numFmtId="165" fontId="20" fillId="8" borderId="33" xfId="0" applyNumberFormat="1" applyFont="1" applyFill="1" applyBorder="1" applyAlignment="1">
      <alignment horizontal="center"/>
    </xf>
    <xf numFmtId="2" fontId="3" fillId="8" borderId="2" xfId="0" applyNumberFormat="1" applyFont="1" applyFill="1" applyBorder="1"/>
    <xf numFmtId="0" fontId="3" fillId="0" borderId="1" xfId="0" applyFont="1" applyBorder="1" applyAlignment="1">
      <alignment horizontal="left" vertical="top" wrapText="1" indent="2"/>
    </xf>
    <xf numFmtId="3" fontId="3" fillId="0" borderId="3" xfId="0" applyNumberFormat="1" applyFont="1" applyBorder="1" applyAlignment="1">
      <alignment horizontal="center"/>
    </xf>
    <xf numFmtId="3" fontId="3" fillId="7" borderId="8" xfId="0" applyNumberFormat="1" applyFont="1" applyFill="1" applyBorder="1" applyAlignment="1">
      <alignment horizontal="center" vertical="top" wrapText="1"/>
    </xf>
    <xf numFmtId="1" fontId="3" fillId="0" borderId="4" xfId="0" applyNumberFormat="1" applyFont="1" applyBorder="1" applyAlignment="1">
      <alignment horizontal="center"/>
    </xf>
    <xf numFmtId="1" fontId="3" fillId="0" borderId="33" xfId="0" applyNumberFormat="1" applyFont="1" applyBorder="1" applyAlignment="1">
      <alignment horizontal="center"/>
    </xf>
    <xf numFmtId="1" fontId="3" fillId="7" borderId="33" xfId="0" applyNumberFormat="1" applyFont="1" applyFill="1" applyBorder="1" applyAlignment="1">
      <alignment horizontal="center"/>
    </xf>
    <xf numFmtId="0" fontId="20" fillId="0" borderId="0" xfId="0" applyFont="1" applyAlignment="1">
      <alignment horizontal="left"/>
    </xf>
    <xf numFmtId="0" fontId="20" fillId="0" borderId="4" xfId="0" applyFont="1" applyBorder="1" applyAlignment="1">
      <alignment horizontal="left"/>
    </xf>
    <xf numFmtId="0" fontId="20" fillId="0" borderId="33" xfId="0" applyFont="1" applyBorder="1" applyAlignment="1">
      <alignment horizontal="left"/>
    </xf>
    <xf numFmtId="1" fontId="3" fillId="0" borderId="1" xfId="0" applyNumberFormat="1" applyFont="1" applyBorder="1" applyAlignment="1">
      <alignment horizontal="center" wrapText="1"/>
    </xf>
    <xf numFmtId="165" fontId="3" fillId="0" borderId="5" xfId="0" applyNumberFormat="1" applyFont="1" applyBorder="1" applyAlignment="1">
      <alignment horizontal="center" wrapText="1"/>
    </xf>
    <xf numFmtId="165" fontId="3" fillId="16" borderId="0" xfId="0" applyNumberFormat="1" applyFont="1" applyFill="1" applyAlignment="1">
      <alignment horizontal="center" wrapText="1"/>
    </xf>
    <xf numFmtId="165" fontId="3" fillId="0" borderId="0" xfId="0" applyNumberFormat="1" applyFont="1" applyAlignment="1">
      <alignment vertical="top" wrapText="1"/>
    </xf>
    <xf numFmtId="0" fontId="3" fillId="0" borderId="7" xfId="0" applyFont="1" applyBorder="1" applyAlignment="1">
      <alignment horizontal="left" vertical="top" wrapText="1" indent="2"/>
    </xf>
    <xf numFmtId="0" fontId="3" fillId="0" borderId="3" xfId="0" applyFont="1" applyBorder="1" applyAlignment="1">
      <alignment vertical="top" wrapText="1"/>
    </xf>
    <xf numFmtId="0" fontId="3" fillId="0" borderId="1" xfId="0" applyFont="1" applyBorder="1" applyAlignment="1">
      <alignment horizontal="left" wrapText="1" indent="4"/>
    </xf>
    <xf numFmtId="0" fontId="12" fillId="0" borderId="0" xfId="0" applyFont="1" applyAlignment="1">
      <alignment horizontal="left" wrapText="1"/>
    </xf>
    <xf numFmtId="3" fontId="3" fillId="0" borderId="0" xfId="0" applyNumberFormat="1" applyFont="1" applyAlignment="1">
      <alignment horizontal="center" vertical="top"/>
    </xf>
    <xf numFmtId="3" fontId="3" fillId="0" borderId="2" xfId="0" applyNumberFormat="1" applyFont="1" applyBorder="1" applyAlignment="1">
      <alignment horizontal="center" wrapText="1"/>
    </xf>
    <xf numFmtId="0" fontId="3" fillId="0" borderId="38" xfId="0" applyFont="1" applyBorder="1" applyAlignment="1">
      <alignment wrapText="1"/>
    </xf>
    <xf numFmtId="0" fontId="3" fillId="0" borderId="34" xfId="0" applyFont="1" applyBorder="1"/>
    <xf numFmtId="3" fontId="3" fillId="0" borderId="0" xfId="0" applyNumberFormat="1" applyFont="1" applyAlignment="1">
      <alignment vertical="top" wrapText="1"/>
    </xf>
    <xf numFmtId="3" fontId="3" fillId="0" borderId="6" xfId="0" applyNumberFormat="1" applyFont="1" applyBorder="1" applyAlignment="1">
      <alignment horizontal="center"/>
    </xf>
    <xf numFmtId="3" fontId="3" fillId="0" borderId="7" xfId="0" applyNumberFormat="1" applyFont="1" applyBorder="1" applyAlignment="1">
      <alignment horizontal="center" vertical="top" wrapText="1"/>
    </xf>
    <xf numFmtId="0" fontId="3" fillId="0" borderId="0" xfId="0" applyFont="1" applyAlignment="1">
      <alignment horizontal="left" wrapText="1" indent="2"/>
    </xf>
    <xf numFmtId="3" fontId="3" fillId="0" borderId="8" xfId="0" applyNumberFormat="1" applyFont="1" applyBorder="1" applyAlignment="1">
      <alignment horizontal="center" vertical="top" wrapText="1"/>
    </xf>
    <xf numFmtId="0" fontId="3" fillId="0" borderId="0" xfId="0" applyFont="1" applyAlignment="1">
      <alignment horizontal="left" wrapText="1" indent="4"/>
    </xf>
    <xf numFmtId="0" fontId="3" fillId="0" borderId="3" xfId="0" applyFont="1" applyBorder="1" applyAlignment="1">
      <alignment wrapText="1"/>
    </xf>
    <xf numFmtId="0" fontId="3" fillId="0" borderId="7" xfId="0" applyFont="1" applyBorder="1" applyAlignment="1">
      <alignment horizontal="left" wrapText="1" indent="4"/>
    </xf>
    <xf numFmtId="3" fontId="21" fillId="0" borderId="0" xfId="0" applyNumberFormat="1" applyFont="1" applyAlignment="1">
      <alignment horizontal="center" wrapText="1"/>
    </xf>
    <xf numFmtId="3" fontId="3" fillId="0" borderId="8" xfId="0" applyNumberFormat="1" applyFont="1" applyBorder="1" applyAlignment="1">
      <alignment horizontal="center" wrapText="1"/>
    </xf>
    <xf numFmtId="168" fontId="3" fillId="0" borderId="1" xfId="0" applyNumberFormat="1" applyFont="1" applyBorder="1" applyAlignment="1">
      <alignment horizontal="center" wrapText="1"/>
    </xf>
    <xf numFmtId="168" fontId="3" fillId="0" borderId="7" xfId="0" applyNumberFormat="1" applyFont="1" applyBorder="1" applyAlignment="1">
      <alignment horizontal="center" wrapText="1"/>
    </xf>
    <xf numFmtId="0" fontId="22" fillId="0" borderId="0" xfId="0" applyFont="1"/>
    <xf numFmtId="165" fontId="3" fillId="8" borderId="8" xfId="0" applyNumberFormat="1" applyFont="1" applyFill="1" applyBorder="1" applyAlignment="1">
      <alignment horizontal="center" wrapText="1"/>
    </xf>
    <xf numFmtId="0" fontId="12" fillId="0" borderId="0" xfId="0" applyFont="1" applyAlignment="1">
      <alignment wrapText="1"/>
    </xf>
    <xf numFmtId="3" fontId="3" fillId="0" borderId="0" xfId="0" applyNumberFormat="1" applyFont="1" applyAlignment="1">
      <alignment horizontal="left" vertical="top" wrapText="1"/>
    </xf>
    <xf numFmtId="168" fontId="3" fillId="0" borderId="0" xfId="0" applyNumberFormat="1" applyFont="1" applyAlignment="1">
      <alignment horizontal="center" wrapText="1"/>
    </xf>
    <xf numFmtId="165" fontId="3" fillId="0" borderId="0" xfId="0" applyNumberFormat="1" applyFont="1" applyAlignment="1">
      <alignment wrapText="1"/>
    </xf>
    <xf numFmtId="0" fontId="12" fillId="0" borderId="1" xfId="0" applyFont="1" applyBorder="1" applyAlignment="1">
      <alignment horizontal="left" vertical="top" wrapText="1"/>
    </xf>
    <xf numFmtId="3" fontId="12" fillId="0" borderId="24" xfId="0" applyNumberFormat="1" applyFont="1" applyBorder="1" applyAlignment="1">
      <alignment horizontal="left" wrapText="1"/>
    </xf>
    <xf numFmtId="165" fontId="3" fillId="0" borderId="13" xfId="0" applyNumberFormat="1" applyFont="1" applyBorder="1" applyAlignment="1">
      <alignment horizontal="center" wrapText="1"/>
    </xf>
    <xf numFmtId="168" fontId="3" fillId="0" borderId="13" xfId="0" applyNumberFormat="1" applyFont="1" applyBorder="1" applyAlignment="1">
      <alignment horizontal="center" wrapText="1"/>
    </xf>
    <xf numFmtId="3" fontId="3" fillId="0" borderId="12" xfId="0" applyNumberFormat="1" applyFont="1" applyBorder="1" applyAlignment="1">
      <alignment horizontal="center" vertical="top"/>
    </xf>
    <xf numFmtId="0" fontId="12" fillId="0" borderId="0" xfId="0" applyFont="1" applyAlignment="1">
      <alignment horizontal="center" vertical="center" wrapText="1"/>
    </xf>
    <xf numFmtId="165" fontId="3" fillId="0" borderId="2" xfId="0" applyNumberFormat="1" applyFont="1" applyBorder="1" applyAlignment="1">
      <alignment horizontal="center" wrapText="1"/>
    </xf>
    <xf numFmtId="3" fontId="3" fillId="0" borderId="2" xfId="0" applyNumberFormat="1" applyFont="1" applyBorder="1" applyAlignment="1">
      <alignment horizontal="center"/>
    </xf>
    <xf numFmtId="165" fontId="3" fillId="8"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3" fontId="3" fillId="0" borderId="5" xfId="0" applyNumberFormat="1" applyFont="1" applyBorder="1" applyAlignment="1">
      <alignment horizontal="center" wrapText="1"/>
    </xf>
    <xf numFmtId="165" fontId="3" fillId="15" borderId="8" xfId="0" applyNumberFormat="1" applyFont="1" applyFill="1" applyBorder="1" applyAlignment="1">
      <alignment horizontal="center" wrapText="1"/>
    </xf>
    <xf numFmtId="0" fontId="3" fillId="0" borderId="1" xfId="0" applyFont="1" applyBorder="1" applyAlignment="1">
      <alignment horizontal="left" wrapText="1" indent="2"/>
    </xf>
    <xf numFmtId="3" fontId="3" fillId="0" borderId="5" xfId="0" applyNumberFormat="1" applyFont="1" applyBorder="1" applyAlignment="1">
      <alignment horizontal="center" vertical="top" wrapText="1"/>
    </xf>
    <xf numFmtId="0" fontId="3" fillId="0" borderId="5" xfId="0" applyFont="1" applyBorder="1" applyAlignment="1">
      <alignment horizontal="center" wrapText="1"/>
    </xf>
    <xf numFmtId="0" fontId="3" fillId="0" borderId="14" xfId="0" applyFont="1" applyBorder="1" applyAlignment="1">
      <alignment horizontal="center"/>
    </xf>
    <xf numFmtId="0" fontId="12" fillId="0" borderId="38" xfId="0" applyFont="1" applyBorder="1" applyAlignment="1">
      <alignment horizontal="center" wrapText="1"/>
    </xf>
    <xf numFmtId="0" fontId="12" fillId="0" borderId="38" xfId="0" applyFont="1" applyBorder="1" applyAlignment="1">
      <alignment wrapText="1"/>
    </xf>
    <xf numFmtId="3" fontId="12" fillId="0" borderId="34" xfId="0" applyNumberFormat="1" applyFont="1" applyBorder="1" applyAlignment="1">
      <alignment horizontal="center" wrapText="1"/>
    </xf>
    <xf numFmtId="0" fontId="3" fillId="0" borderId="1" xfId="0" applyFont="1" applyBorder="1" applyAlignment="1">
      <alignment vertical="top" wrapText="1"/>
    </xf>
    <xf numFmtId="0" fontId="3" fillId="0" borderId="1" xfId="0" applyFont="1" applyBorder="1" applyAlignment="1">
      <alignment horizontal="left" vertical="top" wrapText="1" indent="1"/>
    </xf>
    <xf numFmtId="0" fontId="3" fillId="0" borderId="1" xfId="0" applyFont="1" applyBorder="1" applyAlignment="1">
      <alignment horizontal="left" wrapText="1" indent="1"/>
    </xf>
    <xf numFmtId="0" fontId="12" fillId="0" borderId="1" xfId="0" applyFont="1" applyBorder="1" applyAlignment="1">
      <alignment horizontal="left" wrapText="1"/>
    </xf>
    <xf numFmtId="3" fontId="3" fillId="0" borderId="4" xfId="0" applyNumberFormat="1" applyFont="1" applyBorder="1" applyAlignment="1">
      <alignment horizontal="center" vertical="top" wrapText="1"/>
    </xf>
    <xf numFmtId="3" fontId="3" fillId="0" borderId="1" xfId="0" applyNumberFormat="1" applyFont="1" applyBorder="1" applyAlignment="1">
      <alignment horizontal="center" wrapText="1"/>
    </xf>
    <xf numFmtId="0" fontId="20" fillId="0" borderId="1" xfId="0" applyFont="1" applyBorder="1" applyAlignment="1">
      <alignment wrapText="1"/>
    </xf>
    <xf numFmtId="165" fontId="3" fillId="0" borderId="1" xfId="0" applyNumberFormat="1" applyFont="1" applyBorder="1" applyAlignment="1">
      <alignment horizontal="center" vertical="top" wrapText="1"/>
    </xf>
    <xf numFmtId="0" fontId="3" fillId="0" borderId="2" xfId="0" applyFont="1" applyBorder="1"/>
    <xf numFmtId="0" fontId="3" fillId="8" borderId="3" xfId="0" applyFont="1" applyFill="1" applyBorder="1" applyAlignment="1">
      <alignment horizontal="center"/>
    </xf>
    <xf numFmtId="0" fontId="3" fillId="8" borderId="1" xfId="0" applyFont="1" applyFill="1" applyBorder="1" applyAlignment="1">
      <alignment horizontal="center"/>
    </xf>
    <xf numFmtId="165" fontId="3" fillId="0" borderId="33" xfId="0" applyNumberFormat="1" applyFont="1" applyBorder="1" applyAlignment="1">
      <alignment horizontal="center"/>
    </xf>
    <xf numFmtId="3" fontId="3" fillId="0" borderId="0" xfId="0" applyNumberFormat="1" applyFont="1" applyAlignment="1">
      <alignment vertical="top"/>
    </xf>
    <xf numFmtId="1" fontId="3" fillId="0" borderId="0" xfId="0" applyNumberFormat="1" applyFont="1" applyAlignment="1">
      <alignment horizontal="center"/>
    </xf>
    <xf numFmtId="0" fontId="3" fillId="7" borderId="4" xfId="0" applyFont="1" applyFill="1" applyBorder="1" applyAlignment="1">
      <alignment horizontal="center" vertical="center"/>
    </xf>
    <xf numFmtId="168" fontId="3" fillId="17" borderId="0" xfId="0" applyNumberFormat="1" applyFont="1" applyFill="1"/>
    <xf numFmtId="1" fontId="3" fillId="0" borderId="0" xfId="0" applyNumberFormat="1" applyFont="1"/>
    <xf numFmtId="1" fontId="3" fillId="17" borderId="0" xfId="0" applyNumberFormat="1" applyFont="1" applyFill="1"/>
    <xf numFmtId="0" fontId="3" fillId="7" borderId="7" xfId="0" applyFont="1" applyFill="1" applyBorder="1" applyAlignment="1">
      <alignment horizontal="center" vertical="center"/>
    </xf>
    <xf numFmtId="0" fontId="3" fillId="7" borderId="8" xfId="0" applyFont="1" applyFill="1" applyBorder="1" applyAlignment="1">
      <alignment horizontal="center" vertical="center"/>
    </xf>
    <xf numFmtId="0" fontId="3" fillId="7" borderId="2" xfId="0" applyFont="1" applyFill="1" applyBorder="1" applyAlignment="1">
      <alignment horizontal="center" vertical="center"/>
    </xf>
    <xf numFmtId="165" fontId="3" fillId="7" borderId="0" xfId="0" applyNumberFormat="1" applyFont="1" applyFill="1" applyAlignment="1">
      <alignment horizontal="center"/>
    </xf>
    <xf numFmtId="0" fontId="3" fillId="0" borderId="5" xfId="0" applyFont="1" applyBorder="1"/>
    <xf numFmtId="17" fontId="12" fillId="3" borderId="39" xfId="0" applyNumberFormat="1" applyFont="1" applyFill="1" applyBorder="1" applyAlignment="1">
      <alignment horizontal="left" wrapText="1"/>
    </xf>
    <xf numFmtId="0" fontId="12" fillId="3" borderId="4" xfId="0" applyFont="1" applyFill="1" applyBorder="1" applyAlignment="1">
      <alignment horizontal="left" wrapText="1"/>
    </xf>
    <xf numFmtId="17" fontId="12" fillId="3" borderId="38" xfId="0" applyNumberFormat="1" applyFont="1" applyFill="1" applyBorder="1" applyAlignment="1">
      <alignment horizontal="left" wrapText="1"/>
    </xf>
    <xf numFmtId="17" fontId="12" fillId="3" borderId="34" xfId="0" applyNumberFormat="1" applyFont="1" applyFill="1" applyBorder="1" applyAlignment="1">
      <alignment horizontal="left" wrapText="1"/>
    </xf>
    <xf numFmtId="17" fontId="12"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3" fillId="0" borderId="5" xfId="0" applyNumberFormat="1" applyFont="1" applyBorder="1" applyAlignment="1">
      <alignment horizontal="center"/>
    </xf>
    <xf numFmtId="0" fontId="7" fillId="0" borderId="0" xfId="0" applyFont="1" applyAlignment="1">
      <alignment horizontal="right" vertical="center" wrapText="1"/>
    </xf>
    <xf numFmtId="3" fontId="3" fillId="0" borderId="8" xfId="0" applyNumberFormat="1" applyFont="1" applyBorder="1" applyAlignment="1">
      <alignment horizontal="center" vertical="center"/>
    </xf>
    <xf numFmtId="3" fontId="3" fillId="0" borderId="0" xfId="0" applyNumberFormat="1" applyFont="1" applyAlignment="1">
      <alignment horizontal="center" vertical="center"/>
    </xf>
    <xf numFmtId="168" fontId="3" fillId="0" borderId="0" xfId="0" applyNumberFormat="1" applyFont="1" applyAlignment="1">
      <alignment horizontal="center" vertical="center"/>
    </xf>
    <xf numFmtId="3" fontId="3" fillId="8" borderId="0" xfId="0" applyNumberFormat="1" applyFont="1" applyFill="1" applyAlignment="1">
      <alignment horizontal="center" vertical="center"/>
    </xf>
    <xf numFmtId="1" fontId="20" fillId="8" borderId="0" xfId="0" applyNumberFormat="1" applyFont="1" applyFill="1" applyAlignment="1">
      <alignment horizontal="center" vertical="center"/>
    </xf>
    <xf numFmtId="165" fontId="3" fillId="12" borderId="0" xfId="0" applyNumberFormat="1" applyFont="1" applyFill="1" applyAlignment="1">
      <alignment horizontal="center"/>
    </xf>
    <xf numFmtId="0" fontId="3" fillId="7" borderId="0" xfId="0" applyFont="1" applyFill="1" applyAlignment="1">
      <alignment horizontal="center" vertical="center"/>
    </xf>
    <xf numFmtId="3" fontId="20" fillId="8" borderId="0" xfId="0" applyNumberFormat="1" applyFont="1" applyFill="1" applyAlignment="1">
      <alignment horizontal="center"/>
    </xf>
    <xf numFmtId="3" fontId="3" fillId="0" borderId="33" xfId="0" applyNumberFormat="1" applyFont="1" applyBorder="1" applyAlignment="1">
      <alignment horizontal="center"/>
    </xf>
    <xf numFmtId="165" fontId="3" fillId="0" borderId="5" xfId="0" applyNumberFormat="1" applyFont="1" applyBorder="1" applyAlignment="1">
      <alignment horizontal="center"/>
    </xf>
    <xf numFmtId="165" fontId="3" fillId="0" borderId="8" xfId="0" applyNumberFormat="1" applyFont="1" applyBorder="1" applyAlignment="1">
      <alignment horizontal="center"/>
    </xf>
    <xf numFmtId="0" fontId="3" fillId="0" borderId="0" xfId="0" applyFont="1" applyAlignment="1">
      <alignment horizontal="center" vertical="center" wrapText="1"/>
    </xf>
    <xf numFmtId="165" fontId="3" fillId="0" borderId="0" xfId="0" applyNumberFormat="1" applyFont="1" applyAlignment="1">
      <alignment horizontal="center" vertical="center"/>
    </xf>
    <xf numFmtId="168" fontId="3" fillId="7" borderId="0" xfId="0" applyNumberFormat="1" applyFont="1" applyFill="1" applyAlignment="1">
      <alignment horizontal="center" vertical="center"/>
    </xf>
    <xf numFmtId="0" fontId="23" fillId="0" borderId="4" xfId="0" applyFont="1" applyBorder="1" applyAlignment="1">
      <alignment horizontal="center" vertical="center" wrapText="1"/>
    </xf>
    <xf numFmtId="0" fontId="3" fillId="0" borderId="33" xfId="0" applyFont="1" applyBorder="1" applyAlignment="1">
      <alignment horizontal="center" vertical="center"/>
    </xf>
    <xf numFmtId="3" fontId="3" fillId="0" borderId="33" xfId="0" applyNumberFormat="1" applyFont="1" applyBorder="1" applyAlignment="1">
      <alignment horizontal="center" vertical="center"/>
    </xf>
    <xf numFmtId="3" fontId="3" fillId="7" borderId="33" xfId="0" applyNumberFormat="1" applyFont="1" applyFill="1" applyBorder="1" applyAlignment="1">
      <alignment horizontal="center"/>
    </xf>
    <xf numFmtId="0" fontId="23" fillId="0" borderId="1" xfId="0" applyFont="1" applyBorder="1" applyAlignment="1">
      <alignment horizontal="center" vertical="center" wrapText="1"/>
    </xf>
    <xf numFmtId="0" fontId="3" fillId="7" borderId="1" xfId="0" applyFont="1" applyFill="1" applyBorder="1" applyAlignment="1">
      <alignment horizontal="center" vertical="center"/>
    </xf>
    <xf numFmtId="0" fontId="3" fillId="7" borderId="3"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3" fontId="3" fillId="8" borderId="8" xfId="0" applyNumberFormat="1"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33" xfId="0" applyFont="1" applyBorder="1" applyAlignment="1">
      <alignment horizontal="left"/>
    </xf>
    <xf numFmtId="165" fontId="3" fillId="2" borderId="33" xfId="0" applyNumberFormat="1" applyFont="1" applyFill="1" applyBorder="1" applyAlignment="1">
      <alignment horizontal="center"/>
    </xf>
    <xf numFmtId="168" fontId="12" fillId="0" borderId="0" xfId="0" applyNumberFormat="1" applyFont="1"/>
    <xf numFmtId="170" fontId="3" fillId="0" borderId="0" xfId="0" applyNumberFormat="1" applyFont="1" applyAlignment="1">
      <alignment horizontal="center"/>
    </xf>
    <xf numFmtId="3" fontId="3" fillId="0" borderId="8" xfId="0" applyNumberFormat="1" applyFont="1" applyBorder="1" applyAlignment="1">
      <alignment horizontal="center"/>
    </xf>
    <xf numFmtId="165" fontId="3" fillId="0" borderId="0" xfId="0" applyNumberFormat="1" applyFont="1"/>
    <xf numFmtId="0" fontId="3" fillId="0" borderId="4" xfId="0" applyFont="1" applyBorder="1" applyAlignment="1">
      <alignment wrapText="1"/>
    </xf>
    <xf numFmtId="0" fontId="3" fillId="0" borderId="7" xfId="0" applyFont="1" applyBorder="1" applyAlignment="1">
      <alignment vertical="top" wrapText="1"/>
    </xf>
    <xf numFmtId="0" fontId="20" fillId="0" borderId="1" xfId="0" applyFont="1" applyBorder="1" applyAlignment="1">
      <alignment horizontal="left" vertical="top" wrapText="1"/>
    </xf>
    <xf numFmtId="0" fontId="23" fillId="0" borderId="1" xfId="0" applyFont="1" applyBorder="1" applyAlignment="1">
      <alignment wrapText="1"/>
    </xf>
    <xf numFmtId="10" fontId="1" fillId="0" borderId="0" xfId="0" applyNumberFormat="1" applyFont="1"/>
    <xf numFmtId="0" fontId="12" fillId="0" borderId="4" xfId="0" applyFont="1" applyBorder="1" applyAlignment="1">
      <alignment horizontal="center" vertical="top" wrapText="1"/>
    </xf>
    <xf numFmtId="0" fontId="12" fillId="0" borderId="0" xfId="0" applyFont="1" applyAlignment="1">
      <alignment horizontal="center" wrapText="1"/>
    </xf>
    <xf numFmtId="0" fontId="12" fillId="7" borderId="38" xfId="0" applyFont="1" applyFill="1" applyBorder="1" applyAlignment="1">
      <alignment horizontal="center"/>
    </xf>
    <xf numFmtId="0" fontId="12" fillId="7" borderId="34" xfId="0" applyFont="1" applyFill="1" applyBorder="1" applyAlignment="1">
      <alignment horizontal="center"/>
    </xf>
    <xf numFmtId="168" fontId="12" fillId="0" borderId="0" xfId="0" applyNumberFormat="1" applyFont="1" applyAlignment="1">
      <alignment horizontal="center" wrapText="1"/>
    </xf>
    <xf numFmtId="168" fontId="12" fillId="0" borderId="8" xfId="0" applyNumberFormat="1" applyFont="1" applyBorder="1" applyAlignment="1">
      <alignment horizontal="center" wrapText="1"/>
    </xf>
    <xf numFmtId="0" fontId="2" fillId="0" borderId="0" xfId="0" applyFont="1"/>
    <xf numFmtId="0" fontId="1" fillId="0" borderId="33" xfId="0" applyFont="1" applyBorder="1"/>
    <xf numFmtId="3" fontId="12" fillId="0" borderId="0" xfId="0" applyNumberFormat="1" applyFont="1" applyAlignment="1">
      <alignment horizontal="center" wrapText="1"/>
    </xf>
    <xf numFmtId="3" fontId="12" fillId="0" borderId="8" xfId="0" applyNumberFormat="1" applyFont="1" applyBorder="1" applyAlignment="1">
      <alignment horizontal="center" wrapText="1"/>
    </xf>
    <xf numFmtId="0" fontId="1" fillId="14" borderId="0" xfId="0" applyFont="1" applyFill="1"/>
    <xf numFmtId="0" fontId="1" fillId="8" borderId="33" xfId="0" applyFont="1" applyFill="1" applyBorder="1"/>
    <xf numFmtId="0" fontId="1" fillId="8" borderId="0" xfId="0" applyFont="1" applyFill="1"/>
    <xf numFmtId="3" fontId="20" fillId="8" borderId="0" xfId="0" applyNumberFormat="1" applyFont="1" applyFill="1" applyAlignment="1">
      <alignment horizontal="center" wrapText="1"/>
    </xf>
    <xf numFmtId="3" fontId="3"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8" xfId="0" applyNumberFormat="1" applyFont="1" applyBorder="1" applyAlignment="1">
      <alignment horizontal="center"/>
    </xf>
    <xf numFmtId="3" fontId="3" fillId="8" borderId="33" xfId="0" applyNumberFormat="1" applyFont="1" applyFill="1" applyBorder="1" applyAlignment="1">
      <alignment horizontal="center" wrapText="1"/>
    </xf>
    <xf numFmtId="1" fontId="3" fillId="8" borderId="0" xfId="0" applyNumberFormat="1" applyFont="1" applyFill="1" applyAlignment="1">
      <alignment horizontal="center" wrapText="1"/>
    </xf>
    <xf numFmtId="3" fontId="12" fillId="8" borderId="0" xfId="0" applyNumberFormat="1" applyFont="1" applyFill="1" applyAlignment="1">
      <alignment horizontal="center" wrapText="1"/>
    </xf>
    <xf numFmtId="1" fontId="1" fillId="8"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2" borderId="0" xfId="0" applyNumberFormat="1" applyFont="1" applyFill="1"/>
    <xf numFmtId="3" fontId="20" fillId="12" borderId="0" xfId="0" applyNumberFormat="1" applyFont="1" applyFill="1" applyAlignment="1">
      <alignment horizontal="center"/>
    </xf>
    <xf numFmtId="0" fontId="20" fillId="0" borderId="0" xfId="0" applyFont="1" applyAlignment="1">
      <alignment horizontal="center" wrapText="1"/>
    </xf>
    <xf numFmtId="0" fontId="24" fillId="0" borderId="1" xfId="0" applyFont="1" applyBorder="1" applyAlignment="1">
      <alignment horizontal="left" indent="2"/>
    </xf>
    <xf numFmtId="0" fontId="3" fillId="0" borderId="8" xfId="0" applyFont="1" applyBorder="1" applyAlignment="1">
      <alignment horizontal="center" wrapText="1"/>
    </xf>
    <xf numFmtId="3" fontId="12" fillId="8" borderId="8"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3" fillId="0" borderId="7" xfId="0" applyFont="1" applyBorder="1" applyAlignment="1">
      <alignment wrapText="1"/>
    </xf>
    <xf numFmtId="0" fontId="3" fillId="0" borderId="8" xfId="0" applyFont="1" applyBorder="1" applyAlignment="1">
      <alignment wrapText="1"/>
    </xf>
    <xf numFmtId="171" fontId="3"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2" fillId="0" borderId="33" xfId="0" applyFont="1" applyBorder="1" applyAlignment="1">
      <alignment horizontal="center" vertical="top" wrapText="1"/>
    </xf>
    <xf numFmtId="171" fontId="3" fillId="0" borderId="8" xfId="0" applyNumberFormat="1" applyFont="1" applyBorder="1" applyAlignment="1">
      <alignment horizontal="center" wrapText="1"/>
    </xf>
    <xf numFmtId="1" fontId="12" fillId="0" borderId="0" xfId="0" applyNumberFormat="1" applyFont="1" applyAlignment="1">
      <alignment horizontal="center" wrapText="1"/>
    </xf>
    <xf numFmtId="0" fontId="25" fillId="0" borderId="0" xfId="0" applyFont="1"/>
    <xf numFmtId="1" fontId="3" fillId="0" borderId="33" xfId="0" applyNumberFormat="1" applyFont="1" applyBorder="1" applyAlignment="1">
      <alignment horizontal="center" wrapText="1"/>
    </xf>
    <xf numFmtId="1" fontId="3" fillId="7" borderId="33" xfId="0" applyNumberFormat="1" applyFont="1" applyFill="1" applyBorder="1" applyAlignment="1">
      <alignment horizontal="center" wrapText="1"/>
    </xf>
    <xf numFmtId="0" fontId="20" fillId="0" borderId="7" xfId="0" applyFont="1" applyBorder="1"/>
    <xf numFmtId="0" fontId="20" fillId="0" borderId="8" xfId="0" applyFont="1" applyBorder="1"/>
    <xf numFmtId="1" fontId="20" fillId="0" borderId="0" xfId="0" applyNumberFormat="1" applyFont="1" applyAlignment="1">
      <alignment horizontal="center"/>
    </xf>
    <xf numFmtId="1" fontId="20" fillId="8" borderId="8" xfId="0" applyNumberFormat="1" applyFont="1" applyFill="1" applyBorder="1" applyAlignment="1">
      <alignment horizontal="center"/>
    </xf>
    <xf numFmtId="0" fontId="24" fillId="0" borderId="1" xfId="0" applyFont="1" applyBorder="1" applyAlignment="1">
      <alignment horizontal="left" indent="5"/>
    </xf>
    <xf numFmtId="0" fontId="3" fillId="0" borderId="1" xfId="0" applyFont="1" applyBorder="1" applyAlignment="1">
      <alignment horizontal="left" vertical="top" wrapText="1" indent="5"/>
    </xf>
    <xf numFmtId="3" fontId="3" fillId="8" borderId="5" xfId="0" applyNumberFormat="1" applyFont="1" applyFill="1" applyBorder="1" applyAlignment="1">
      <alignment horizontal="center" wrapText="1"/>
    </xf>
    <xf numFmtId="168" fontId="3" fillId="7" borderId="0" xfId="0" applyNumberFormat="1" applyFont="1" applyFill="1" applyAlignment="1">
      <alignment horizontal="center" wrapText="1"/>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168" fontId="3" fillId="0" borderId="0" xfId="0" applyNumberFormat="1" applyFont="1" applyAlignment="1">
      <alignment horizontal="center"/>
    </xf>
    <xf numFmtId="168" fontId="3" fillId="8" borderId="0" xfId="0" applyNumberFormat="1" applyFont="1" applyFill="1" applyAlignment="1">
      <alignment horizontal="center"/>
    </xf>
    <xf numFmtId="0" fontId="3" fillId="0" borderId="1" xfId="0" applyFont="1" applyBorder="1"/>
    <xf numFmtId="168" fontId="20" fillId="0" borderId="0" xfId="0" applyNumberFormat="1" applyFont="1" applyAlignment="1">
      <alignment horizontal="center"/>
    </xf>
    <xf numFmtId="168" fontId="20" fillId="16" borderId="33" xfId="0" applyNumberFormat="1" applyFont="1" applyFill="1" applyBorder="1" applyAlignment="1">
      <alignment horizontal="center"/>
    </xf>
    <xf numFmtId="168" fontId="3" fillId="0" borderId="8" xfId="0" applyNumberFormat="1" applyFont="1" applyBorder="1" applyAlignment="1">
      <alignment horizontal="center"/>
    </xf>
    <xf numFmtId="0" fontId="3" fillId="8" borderId="5" xfId="0" applyFont="1" applyFill="1" applyBorder="1"/>
    <xf numFmtId="168" fontId="20" fillId="8" borderId="0" xfId="0" applyNumberFormat="1" applyFont="1" applyFill="1" applyAlignment="1">
      <alignment horizontal="center"/>
    </xf>
    <xf numFmtId="168" fontId="3" fillId="7" borderId="0" xfId="0" applyNumberFormat="1" applyFont="1" applyFill="1" applyAlignment="1">
      <alignment horizontal="center"/>
    </xf>
    <xf numFmtId="169" fontId="3" fillId="0" borderId="0" xfId="0" applyNumberFormat="1" applyFont="1" applyAlignment="1">
      <alignment horizontal="center"/>
    </xf>
    <xf numFmtId="0" fontId="3" fillId="7" borderId="5" xfId="0" applyFont="1" applyFill="1" applyBorder="1"/>
    <xf numFmtId="3" fontId="3" fillId="7" borderId="8" xfId="0" applyNumberFormat="1" applyFont="1" applyFill="1" applyBorder="1" applyAlignment="1">
      <alignment horizontal="center"/>
    </xf>
    <xf numFmtId="168" fontId="3" fillId="7" borderId="5" xfId="0" applyNumberFormat="1" applyFont="1" applyFill="1" applyBorder="1" applyAlignment="1">
      <alignment horizontal="center"/>
    </xf>
    <xf numFmtId="168" fontId="20" fillId="7" borderId="5" xfId="0" applyNumberFormat="1" applyFont="1" applyFill="1" applyBorder="1" applyAlignment="1">
      <alignment horizontal="center"/>
    </xf>
    <xf numFmtId="0" fontId="3" fillId="0" borderId="4" xfId="0" applyFont="1" applyBorder="1"/>
    <xf numFmtId="0" fontId="3" fillId="0" borderId="8" xfId="0" applyFont="1" applyBorder="1" applyAlignment="1">
      <alignment horizontal="center"/>
    </xf>
    <xf numFmtId="0" fontId="3" fillId="9" borderId="33" xfId="0" applyFont="1" applyFill="1" applyBorder="1" applyAlignment="1">
      <alignment horizontal="center"/>
    </xf>
    <xf numFmtId="0" fontId="3" fillId="9" borderId="6" xfId="0" applyFont="1" applyFill="1" applyBorder="1" applyAlignment="1">
      <alignment horizontal="center"/>
    </xf>
    <xf numFmtId="0" fontId="12" fillId="9" borderId="4" xfId="0" applyFont="1" applyFill="1" applyBorder="1"/>
    <xf numFmtId="168" fontId="20" fillId="16" borderId="5" xfId="0" applyNumberFormat="1" applyFont="1" applyFill="1" applyBorder="1" applyAlignment="1">
      <alignment horizontal="center"/>
    </xf>
    <xf numFmtId="0" fontId="1" fillId="16" borderId="0" xfId="0" applyFont="1" applyFill="1"/>
    <xf numFmtId="0" fontId="3" fillId="0" borderId="3" xfId="0" applyFont="1" applyBorder="1" applyAlignment="1">
      <alignment horizontal="center"/>
    </xf>
    <xf numFmtId="0" fontId="3" fillId="0" borderId="2" xfId="0" applyFont="1" applyBorder="1" applyAlignment="1">
      <alignment horizontal="center"/>
    </xf>
    <xf numFmtId="168" fontId="3" fillId="0" borderId="4" xfId="0" applyNumberFormat="1" applyFont="1" applyBorder="1" applyAlignment="1">
      <alignment horizontal="center"/>
    </xf>
    <xf numFmtId="168" fontId="3" fillId="0" borderId="33" xfId="0" applyNumberFormat="1" applyFont="1" applyBorder="1" applyAlignment="1">
      <alignment horizontal="center"/>
    </xf>
    <xf numFmtId="168" fontId="3" fillId="7" borderId="33" xfId="0" applyNumberFormat="1" applyFont="1" applyFill="1" applyBorder="1" applyAlignment="1">
      <alignment horizontal="center"/>
    </xf>
    <xf numFmtId="169" fontId="3" fillId="7" borderId="8" xfId="0" applyNumberFormat="1" applyFont="1" applyFill="1" applyBorder="1" applyAlignment="1">
      <alignment horizontal="center"/>
    </xf>
    <xf numFmtId="168" fontId="20" fillId="0" borderId="4" xfId="0" applyNumberFormat="1" applyFont="1" applyBorder="1" applyAlignment="1">
      <alignment horizontal="center"/>
    </xf>
    <xf numFmtId="168" fontId="20" fillId="0" borderId="33" xfId="0" applyNumberFormat="1" applyFont="1" applyBorder="1" applyAlignment="1">
      <alignment horizontal="center"/>
    </xf>
    <xf numFmtId="168" fontId="20" fillId="7" borderId="33" xfId="0" applyNumberFormat="1" applyFont="1" applyFill="1" applyBorder="1" applyAlignment="1">
      <alignment horizontal="center"/>
    </xf>
    <xf numFmtId="169" fontId="3" fillId="0" borderId="3" xfId="0" applyNumberFormat="1" applyFont="1" applyBorder="1" applyAlignment="1">
      <alignment horizontal="center"/>
    </xf>
    <xf numFmtId="169" fontId="3" fillId="0" borderId="8" xfId="0" applyNumberFormat="1" applyFont="1" applyBorder="1" applyAlignment="1">
      <alignment horizontal="center"/>
    </xf>
    <xf numFmtId="0" fontId="20" fillId="0" borderId="1" xfId="0" applyFont="1" applyBorder="1"/>
    <xf numFmtId="172" fontId="3" fillId="0" borderId="0" xfId="0" applyNumberFormat="1" applyFont="1"/>
    <xf numFmtId="0" fontId="12" fillId="3" borderId="38" xfId="0" applyFont="1" applyFill="1" applyBorder="1"/>
    <xf numFmtId="0" fontId="12" fillId="3" borderId="34" xfId="0" applyFont="1" applyFill="1" applyBorder="1"/>
    <xf numFmtId="0" fontId="12" fillId="3" borderId="24" xfId="0" applyFont="1" applyFill="1" applyBorder="1"/>
    <xf numFmtId="0" fontId="12" fillId="3" borderId="34" xfId="0" applyFont="1" applyFill="1" applyBorder="1" applyAlignment="1">
      <alignment horizontal="center"/>
    </xf>
    <xf numFmtId="0" fontId="12" fillId="3" borderId="24" xfId="0" applyFont="1" applyFill="1" applyBorder="1" applyAlignment="1">
      <alignment horizontal="center"/>
    </xf>
    <xf numFmtId="168" fontId="3" fillId="8" borderId="8" xfId="0" applyNumberFormat="1" applyFont="1" applyFill="1" applyBorder="1" applyAlignment="1">
      <alignment horizontal="center"/>
    </xf>
    <xf numFmtId="168" fontId="20" fillId="8" borderId="5" xfId="0" applyNumberFormat="1" applyFont="1" applyFill="1" applyBorder="1" applyAlignment="1">
      <alignment horizontal="center"/>
    </xf>
    <xf numFmtId="0" fontId="20" fillId="0" borderId="4" xfId="0" applyFont="1" applyBorder="1"/>
    <xf numFmtId="0" fontId="20" fillId="0" borderId="5" xfId="0" applyFont="1" applyBorder="1"/>
    <xf numFmtId="168" fontId="20" fillId="0" borderId="1" xfId="0" applyNumberFormat="1" applyFont="1" applyBorder="1" applyAlignment="1">
      <alignment horizontal="center"/>
    </xf>
    <xf numFmtId="168" fontId="3" fillId="0" borderId="1" xfId="0" applyNumberFormat="1" applyFont="1" applyBorder="1" applyAlignment="1">
      <alignment horizontal="center"/>
    </xf>
    <xf numFmtId="168" fontId="3" fillId="0" borderId="7" xfId="0" applyNumberFormat="1" applyFont="1" applyBorder="1" applyAlignment="1">
      <alignment horizontal="center"/>
    </xf>
    <xf numFmtId="0" fontId="27" fillId="0" borderId="1" xfId="0" applyFont="1" applyBorder="1" applyAlignment="1">
      <alignment horizontal="left" wrapText="1"/>
    </xf>
    <xf numFmtId="169" fontId="3" fillId="0" borderId="7" xfId="0" applyNumberFormat="1" applyFont="1" applyBorder="1" applyAlignment="1">
      <alignment horizontal="center"/>
    </xf>
    <xf numFmtId="0" fontId="12" fillId="0" borderId="0" xfId="0" applyFont="1" applyAlignment="1">
      <alignment vertical="top" wrapText="1"/>
    </xf>
    <xf numFmtId="169" fontId="3" fillId="8" borderId="8" xfId="0" applyNumberFormat="1" applyFont="1" applyFill="1" applyBorder="1" applyAlignment="1">
      <alignment horizontal="center"/>
    </xf>
    <xf numFmtId="168" fontId="1" fillId="0" borderId="3" xfId="0" applyNumberFormat="1" applyFont="1" applyBorder="1"/>
    <xf numFmtId="168" fontId="20" fillId="7" borderId="0" xfId="0" applyNumberFormat="1" applyFont="1" applyFill="1" applyAlignment="1">
      <alignment horizontal="center"/>
    </xf>
    <xf numFmtId="3" fontId="3" fillId="0" borderId="40" xfId="0" applyNumberFormat="1" applyFont="1" applyBorder="1" applyAlignment="1">
      <alignment horizontal="right"/>
    </xf>
    <xf numFmtId="0" fontId="20" fillId="0" borderId="1" xfId="0" applyFont="1" applyBorder="1" applyAlignment="1">
      <alignment horizontal="left"/>
    </xf>
    <xf numFmtId="169" fontId="3" fillId="0" borderId="0" xfId="0" applyNumberFormat="1" applyFont="1"/>
    <xf numFmtId="168" fontId="3" fillId="18" borderId="0" xfId="0" applyNumberFormat="1" applyFont="1" applyFill="1" applyAlignment="1">
      <alignment horizontal="center" wrapText="1"/>
    </xf>
    <xf numFmtId="169" fontId="3" fillId="16" borderId="8" xfId="0" applyNumberFormat="1" applyFont="1" applyFill="1" applyBorder="1" applyAlignment="1">
      <alignment horizontal="center"/>
    </xf>
    <xf numFmtId="2" fontId="3" fillId="0" borderId="0" xfId="0" applyNumberFormat="1" applyFont="1"/>
    <xf numFmtId="2" fontId="3" fillId="0" borderId="0" xfId="0" applyNumberFormat="1" applyFont="1" applyAlignment="1">
      <alignment horizontal="right"/>
    </xf>
    <xf numFmtId="2" fontId="3" fillId="0" borderId="5" xfId="0" applyNumberFormat="1" applyFont="1" applyBorder="1"/>
    <xf numFmtId="2" fontId="3" fillId="0" borderId="5" xfId="0" applyNumberFormat="1" applyFont="1" applyBorder="1" applyAlignment="1">
      <alignment horizontal="right"/>
    </xf>
    <xf numFmtId="0" fontId="12" fillId="0" borderId="14" xfId="0" applyFont="1" applyBorder="1"/>
    <xf numFmtId="0" fontId="12" fillId="0" borderId="13" xfId="0" applyFont="1" applyBorder="1"/>
    <xf numFmtId="0" fontId="3" fillId="0" borderId="13" xfId="0" applyFont="1" applyBorder="1" applyAlignment="1">
      <alignment horizontal="right"/>
    </xf>
    <xf numFmtId="0" fontId="3" fillId="0" borderId="12" xfId="0" applyFont="1" applyBorder="1"/>
    <xf numFmtId="168" fontId="3" fillId="19" borderId="0" xfId="0" applyNumberFormat="1" applyFont="1" applyFill="1" applyAlignment="1">
      <alignment horizontal="center"/>
    </xf>
    <xf numFmtId="168" fontId="3" fillId="19" borderId="0" xfId="0" applyNumberFormat="1" applyFont="1" applyFill="1" applyAlignment="1">
      <alignment horizontal="center" wrapText="1"/>
    </xf>
    <xf numFmtId="169" fontId="3" fillId="11" borderId="8" xfId="0" applyNumberFormat="1" applyFont="1" applyFill="1" applyBorder="1" applyAlignment="1">
      <alignment horizontal="center"/>
    </xf>
    <xf numFmtId="0" fontId="1" fillId="19" borderId="0" xfId="0" applyFont="1" applyFill="1"/>
    <xf numFmtId="0" fontId="3" fillId="0" borderId="0" xfId="0" applyFont="1" applyAlignment="1">
      <alignment horizontal="left" indent="4"/>
    </xf>
    <xf numFmtId="169" fontId="3" fillId="0" borderId="8" xfId="0" applyNumberFormat="1" applyFont="1" applyBorder="1"/>
    <xf numFmtId="0" fontId="3" fillId="0" borderId="7" xfId="0" applyFont="1" applyBorder="1" applyAlignment="1">
      <alignment horizontal="left" indent="4"/>
    </xf>
    <xf numFmtId="3" fontId="29" fillId="0" borderId="0" xfId="0" applyNumberFormat="1" applyFont="1"/>
    <xf numFmtId="0" fontId="3" fillId="0" borderId="3" xfId="0" applyFont="1" applyBorder="1"/>
    <xf numFmtId="173" fontId="3" fillId="0" borderId="0" xfId="0" applyNumberFormat="1" applyFont="1"/>
    <xf numFmtId="0" fontId="3" fillId="10" borderId="4" xfId="0" applyFont="1" applyFill="1" applyBorder="1"/>
    <xf numFmtId="0" fontId="3" fillId="10" borderId="5" xfId="0" applyFont="1" applyFill="1" applyBorder="1"/>
    <xf numFmtId="0" fontId="3" fillId="10" borderId="6" xfId="0" applyFont="1" applyFill="1" applyBorder="1"/>
    <xf numFmtId="0" fontId="3" fillId="19" borderId="1" xfId="0" applyFont="1" applyFill="1" applyBorder="1" applyAlignment="1">
      <alignment horizontal="left" vertical="top" wrapText="1" indent="3"/>
    </xf>
    <xf numFmtId="168" fontId="3" fillId="19" borderId="1" xfId="0" applyNumberFormat="1" applyFont="1" applyFill="1" applyBorder="1" applyAlignment="1">
      <alignment horizontal="center"/>
    </xf>
    <xf numFmtId="0" fontId="3" fillId="0" borderId="13" xfId="0" applyFont="1" applyBorder="1"/>
    <xf numFmtId="3" fontId="3"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0" fillId="0" borderId="0" xfId="0" applyFont="1" applyAlignment="1">
      <alignment horizontal="center"/>
    </xf>
    <xf numFmtId="10" fontId="3"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9" borderId="33" xfId="0" applyNumberFormat="1" applyFont="1" applyFill="1" applyBorder="1" applyAlignment="1">
      <alignment horizontal="center"/>
    </xf>
    <xf numFmtId="0" fontId="1" fillId="19" borderId="0" xfId="0" applyFont="1" applyFill="1" applyAlignment="1">
      <alignment horizontal="center"/>
    </xf>
    <xf numFmtId="10" fontId="1" fillId="19" borderId="0" xfId="0" applyNumberFormat="1" applyFont="1" applyFill="1" applyAlignment="1">
      <alignment horizontal="center"/>
    </xf>
    <xf numFmtId="10" fontId="3" fillId="19" borderId="5" xfId="0" applyNumberFormat="1" applyFont="1" applyFill="1" applyBorder="1"/>
    <xf numFmtId="10" fontId="3" fillId="19" borderId="4" xfId="0" applyNumberFormat="1" applyFont="1" applyFill="1" applyBorder="1"/>
    <xf numFmtId="10" fontId="3" fillId="19" borderId="5" xfId="0" applyNumberFormat="1" applyFont="1" applyFill="1" applyBorder="1" applyAlignment="1">
      <alignment horizontal="center"/>
    </xf>
    <xf numFmtId="10" fontId="1" fillId="19" borderId="5" xfId="0" applyNumberFormat="1" applyFont="1" applyFill="1" applyBorder="1" applyAlignment="1">
      <alignment horizontal="center"/>
    </xf>
    <xf numFmtId="0" fontId="20" fillId="19" borderId="0" xfId="0" applyFont="1" applyFill="1"/>
    <xf numFmtId="0" fontId="20" fillId="19" borderId="1" xfId="0" applyFont="1" applyFill="1" applyBorder="1"/>
    <xf numFmtId="0" fontId="20" fillId="19" borderId="0" xfId="0" applyFont="1" applyFill="1" applyAlignment="1">
      <alignment horizontal="center"/>
    </xf>
    <xf numFmtId="0" fontId="20" fillId="19" borderId="8" xfId="0" applyFont="1" applyFill="1" applyBorder="1"/>
    <xf numFmtId="0" fontId="20" fillId="19" borderId="7" xfId="0" applyFont="1" applyFill="1" applyBorder="1"/>
    <xf numFmtId="0" fontId="20" fillId="19" borderId="8" xfId="0" applyFont="1" applyFill="1" applyBorder="1" applyAlignment="1">
      <alignment horizontal="center"/>
    </xf>
    <xf numFmtId="0" fontId="1" fillId="19" borderId="8" xfId="0" applyFont="1" applyFill="1" applyBorder="1" applyAlignment="1">
      <alignment horizontal="center"/>
    </xf>
    <xf numFmtId="1" fontId="1" fillId="19" borderId="8" xfId="0" applyNumberFormat="1" applyFont="1" applyFill="1" applyBorder="1" applyAlignment="1">
      <alignment horizontal="center"/>
    </xf>
    <xf numFmtId="0" fontId="1" fillId="0" borderId="8" xfId="0" applyFont="1" applyBorder="1" applyAlignment="1">
      <alignment horizontal="center"/>
    </xf>
    <xf numFmtId="0" fontId="20" fillId="0" borderId="8" xfId="0" applyFont="1" applyBorder="1" applyAlignment="1">
      <alignment horizontal="center"/>
    </xf>
    <xf numFmtId="10" fontId="3" fillId="0" borderId="5" xfId="0" applyNumberFormat="1" applyFont="1" applyBorder="1"/>
    <xf numFmtId="10" fontId="3" fillId="0" borderId="4" xfId="0" applyNumberFormat="1" applyFont="1" applyBorder="1"/>
    <xf numFmtId="10" fontId="3" fillId="0" borderId="5" xfId="0" applyNumberFormat="1" applyFont="1" applyBorder="1" applyAlignment="1">
      <alignment horizontal="center"/>
    </xf>
    <xf numFmtId="1" fontId="1" fillId="0" borderId="8" xfId="0" applyNumberFormat="1" applyFont="1" applyBorder="1" applyAlignment="1">
      <alignment horizontal="center"/>
    </xf>
    <xf numFmtId="0" fontId="12" fillId="0" borderId="4" xfId="0" applyFont="1" applyBorder="1" applyAlignment="1">
      <alignment horizontal="center"/>
    </xf>
    <xf numFmtId="0" fontId="3" fillId="0" borderId="8" xfId="0" applyFont="1" applyBorder="1" applyAlignment="1">
      <alignment horizontal="left" vertical="top" wrapText="1"/>
    </xf>
    <xf numFmtId="0" fontId="3" fillId="8" borderId="0" xfId="0" applyFont="1" applyFill="1"/>
    <xf numFmtId="1" fontId="3" fillId="8" borderId="0" xfId="0" applyNumberFormat="1" applyFont="1" applyFill="1"/>
    <xf numFmtId="0" fontId="3" fillId="0" borderId="38" xfId="0" applyFont="1" applyBorder="1"/>
    <xf numFmtId="0" fontId="12" fillId="0" borderId="7" xfId="0" applyFont="1" applyBorder="1" applyAlignment="1">
      <alignment wrapText="1"/>
    </xf>
    <xf numFmtId="0" fontId="1" fillId="7" borderId="0" xfId="0" applyFont="1" applyFill="1" applyAlignment="1">
      <alignment horizontal="center"/>
    </xf>
    <xf numFmtId="168" fontId="12" fillId="0" borderId="0" xfId="0" applyNumberFormat="1" applyFont="1" applyAlignment="1">
      <alignment horizontal="center"/>
    </xf>
    <xf numFmtId="1" fontId="3" fillId="0" borderId="20" xfId="0" applyNumberFormat="1" applyFont="1" applyBorder="1"/>
    <xf numFmtId="1" fontId="3" fillId="0" borderId="15" xfId="0" applyNumberFormat="1" applyFont="1" applyBorder="1"/>
    <xf numFmtId="167" fontId="3" fillId="0" borderId="15"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3" fillId="0" borderId="1" xfId="0" applyFont="1" applyBorder="1" applyAlignment="1">
      <alignment horizontal="left" indent="2"/>
    </xf>
    <xf numFmtId="0" fontId="31" fillId="0" borderId="1" xfId="0" applyFont="1" applyBorder="1" applyAlignment="1">
      <alignment horizontal="left" indent="1"/>
    </xf>
    <xf numFmtId="0" fontId="3" fillId="20" borderId="1" xfId="0" applyFont="1" applyFill="1" applyBorder="1" applyAlignment="1">
      <alignment horizontal="left"/>
    </xf>
    <xf numFmtId="0" fontId="3" fillId="20" borderId="4" xfId="0" applyFont="1" applyFill="1" applyBorder="1"/>
    <xf numFmtId="0" fontId="3" fillId="14" borderId="0" xfId="0" applyFont="1" applyFill="1" applyAlignment="1">
      <alignment horizontal="left" wrapText="1" indent="1"/>
    </xf>
    <xf numFmtId="168" fontId="12" fillId="8" borderId="0" xfId="0" applyNumberFormat="1" applyFont="1" applyFill="1" applyAlignment="1">
      <alignment horizontal="center"/>
    </xf>
    <xf numFmtId="0" fontId="3" fillId="0" borderId="0" xfId="0" applyFont="1" applyAlignment="1">
      <alignment horizontal="left" wrapText="1" indent="1"/>
    </xf>
    <xf numFmtId="1" fontId="3" fillId="7" borderId="0" xfId="0" applyNumberFormat="1" applyFont="1" applyFill="1"/>
    <xf numFmtId="1" fontId="3" fillId="3" borderId="0" xfId="0" applyNumberFormat="1" applyFont="1" applyFill="1"/>
    <xf numFmtId="167" fontId="3" fillId="7" borderId="15" xfId="0" applyNumberFormat="1" applyFont="1" applyFill="1" applyBorder="1"/>
    <xf numFmtId="167" fontId="3" fillId="0" borderId="0" xfId="0" applyNumberFormat="1" applyFont="1"/>
    <xf numFmtId="168" fontId="3" fillId="8" borderId="33" xfId="0" applyNumberFormat="1" applyFont="1" applyFill="1" applyBorder="1" applyAlignment="1">
      <alignment horizontal="center"/>
    </xf>
    <xf numFmtId="1" fontId="3" fillId="7" borderId="5" xfId="0" applyNumberFormat="1" applyFont="1" applyFill="1" applyBorder="1" applyAlignment="1">
      <alignment horizontal="center"/>
    </xf>
    <xf numFmtId="168" fontId="3" fillId="8" borderId="2" xfId="0" applyNumberFormat="1" applyFont="1" applyFill="1" applyBorder="1" applyAlignment="1">
      <alignment horizontal="center"/>
    </xf>
    <xf numFmtId="168" fontId="20" fillId="8" borderId="3" xfId="0" applyNumberFormat="1" applyFont="1" applyFill="1" applyBorder="1" applyAlignment="1">
      <alignment horizontal="center"/>
    </xf>
    <xf numFmtId="0" fontId="12" fillId="7" borderId="4" xfId="0" applyFont="1" applyFill="1" applyBorder="1" applyAlignment="1">
      <alignment horizontal="centerContinuous" vertical="center"/>
    </xf>
    <xf numFmtId="0" fontId="12" fillId="7" borderId="6" xfId="0" applyFont="1" applyFill="1" applyBorder="1" applyAlignment="1">
      <alignment horizontal="centerContinuous" vertical="center"/>
    </xf>
    <xf numFmtId="0" fontId="12" fillId="7" borderId="1" xfId="0" applyFont="1" applyFill="1" applyBorder="1" applyAlignment="1">
      <alignment horizontal="centerContinuous" vertical="center"/>
    </xf>
    <xf numFmtId="0" fontId="12" fillId="7" borderId="0" xfId="0" applyFont="1" applyFill="1" applyAlignment="1">
      <alignment horizontal="centerContinuous" vertical="center"/>
    </xf>
    <xf numFmtId="0" fontId="12" fillId="7" borderId="9" xfId="0" applyFont="1" applyFill="1" applyBorder="1" applyAlignment="1">
      <alignment horizontal="centerContinuous"/>
    </xf>
    <xf numFmtId="0" fontId="12" fillId="7" borderId="10" xfId="0" applyFont="1" applyFill="1" applyBorder="1" applyAlignment="1">
      <alignment horizontal="centerContinuous"/>
    </xf>
    <xf numFmtId="168" fontId="20" fillId="0" borderId="8" xfId="0" applyNumberFormat="1" applyFont="1" applyBorder="1" applyAlignment="1">
      <alignment horizontal="center"/>
    </xf>
    <xf numFmtId="1" fontId="3" fillId="8" borderId="5" xfId="0" applyNumberFormat="1" applyFont="1" applyFill="1" applyBorder="1"/>
    <xf numFmtId="0" fontId="3" fillId="0" borderId="16" xfId="0" applyFont="1" applyBorder="1"/>
    <xf numFmtId="0" fontId="3" fillId="0" borderId="20" xfId="0" applyFont="1" applyBorder="1"/>
    <xf numFmtId="1" fontId="3" fillId="8" borderId="20" xfId="0" applyNumberFormat="1" applyFont="1" applyFill="1" applyBorder="1"/>
    <xf numFmtId="0" fontId="3" fillId="0" borderId="17" xfId="0" applyFont="1" applyBorder="1" applyAlignment="1">
      <alignment horizontal="left" wrapText="1" indent="1"/>
    </xf>
    <xf numFmtId="0" fontId="3" fillId="0" borderId="17" xfId="0" applyFont="1" applyBorder="1" applyAlignment="1">
      <alignment horizontal="left" wrapText="1" indent="2"/>
    </xf>
    <xf numFmtId="0" fontId="3" fillId="0" borderId="18" xfId="0" applyFont="1" applyBorder="1" applyAlignment="1">
      <alignment horizontal="left" wrapText="1" indent="2"/>
    </xf>
    <xf numFmtId="0" fontId="3" fillId="0" borderId="15" xfId="0" applyFont="1" applyBorder="1"/>
    <xf numFmtId="1" fontId="3" fillId="0" borderId="41" xfId="0" applyNumberFormat="1" applyFont="1" applyBorder="1"/>
    <xf numFmtId="1" fontId="3" fillId="3" borderId="20" xfId="0" applyNumberFormat="1" applyFont="1" applyFill="1" applyBorder="1"/>
    <xf numFmtId="1" fontId="3" fillId="21" borderId="20" xfId="0" applyNumberFormat="1" applyFont="1" applyFill="1" applyBorder="1"/>
    <xf numFmtId="1" fontId="3" fillId="21" borderId="0" xfId="0" applyNumberFormat="1" applyFont="1" applyFill="1"/>
    <xf numFmtId="1" fontId="3" fillId="0" borderId="42" xfId="0" applyNumberFormat="1" applyFont="1" applyBorder="1"/>
    <xf numFmtId="1" fontId="3" fillId="3" borderId="15" xfId="0" applyNumberFormat="1" applyFont="1" applyFill="1" applyBorder="1"/>
    <xf numFmtId="1" fontId="3" fillId="21" borderId="15" xfId="0" applyNumberFormat="1" applyFont="1" applyFill="1" applyBorder="1"/>
    <xf numFmtId="1" fontId="3" fillId="8" borderId="15" xfId="0" applyNumberFormat="1" applyFont="1" applyFill="1" applyBorder="1"/>
    <xf numFmtId="1" fontId="3" fillId="7" borderId="15" xfId="0" applyNumberFormat="1" applyFont="1" applyFill="1" applyBorder="1"/>
    <xf numFmtId="167" fontId="3" fillId="8" borderId="15" xfId="0" applyNumberFormat="1" applyFont="1" applyFill="1" applyBorder="1"/>
    <xf numFmtId="1" fontId="3" fillId="0" borderId="1" xfId="0" applyNumberFormat="1" applyFont="1" applyBorder="1"/>
    <xf numFmtId="0" fontId="3" fillId="0" borderId="7" xfId="0" applyFont="1" applyBorder="1" applyAlignment="1">
      <alignment horizontal="right"/>
    </xf>
    <xf numFmtId="0" fontId="3" fillId="0" borderId="33" xfId="0" applyFont="1" applyBorder="1"/>
    <xf numFmtId="1" fontId="3" fillId="0" borderId="33" xfId="0" applyNumberFormat="1" applyFont="1" applyBorder="1"/>
    <xf numFmtId="168" fontId="3" fillId="0" borderId="6" xfId="0" applyNumberFormat="1" applyFont="1" applyBorder="1"/>
    <xf numFmtId="0" fontId="3" fillId="0" borderId="7" xfId="0" applyFont="1" applyBorder="1" applyAlignment="1">
      <alignment horizontal="center"/>
    </xf>
    <xf numFmtId="3" fontId="3" fillId="0" borderId="0" xfId="0" applyNumberFormat="1" applyFont="1"/>
    <xf numFmtId="168" fontId="3" fillId="8" borderId="3" xfId="0" applyNumberFormat="1" applyFont="1" applyFill="1" applyBorder="1" applyAlignment="1">
      <alignment horizontal="center"/>
    </xf>
    <xf numFmtId="0" fontId="12" fillId="0" borderId="33" xfId="0" applyFont="1" applyBorder="1" applyAlignment="1">
      <alignment horizontal="center"/>
    </xf>
    <xf numFmtId="0" fontId="20" fillId="0" borderId="1" xfId="0" applyFont="1" applyBorder="1" applyAlignment="1">
      <alignment horizontal="center"/>
    </xf>
    <xf numFmtId="168" fontId="3" fillId="8" borderId="5" xfId="0" applyNumberFormat="1" applyFont="1" applyFill="1" applyBorder="1" applyAlignment="1">
      <alignment horizontal="center"/>
    </xf>
    <xf numFmtId="3" fontId="3" fillId="0" borderId="5" xfId="0" applyNumberFormat="1" applyFont="1" applyBorder="1"/>
    <xf numFmtId="3" fontId="3" fillId="0" borderId="6" xfId="0" applyNumberFormat="1" applyFont="1" applyBorder="1"/>
    <xf numFmtId="3" fontId="3" fillId="0" borderId="1" xfId="0" applyNumberFormat="1" applyFont="1" applyBorder="1"/>
    <xf numFmtId="0" fontId="3"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24" xfId="0" applyFont="1" applyBorder="1"/>
    <xf numFmtId="169" fontId="3" fillId="12" borderId="8" xfId="0" applyNumberFormat="1" applyFont="1" applyFill="1" applyBorder="1"/>
    <xf numFmtId="4" fontId="3" fillId="0" borderId="0" xfId="0" applyNumberFormat="1" applyFont="1"/>
    <xf numFmtId="0" fontId="3" fillId="8" borderId="3" xfId="0" applyFont="1" applyFill="1" applyBorder="1"/>
    <xf numFmtId="3" fontId="3" fillId="0" borderId="3" xfId="0" applyNumberFormat="1" applyFont="1" applyBorder="1"/>
    <xf numFmtId="169" fontId="3" fillId="12" borderId="2" xfId="0" applyNumberFormat="1" applyFont="1" applyFill="1" applyBorder="1"/>
    <xf numFmtId="3" fontId="3" fillId="0" borderId="4" xfId="0" applyNumberFormat="1" applyFont="1" applyBorder="1"/>
    <xf numFmtId="1" fontId="3" fillId="8" borderId="33" xfId="0" applyNumberFormat="1" applyFont="1" applyFill="1" applyBorder="1"/>
    <xf numFmtId="0" fontId="1" fillId="0" borderId="0" xfId="0" applyFont="1" applyAlignment="1">
      <alignment horizontal="center" wrapText="1"/>
    </xf>
    <xf numFmtId="0" fontId="3" fillId="8" borderId="4" xfId="0" applyFont="1" applyFill="1" applyBorder="1"/>
    <xf numFmtId="0" fontId="3" fillId="0" borderId="0" xfId="0" applyFont="1" applyAlignment="1">
      <alignment horizontal="right"/>
    </xf>
    <xf numFmtId="168" fontId="3" fillId="12" borderId="0" xfId="0" applyNumberFormat="1" applyFont="1" applyFill="1" applyAlignment="1">
      <alignment horizontal="center"/>
    </xf>
    <xf numFmtId="168" fontId="3" fillId="22" borderId="0" xfId="0" applyNumberFormat="1" applyFont="1" applyFill="1" applyAlignment="1">
      <alignment horizontal="center"/>
    </xf>
    <xf numFmtId="168" fontId="20" fillId="23" borderId="0" xfId="0" applyNumberFormat="1" applyFont="1" applyFill="1" applyAlignment="1">
      <alignment horizontal="center"/>
    </xf>
    <xf numFmtId="0" fontId="3" fillId="20" borderId="1" xfId="0" applyFont="1" applyFill="1" applyBorder="1" applyAlignment="1">
      <alignment horizontal="left" wrapText="1"/>
    </xf>
    <xf numFmtId="0" fontId="3" fillId="0" borderId="43" xfId="0" applyFont="1" applyBorder="1" applyAlignment="1">
      <alignment horizontal="left" indent="1"/>
    </xf>
    <xf numFmtId="0" fontId="12" fillId="0" borderId="43" xfId="0" applyFont="1" applyBorder="1" applyAlignment="1">
      <alignment horizontal="left"/>
    </xf>
    <xf numFmtId="168" fontId="12" fillId="8" borderId="3" xfId="0" applyNumberFormat="1" applyFont="1" applyFill="1" applyBorder="1" applyAlignment="1">
      <alignment horizontal="center"/>
    </xf>
    <xf numFmtId="0" fontId="1" fillId="0" borderId="4" xfId="0" applyFont="1" applyBorder="1"/>
    <xf numFmtId="0" fontId="1" fillId="0" borderId="1" xfId="0" applyFont="1" applyBorder="1" applyAlignment="1">
      <alignment horizontal="left" indent="1"/>
    </xf>
    <xf numFmtId="0" fontId="1" fillId="0" borderId="3" xfId="0" applyFont="1" applyBorder="1" applyAlignment="1">
      <alignment horizontal="left" indent="1"/>
    </xf>
    <xf numFmtId="0" fontId="1" fillId="0" borderId="7" xfId="0" applyFont="1" applyBorder="1" applyAlignment="1">
      <alignment horizontal="left"/>
    </xf>
    <xf numFmtId="0" fontId="1" fillId="0" borderId="4" xfId="0" applyFont="1" applyBorder="1" applyAlignment="1">
      <alignment horizontal="left"/>
    </xf>
    <xf numFmtId="0" fontId="32" fillId="0" borderId="0" xfId="0" applyFont="1" applyAlignment="1">
      <alignment horizontal="center"/>
    </xf>
    <xf numFmtId="174" fontId="1" fillId="0" borderId="0" xfId="0" applyNumberFormat="1" applyFont="1" applyAlignment="1">
      <alignment horizontal="center"/>
    </xf>
    <xf numFmtId="0" fontId="1" fillId="24"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33" fillId="0" borderId="0" xfId="0" applyFont="1"/>
    <xf numFmtId="0" fontId="34" fillId="14" borderId="0" xfId="0" applyFont="1" applyFill="1"/>
    <xf numFmtId="2" fontId="34" fillId="14" borderId="0" xfId="0" applyNumberFormat="1" applyFont="1" applyFill="1"/>
    <xf numFmtId="0" fontId="7" fillId="0" borderId="0" xfId="0" applyFont="1"/>
    <xf numFmtId="0" fontId="7" fillId="25" borderId="0" xfId="0" applyFont="1" applyFill="1" applyAlignment="1">
      <alignment horizontal="center"/>
    </xf>
    <xf numFmtId="0" fontId="12" fillId="0" borderId="6" xfId="0" applyFont="1" applyBorder="1" applyAlignment="1">
      <alignment horizontal="center"/>
    </xf>
    <xf numFmtId="9" fontId="1" fillId="0" borderId="0" xfId="0" applyNumberFormat="1" applyFont="1"/>
    <xf numFmtId="0" fontId="23" fillId="0" borderId="0" xfId="0" applyFont="1" applyAlignment="1">
      <alignment horizontal="left" vertical="top" wrapText="1"/>
    </xf>
    <xf numFmtId="168" fontId="3" fillId="8" borderId="0" xfId="0" applyNumberFormat="1" applyFont="1" applyFill="1" applyAlignment="1">
      <alignment horizontal="right" vertical="top" wrapText="1"/>
    </xf>
    <xf numFmtId="175" fontId="3" fillId="0" borderId="0" xfId="0" applyNumberFormat="1" applyFont="1"/>
    <xf numFmtId="176" fontId="24" fillId="0" borderId="0" xfId="0" applyNumberFormat="1" applyFont="1" applyAlignment="1">
      <alignment horizontal="center"/>
    </xf>
    <xf numFmtId="2" fontId="3" fillId="0" borderId="40" xfId="0" applyNumberFormat="1" applyFont="1" applyBorder="1" applyAlignment="1">
      <alignment horizontal="center"/>
    </xf>
    <xf numFmtId="2" fontId="3" fillId="0" borderId="6" xfId="0" applyNumberFormat="1" applyFont="1" applyBorder="1" applyAlignment="1">
      <alignment horizontal="center"/>
    </xf>
    <xf numFmtId="2" fontId="3" fillId="0" borderId="4" xfId="0" applyNumberFormat="1" applyFont="1" applyBorder="1" applyAlignment="1">
      <alignment horizontal="center"/>
    </xf>
    <xf numFmtId="2" fontId="3" fillId="0" borderId="0" xfId="0" applyNumberFormat="1" applyFont="1" applyAlignment="1">
      <alignment horizontal="center"/>
    </xf>
    <xf numFmtId="175" fontId="3" fillId="0" borderId="40" xfId="0" applyNumberFormat="1" applyFont="1" applyBorder="1"/>
    <xf numFmtId="1" fontId="3" fillId="0" borderId="40" xfId="0" applyNumberFormat="1" applyFont="1" applyBorder="1" applyAlignment="1">
      <alignment horizontal="center"/>
    </xf>
    <xf numFmtId="37" fontId="3" fillId="0" borderId="0" xfId="0" applyNumberFormat="1" applyFont="1" applyAlignment="1">
      <alignment horizontal="center" wrapText="1"/>
    </xf>
    <xf numFmtId="1" fontId="24" fillId="0" borderId="0" xfId="0" applyNumberFormat="1" applyFont="1" applyAlignment="1">
      <alignment horizontal="center"/>
    </xf>
    <xf numFmtId="177" fontId="3" fillId="0" borderId="0" xfId="0" applyNumberFormat="1" applyFont="1" applyAlignment="1">
      <alignment horizontal="center"/>
    </xf>
    <xf numFmtId="168" fontId="3" fillId="0" borderId="0" xfId="0" applyNumberFormat="1" applyFont="1" applyAlignment="1">
      <alignment horizontal="center" vertical="top" wrapText="1"/>
    </xf>
    <xf numFmtId="176" fontId="35" fillId="8" borderId="4" xfId="0" applyNumberFormat="1" applyFont="1" applyFill="1" applyBorder="1" applyAlignment="1">
      <alignment horizontal="center"/>
    </xf>
    <xf numFmtId="176" fontId="35" fillId="8" borderId="33" xfId="0" applyNumberFormat="1" applyFont="1" applyFill="1" applyBorder="1" applyAlignment="1">
      <alignment horizontal="center"/>
    </xf>
    <xf numFmtId="176" fontId="35" fillId="8" borderId="6" xfId="0" applyNumberFormat="1" applyFont="1" applyFill="1" applyBorder="1" applyAlignment="1">
      <alignment horizontal="center"/>
    </xf>
    <xf numFmtId="0" fontId="1" fillId="0" borderId="40" xfId="0" applyFont="1" applyBorder="1"/>
    <xf numFmtId="0" fontId="12" fillId="15" borderId="33" xfId="0" applyFont="1" applyFill="1" applyBorder="1" applyAlignment="1">
      <alignment horizontal="center"/>
    </xf>
    <xf numFmtId="176" fontId="24" fillId="0" borderId="33" xfId="0" applyNumberFormat="1" applyFont="1" applyBorder="1" applyAlignment="1">
      <alignment horizontal="center"/>
    </xf>
    <xf numFmtId="176" fontId="24" fillId="0" borderId="8" xfId="0" applyNumberFormat="1" applyFont="1" applyBorder="1" applyAlignment="1">
      <alignment horizontal="center"/>
    </xf>
    <xf numFmtId="0" fontId="24" fillId="0" borderId="4" xfId="0" applyFont="1" applyBorder="1" applyAlignment="1">
      <alignment horizontal="left" indent="1"/>
    </xf>
    <xf numFmtId="167" fontId="3" fillId="0" borderId="33" xfId="0" applyNumberFormat="1" applyFont="1" applyBorder="1" applyAlignment="1">
      <alignment horizontal="center"/>
    </xf>
    <xf numFmtId="167" fontId="3" fillId="0" borderId="6" xfId="0" applyNumberFormat="1" applyFont="1" applyBorder="1" applyAlignment="1">
      <alignment vertical="center" wrapText="1"/>
    </xf>
    <xf numFmtId="167" fontId="3" fillId="0" borderId="40" xfId="0" applyNumberFormat="1" applyFont="1" applyBorder="1" applyAlignment="1">
      <alignment vertical="center" wrapText="1"/>
    </xf>
    <xf numFmtId="167" fontId="3" fillId="0" borderId="2" xfId="0" applyNumberFormat="1" applyFont="1" applyBorder="1" applyAlignment="1">
      <alignment vertical="center" wrapText="1"/>
    </xf>
    <xf numFmtId="1" fontId="3" fillId="0" borderId="0" xfId="0" applyNumberFormat="1" applyFont="1" applyAlignment="1">
      <alignment horizontal="center" vertical="center"/>
    </xf>
    <xf numFmtId="0" fontId="12" fillId="0" borderId="14" xfId="0" applyFont="1" applyBorder="1" applyAlignment="1">
      <alignment horizontal="left" indent="1"/>
    </xf>
    <xf numFmtId="2" fontId="3" fillId="0" borderId="33" xfId="0" applyNumberFormat="1" applyFont="1" applyBorder="1" applyAlignment="1">
      <alignment horizontal="center"/>
    </xf>
    <xf numFmtId="9" fontId="3" fillId="0" borderId="0" xfId="0" applyNumberFormat="1" applyFont="1"/>
    <xf numFmtId="176" fontId="24" fillId="0" borderId="4" xfId="0" applyNumberFormat="1" applyFont="1" applyBorder="1" applyAlignment="1">
      <alignment horizontal="center"/>
    </xf>
    <xf numFmtId="176" fontId="24" fillId="0" borderId="1" xfId="0" applyNumberFormat="1" applyFont="1" applyBorder="1" applyAlignment="1">
      <alignment horizontal="center"/>
    </xf>
    <xf numFmtId="176" fontId="24" fillId="0" borderId="40" xfId="0" applyNumberFormat="1" applyFont="1" applyBorder="1" applyAlignment="1">
      <alignment horizontal="center"/>
    </xf>
    <xf numFmtId="176" fontId="35" fillId="15" borderId="6" xfId="0" applyNumberFormat="1" applyFont="1" applyFill="1" applyBorder="1" applyAlignment="1">
      <alignment horizontal="center"/>
    </xf>
    <xf numFmtId="176" fontId="24" fillId="0" borderId="0" xfId="0" applyNumberFormat="1" applyFont="1" applyAlignment="1">
      <alignment horizontal="left"/>
    </xf>
    <xf numFmtId="0" fontId="24" fillId="0" borderId="1" xfId="0" applyFont="1" applyBorder="1" applyAlignment="1">
      <alignment horizontal="left" indent="1"/>
    </xf>
    <xf numFmtId="0" fontId="24" fillId="0" borderId="7" xfId="0" applyFont="1" applyBorder="1" applyAlignment="1">
      <alignment horizontal="left" indent="1"/>
    </xf>
    <xf numFmtId="167" fontId="3" fillId="0" borderId="0" xfId="0" applyNumberFormat="1" applyFont="1" applyAlignment="1">
      <alignment vertical="center" wrapText="1"/>
    </xf>
    <xf numFmtId="0" fontId="3"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3" fillId="0" borderId="4" xfId="0" applyFont="1" applyBorder="1" applyAlignment="1">
      <alignment horizontal="left" indent="2"/>
    </xf>
    <xf numFmtId="0" fontId="3" fillId="0" borderId="0" xfId="0" applyFont="1" applyAlignment="1">
      <alignment horizontal="left" indent="2"/>
    </xf>
    <xf numFmtId="176" fontId="24" fillId="0" borderId="2" xfId="0" applyNumberFormat="1" applyFont="1" applyBorder="1" applyAlignment="1">
      <alignment horizontal="center"/>
    </xf>
    <xf numFmtId="10" fontId="20" fillId="0" borderId="0" xfId="0" applyNumberFormat="1" applyFont="1" applyAlignment="1">
      <alignment horizontal="center" vertical="top" wrapText="1"/>
    </xf>
    <xf numFmtId="0" fontId="35" fillId="0" borderId="4" xfId="0" applyFont="1" applyBorder="1" applyAlignment="1">
      <alignment horizontal="left"/>
    </xf>
    <xf numFmtId="1" fontId="3" fillId="8" borderId="15" xfId="0" applyNumberFormat="1" applyFont="1" applyFill="1" applyBorder="1" applyAlignment="1">
      <alignment horizontal="center" vertical="top" wrapText="1"/>
    </xf>
    <xf numFmtId="168" fontId="3" fillId="0" borderId="4" xfId="0" applyNumberFormat="1" applyFont="1" applyBorder="1" applyAlignment="1">
      <alignment horizontal="right" vertical="top" wrapText="1"/>
    </xf>
    <xf numFmtId="168" fontId="3" fillId="0" borderId="5" xfId="0" applyNumberFormat="1" applyFont="1" applyBorder="1" applyAlignment="1">
      <alignment horizontal="right" vertical="top" wrapText="1"/>
    </xf>
    <xf numFmtId="168" fontId="3" fillId="8" borderId="5" xfId="0" applyNumberFormat="1" applyFont="1" applyFill="1" applyBorder="1" applyAlignment="1">
      <alignment horizontal="right" vertical="top" wrapText="1"/>
    </xf>
    <xf numFmtId="168" fontId="3" fillId="0" borderId="15" xfId="0" applyNumberFormat="1" applyFont="1" applyBorder="1" applyAlignment="1">
      <alignment horizontal="center" vertical="top" wrapText="1"/>
    </xf>
    <xf numFmtId="168" fontId="3" fillId="0" borderId="42" xfId="0" applyNumberFormat="1" applyFont="1" applyBorder="1" applyAlignment="1">
      <alignment horizontal="center" vertical="top" wrapText="1"/>
    </xf>
    <xf numFmtId="0" fontId="23" fillId="0" borderId="0" xfId="0" applyFont="1" applyAlignment="1">
      <alignment horizontal="center" vertical="top" wrapText="1"/>
    </xf>
    <xf numFmtId="0" fontId="12" fillId="0" borderId="4" xfId="0" applyFont="1" applyBorder="1" applyAlignment="1">
      <alignment horizontal="left" vertical="top" wrapText="1"/>
    </xf>
    <xf numFmtId="168" fontId="20" fillId="0" borderId="8" xfId="0" applyNumberFormat="1" applyFont="1" applyBorder="1" applyAlignment="1">
      <alignment horizontal="center" vertical="top" wrapText="1"/>
    </xf>
    <xf numFmtId="168" fontId="36" fillId="8" borderId="8" xfId="0" applyNumberFormat="1" applyFont="1" applyFill="1" applyBorder="1" applyAlignment="1">
      <alignment horizontal="center"/>
    </xf>
    <xf numFmtId="168" fontId="20" fillId="26" borderId="2" xfId="0" applyNumberFormat="1" applyFont="1" applyFill="1" applyBorder="1" applyAlignment="1">
      <alignment horizontal="center" vertical="top" wrapText="1"/>
    </xf>
    <xf numFmtId="1" fontId="3" fillId="0" borderId="5" xfId="0" applyNumberFormat="1" applyFont="1" applyBorder="1" applyAlignment="1">
      <alignment horizontal="center"/>
    </xf>
    <xf numFmtId="167" fontId="3" fillId="7" borderId="2" xfId="0" applyNumberFormat="1" applyFont="1" applyFill="1" applyBorder="1" applyAlignment="1">
      <alignment horizontal="center"/>
    </xf>
    <xf numFmtId="0" fontId="3" fillId="19" borderId="1" xfId="0" applyFont="1" applyFill="1" applyBorder="1" applyAlignment="1">
      <alignment horizontal="left" indent="2"/>
    </xf>
    <xf numFmtId="0" fontId="1" fillId="19" borderId="3" xfId="0" applyFont="1" applyFill="1" applyBorder="1"/>
    <xf numFmtId="167" fontId="3" fillId="19" borderId="0" xfId="0" applyNumberFormat="1" applyFont="1" applyFill="1" applyAlignment="1">
      <alignment horizontal="center"/>
    </xf>
    <xf numFmtId="0" fontId="3" fillId="19" borderId="0" xfId="0" applyFont="1" applyFill="1" applyAlignment="1">
      <alignment horizontal="center"/>
    </xf>
    <xf numFmtId="0" fontId="3" fillId="19" borderId="1" xfId="0" applyFont="1" applyFill="1" applyBorder="1" applyAlignment="1">
      <alignment horizontal="left" indent="4"/>
    </xf>
    <xf numFmtId="0" fontId="3" fillId="19" borderId="3" xfId="0" applyFont="1" applyFill="1" applyBorder="1"/>
    <xf numFmtId="0" fontId="3" fillId="19" borderId="7" xfId="0" applyFont="1" applyFill="1" applyBorder="1" applyAlignment="1">
      <alignment horizontal="left" indent="2"/>
    </xf>
    <xf numFmtId="0" fontId="3" fillId="19" borderId="2" xfId="0" applyFont="1" applyFill="1" applyBorder="1"/>
    <xf numFmtId="167" fontId="3" fillId="19" borderId="8" xfId="0" applyNumberFormat="1" applyFont="1" applyFill="1" applyBorder="1" applyAlignment="1">
      <alignment horizontal="center"/>
    </xf>
    <xf numFmtId="0" fontId="3" fillId="19" borderId="8" xfId="0" applyFont="1" applyFill="1" applyBorder="1" applyAlignment="1">
      <alignment horizontal="center"/>
    </xf>
    <xf numFmtId="0" fontId="12" fillId="0" borderId="4" xfId="0" applyFont="1" applyBorder="1"/>
    <xf numFmtId="0" fontId="35" fillId="0" borderId="4" xfId="0" applyFont="1" applyBorder="1" applyAlignment="1">
      <alignment wrapText="1"/>
    </xf>
    <xf numFmtId="165" fontId="4" fillId="0" borderId="22" xfId="0" applyNumberFormat="1" applyFont="1" applyBorder="1" applyAlignment="1">
      <alignment horizontal="right"/>
    </xf>
    <xf numFmtId="176" fontId="35" fillId="0" borderId="33" xfId="0" applyNumberFormat="1" applyFont="1" applyBorder="1" applyAlignment="1">
      <alignment horizontal="center"/>
    </xf>
    <xf numFmtId="176" fontId="35" fillId="0" borderId="6" xfId="0" applyNumberFormat="1" applyFont="1" applyBorder="1" applyAlignment="1">
      <alignment horizontal="center"/>
    </xf>
    <xf numFmtId="0" fontId="24" fillId="0" borderId="4" xfId="0" applyFont="1" applyBorder="1" applyAlignment="1">
      <alignment wrapText="1"/>
    </xf>
    <xf numFmtId="1" fontId="24" fillId="0" borderId="33" xfId="0" applyNumberFormat="1" applyFont="1" applyBorder="1" applyAlignment="1">
      <alignment horizontal="center"/>
    </xf>
    <xf numFmtId="0" fontId="24" fillId="0" borderId="7" xfId="0" applyFont="1" applyBorder="1"/>
    <xf numFmtId="1" fontId="24" fillId="0" borderId="8" xfId="0" applyNumberFormat="1" applyFont="1" applyBorder="1" applyAlignment="1">
      <alignment horizontal="center"/>
    </xf>
    <xf numFmtId="176" fontId="35" fillId="15" borderId="33" xfId="0" applyNumberFormat="1" applyFont="1" applyFill="1" applyBorder="1" applyAlignment="1">
      <alignment horizontal="center"/>
    </xf>
    <xf numFmtId="1" fontId="3" fillId="0" borderId="8" xfId="0" applyNumberFormat="1" applyFont="1" applyBorder="1" applyAlignment="1">
      <alignment horizontal="center" vertical="center"/>
    </xf>
    <xf numFmtId="169" fontId="3" fillId="0" borderId="33" xfId="0" applyNumberFormat="1" applyFont="1" applyBorder="1"/>
    <xf numFmtId="168" fontId="20" fillId="0" borderId="0" xfId="0" applyNumberFormat="1" applyFont="1"/>
    <xf numFmtId="1" fontId="3" fillId="8" borderId="6" xfId="0" applyNumberFormat="1" applyFont="1" applyFill="1" applyBorder="1" applyAlignment="1">
      <alignment horizontal="center"/>
    </xf>
    <xf numFmtId="1" fontId="3" fillId="8" borderId="33" xfId="0" applyNumberFormat="1" applyFont="1" applyFill="1" applyBorder="1" applyAlignment="1">
      <alignment horizontal="center"/>
    </xf>
    <xf numFmtId="168" fontId="3" fillId="0" borderId="1" xfId="0" applyNumberFormat="1" applyFont="1" applyBorder="1" applyAlignment="1">
      <alignment horizontal="center" vertical="top" wrapText="1"/>
    </xf>
    <xf numFmtId="176" fontId="35" fillId="0" borderId="4" xfId="0" applyNumberFormat="1" applyFont="1" applyBorder="1" applyAlignment="1">
      <alignment horizontal="center"/>
    </xf>
    <xf numFmtId="1" fontId="3" fillId="0" borderId="8" xfId="0" applyNumberFormat="1" applyFont="1" applyBorder="1"/>
    <xf numFmtId="1" fontId="3" fillId="8" borderId="8" xfId="0" applyNumberFormat="1" applyFont="1" applyFill="1" applyBorder="1"/>
    <xf numFmtId="1" fontId="3" fillId="8" borderId="3" xfId="0" applyNumberFormat="1" applyFont="1" applyFill="1" applyBorder="1"/>
    <xf numFmtId="1" fontId="3" fillId="8" borderId="2" xfId="0" applyNumberFormat="1" applyFont="1" applyFill="1" applyBorder="1"/>
    <xf numFmtId="168" fontId="20" fillId="26" borderId="0" xfId="0" applyNumberFormat="1" applyFont="1" applyFill="1" applyAlignment="1">
      <alignment horizontal="center" vertical="top" wrapText="1"/>
    </xf>
    <xf numFmtId="1" fontId="3" fillId="16"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3" fillId="0" borderId="15"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3" fillId="0" borderId="33" xfId="0" applyNumberFormat="1" applyFont="1" applyBorder="1" applyAlignment="1">
      <alignment horizontal="right" vertical="top" wrapText="1"/>
    </xf>
    <xf numFmtId="10" fontId="3" fillId="0" borderId="0" xfId="0" applyNumberFormat="1" applyFont="1"/>
    <xf numFmtId="0" fontId="3" fillId="0" borderId="7" xfId="0" applyFont="1" applyBorder="1" applyAlignment="1">
      <alignment horizontal="left" indent="1"/>
    </xf>
    <xf numFmtId="9" fontId="3" fillId="0" borderId="8" xfId="0" applyNumberFormat="1" applyFont="1" applyBorder="1"/>
    <xf numFmtId="2" fontId="3" fillId="0" borderId="8" xfId="0" applyNumberFormat="1" applyFont="1" applyBorder="1" applyAlignment="1">
      <alignment horizontal="center"/>
    </xf>
    <xf numFmtId="167" fontId="3" fillId="0" borderId="7" xfId="0" applyNumberFormat="1" applyFont="1" applyBorder="1" applyAlignment="1">
      <alignment horizontal="center"/>
    </xf>
    <xf numFmtId="167" fontId="3" fillId="0" borderId="8" xfId="0" applyNumberFormat="1" applyFont="1" applyBorder="1" applyAlignment="1">
      <alignment horizontal="center"/>
    </xf>
    <xf numFmtId="1" fontId="3" fillId="0" borderId="1" xfId="0" applyNumberFormat="1" applyFont="1" applyBorder="1" applyAlignment="1">
      <alignment horizontal="center"/>
    </xf>
    <xf numFmtId="167" fontId="3" fillId="8" borderId="8" xfId="0" applyNumberFormat="1" applyFont="1" applyFill="1" applyBorder="1" applyAlignment="1">
      <alignment horizontal="center"/>
    </xf>
    <xf numFmtId="167" fontId="3" fillId="7" borderId="3" xfId="0" applyNumberFormat="1" applyFont="1" applyFill="1" applyBorder="1" applyAlignment="1">
      <alignment horizontal="center"/>
    </xf>
    <xf numFmtId="167" fontId="3" fillId="7" borderId="8" xfId="0" applyNumberFormat="1" applyFont="1" applyFill="1" applyBorder="1" applyAlignment="1">
      <alignment horizontal="center"/>
    </xf>
    <xf numFmtId="1" fontId="3" fillId="0" borderId="8" xfId="0" applyNumberFormat="1" applyFont="1" applyBorder="1" applyAlignment="1">
      <alignment horizontal="center"/>
    </xf>
    <xf numFmtId="167" fontId="3"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4" fillId="0" borderId="42" xfId="0" applyFont="1" applyBorder="1" applyAlignment="1">
      <alignment horizontal="left" indent="2"/>
    </xf>
    <xf numFmtId="165" fontId="3" fillId="0" borderId="15" xfId="0" applyNumberFormat="1" applyFont="1" applyBorder="1" applyAlignment="1">
      <alignment horizontal="center" vertical="top" wrapText="1"/>
    </xf>
    <xf numFmtId="0" fontId="3" fillId="0" borderId="4" xfId="0" applyFont="1" applyBorder="1" applyAlignment="1">
      <alignment horizontal="left" indent="1"/>
    </xf>
    <xf numFmtId="0" fontId="35" fillId="0" borderId="1" xfId="0" applyFont="1" applyBorder="1" applyAlignment="1">
      <alignment horizontal="left" wrapText="1"/>
    </xf>
    <xf numFmtId="0" fontId="37" fillId="0" borderId="0" xfId="0" applyFont="1"/>
    <xf numFmtId="0" fontId="24" fillId="0" borderId="0" xfId="0" applyFont="1"/>
    <xf numFmtId="0" fontId="35" fillId="0" borderId="0" xfId="0" applyFont="1"/>
    <xf numFmtId="0" fontId="38"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3" fillId="0" borderId="44" xfId="0" applyFont="1" applyBorder="1"/>
    <xf numFmtId="168" fontId="20" fillId="0" borderId="0" xfId="0" applyNumberFormat="1" applyFont="1" applyAlignment="1">
      <alignment horizontal="right" vertical="top" wrapText="1"/>
    </xf>
    <xf numFmtId="176" fontId="35" fillId="0" borderId="0" xfId="0" applyNumberFormat="1" applyFont="1" applyAlignment="1">
      <alignment horizontal="center"/>
    </xf>
    <xf numFmtId="1" fontId="3" fillId="0" borderId="0" xfId="0" applyNumberFormat="1" applyFont="1" applyAlignment="1">
      <alignment horizontal="center" vertical="top" wrapText="1"/>
    </xf>
    <xf numFmtId="1" fontId="3" fillId="0" borderId="33" xfId="0" applyNumberFormat="1" applyFont="1" applyBorder="1" applyAlignment="1">
      <alignment horizontal="center" vertical="center"/>
    </xf>
    <xf numFmtId="168" fontId="3" fillId="7" borderId="0" xfId="0" applyNumberFormat="1" applyFont="1" applyFill="1" applyAlignment="1">
      <alignment horizontal="center" vertical="top" wrapText="1"/>
    </xf>
    <xf numFmtId="1" fontId="20" fillId="8" borderId="0" xfId="0" applyNumberFormat="1" applyFont="1" applyFill="1" applyAlignment="1">
      <alignment horizontal="center" vertical="top" wrapText="1"/>
    </xf>
    <xf numFmtId="1" fontId="3" fillId="8" borderId="0" xfId="0" applyNumberFormat="1" applyFont="1" applyFill="1" applyAlignment="1">
      <alignment horizontal="center" vertical="top" wrapText="1"/>
    </xf>
    <xf numFmtId="168" fontId="20" fillId="26" borderId="8" xfId="0" applyNumberFormat="1" applyFont="1" applyFill="1" applyBorder="1" applyAlignment="1">
      <alignment horizontal="center" vertical="top" wrapText="1"/>
    </xf>
    <xf numFmtId="168" fontId="20" fillId="15" borderId="0" xfId="0" applyNumberFormat="1" applyFont="1" applyFill="1" applyAlignment="1">
      <alignment horizontal="center" vertical="top" wrapText="1"/>
    </xf>
    <xf numFmtId="168" fontId="3" fillId="16" borderId="0" xfId="0" applyNumberFormat="1" applyFont="1" applyFill="1" applyAlignment="1">
      <alignment horizontal="center" vertical="top" wrapText="1"/>
    </xf>
    <xf numFmtId="167" fontId="3" fillId="7" borderId="0" xfId="0" applyNumberFormat="1" applyFont="1" applyFill="1" applyAlignment="1">
      <alignment horizontal="center"/>
    </xf>
    <xf numFmtId="167" fontId="3" fillId="8" borderId="0" xfId="0" applyNumberFormat="1" applyFont="1" applyFill="1" applyAlignment="1">
      <alignment horizontal="center"/>
    </xf>
    <xf numFmtId="167" fontId="3" fillId="0" borderId="0" xfId="0" applyNumberFormat="1" applyFont="1" applyAlignment="1">
      <alignment horizontal="center"/>
    </xf>
    <xf numFmtId="167" fontId="3" fillId="26" borderId="2" xfId="0" applyNumberFormat="1" applyFont="1" applyFill="1" applyBorder="1" applyAlignment="1">
      <alignment horizontal="center"/>
    </xf>
    <xf numFmtId="168" fontId="3" fillId="8" borderId="33" xfId="0" applyNumberFormat="1" applyFont="1" applyFill="1" applyBorder="1" applyAlignment="1">
      <alignment horizontal="right" vertical="top" wrapText="1"/>
    </xf>
    <xf numFmtId="168" fontId="3" fillId="0" borderId="0" xfId="0" applyNumberFormat="1" applyFont="1" applyAlignment="1">
      <alignment horizontal="right" vertical="top" wrapText="1"/>
    </xf>
    <xf numFmtId="0" fontId="3" fillId="0" borderId="1" xfId="0" applyFont="1" applyBorder="1" applyAlignment="1">
      <alignment horizontal="left" indent="1"/>
    </xf>
    <xf numFmtId="0" fontId="3" fillId="0" borderId="6" xfId="0" applyFont="1" applyBorder="1" applyAlignment="1">
      <alignment horizontal="center"/>
    </xf>
    <xf numFmtId="1" fontId="35" fillId="0" borderId="0" xfId="0" applyNumberFormat="1" applyFont="1" applyAlignment="1">
      <alignment horizontal="center"/>
    </xf>
    <xf numFmtId="176" fontId="35" fillId="0" borderId="0" xfId="0" applyNumberFormat="1" applyFont="1"/>
    <xf numFmtId="0" fontId="35" fillId="0" borderId="0" xfId="0" applyFont="1" applyAlignment="1">
      <alignment horizontal="left" indent="2"/>
    </xf>
    <xf numFmtId="178" fontId="35" fillId="0" borderId="0" xfId="0" applyNumberFormat="1" applyFont="1" applyAlignment="1">
      <alignment horizontal="center"/>
    </xf>
    <xf numFmtId="1" fontId="12" fillId="0" borderId="0" xfId="0" applyNumberFormat="1" applyFont="1" applyAlignment="1">
      <alignment horizontal="center"/>
    </xf>
    <xf numFmtId="168" fontId="3" fillId="0" borderId="1" xfId="0" applyNumberFormat="1" applyFont="1" applyBorder="1" applyAlignment="1">
      <alignment horizontal="right" vertical="top" wrapText="1"/>
    </xf>
    <xf numFmtId="3" fontId="20" fillId="0" borderId="8" xfId="0" applyNumberFormat="1" applyFont="1" applyBorder="1" applyAlignment="1">
      <alignment horizontal="center" vertical="top" wrapText="1"/>
    </xf>
    <xf numFmtId="178" fontId="24" fillId="0" borderId="0" xfId="0" applyNumberFormat="1" applyFont="1" applyAlignment="1">
      <alignment horizontal="center"/>
    </xf>
    <xf numFmtId="0" fontId="12" fillId="15" borderId="34" xfId="0" applyFont="1" applyFill="1" applyBorder="1" applyAlignment="1">
      <alignment horizontal="center"/>
    </xf>
    <xf numFmtId="0" fontId="12" fillId="15" borderId="24" xfId="0" applyFont="1" applyFill="1" applyBorder="1" applyAlignment="1">
      <alignment horizontal="center"/>
    </xf>
    <xf numFmtId="0" fontId="12" fillId="15" borderId="6" xfId="0" applyFont="1" applyFill="1" applyBorder="1" applyAlignment="1">
      <alignment horizontal="center"/>
    </xf>
    <xf numFmtId="0" fontId="24" fillId="0" borderId="1" xfId="0" applyFont="1" applyBorder="1"/>
    <xf numFmtId="2" fontId="3" fillId="0" borderId="1" xfId="0" applyNumberFormat="1" applyFont="1" applyBorder="1" applyAlignment="1">
      <alignment horizontal="center"/>
    </xf>
    <xf numFmtId="2" fontId="3" fillId="0" borderId="7" xfId="0" applyNumberFormat="1" applyFont="1" applyBorder="1" applyAlignment="1">
      <alignment horizontal="center"/>
    </xf>
    <xf numFmtId="2" fontId="3" fillId="0" borderId="2" xfId="0" applyNumberFormat="1" applyFont="1" applyBorder="1" applyAlignment="1">
      <alignment horizontal="center"/>
    </xf>
    <xf numFmtId="0" fontId="20" fillId="0" borderId="2" xfId="0" applyFont="1" applyBorder="1" applyAlignment="1">
      <alignment horizontal="center"/>
    </xf>
    <xf numFmtId="10" fontId="32" fillId="0" borderId="0" xfId="0" applyNumberFormat="1" applyFont="1" applyAlignment="1">
      <alignment horizontal="center"/>
    </xf>
    <xf numFmtId="0" fontId="1" fillId="19" borderId="1" xfId="0" applyFont="1" applyFill="1" applyBorder="1"/>
    <xf numFmtId="0" fontId="1" fillId="19" borderId="7" xfId="0" applyFont="1" applyFill="1" applyBorder="1"/>
    <xf numFmtId="0" fontId="3" fillId="8" borderId="13" xfId="0" applyFont="1" applyFill="1" applyBorder="1" applyAlignment="1">
      <alignment horizontal="center"/>
    </xf>
    <xf numFmtId="10" fontId="32" fillId="0" borderId="7" xfId="0" applyNumberFormat="1" applyFont="1" applyBorder="1" applyAlignment="1">
      <alignment horizontal="center"/>
    </xf>
    <xf numFmtId="10" fontId="32" fillId="0" borderId="8" xfId="0" applyNumberFormat="1" applyFont="1" applyBorder="1" applyAlignment="1">
      <alignment horizontal="center"/>
    </xf>
    <xf numFmtId="10" fontId="32" fillId="0" borderId="2" xfId="0" applyNumberFormat="1" applyFont="1" applyBorder="1" applyAlignment="1">
      <alignment horizontal="center"/>
    </xf>
    <xf numFmtId="0" fontId="12" fillId="0" borderId="1" xfId="0" applyFont="1" applyBorder="1" applyAlignment="1">
      <alignment wrapText="1"/>
    </xf>
    <xf numFmtId="0" fontId="32" fillId="0" borderId="1" xfId="0" applyFont="1" applyBorder="1" applyAlignment="1">
      <alignment wrapText="1"/>
    </xf>
    <xf numFmtId="0" fontId="32" fillId="0" borderId="0" xfId="0" applyFont="1" applyAlignment="1">
      <alignment wrapText="1"/>
    </xf>
    <xf numFmtId="2" fontId="32"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2" fillId="0" borderId="8" xfId="0" applyNumberFormat="1" applyFont="1" applyBorder="1" applyAlignment="1">
      <alignment horizontal="center"/>
    </xf>
    <xf numFmtId="2" fontId="32" fillId="0" borderId="5" xfId="0" applyNumberFormat="1" applyFont="1" applyBorder="1" applyAlignment="1">
      <alignment horizontal="center"/>
    </xf>
    <xf numFmtId="2" fontId="32" fillId="0" borderId="3" xfId="0" applyNumberFormat="1" applyFont="1" applyBorder="1" applyAlignment="1">
      <alignment horizontal="center"/>
    </xf>
    <xf numFmtId="2" fontId="32" fillId="0" borderId="2" xfId="0" applyNumberFormat="1" applyFont="1" applyBorder="1" applyAlignment="1">
      <alignment horizontal="center"/>
    </xf>
    <xf numFmtId="0" fontId="12" fillId="0" borderId="4" xfId="0" applyFont="1" applyBorder="1" applyAlignment="1">
      <alignment vertical="center" wrapText="1"/>
    </xf>
    <xf numFmtId="0" fontId="40" fillId="0" borderId="4" xfId="0" applyFont="1" applyBorder="1" applyAlignment="1">
      <alignment wrapText="1"/>
    </xf>
    <xf numFmtId="0" fontId="40" fillId="0" borderId="6" xfId="0" applyFont="1" applyBorder="1" applyAlignment="1">
      <alignment wrapText="1"/>
    </xf>
    <xf numFmtId="0" fontId="40" fillId="0" borderId="34" xfId="0" applyFont="1" applyBorder="1" applyAlignment="1">
      <alignment wrapText="1"/>
    </xf>
    <xf numFmtId="0" fontId="40" fillId="0" borderId="24" xfId="0" applyFont="1" applyBorder="1" applyAlignment="1">
      <alignment wrapText="1"/>
    </xf>
    <xf numFmtId="10" fontId="32" fillId="19" borderId="0" xfId="0" applyNumberFormat="1" applyFont="1" applyFill="1" applyAlignment="1">
      <alignment horizontal="center"/>
    </xf>
    <xf numFmtId="10" fontId="32" fillId="19" borderId="3" xfId="0" applyNumberFormat="1" applyFont="1" applyFill="1" applyBorder="1" applyAlignment="1">
      <alignment horizontal="center"/>
    </xf>
    <xf numFmtId="10" fontId="1" fillId="19" borderId="1" xfId="0" applyNumberFormat="1" applyFont="1" applyFill="1" applyBorder="1"/>
    <xf numFmtId="10" fontId="32" fillId="12" borderId="0" xfId="0" applyNumberFormat="1" applyFont="1" applyFill="1" applyAlignment="1">
      <alignment horizontal="center"/>
    </xf>
    <xf numFmtId="0" fontId="2" fillId="0" borderId="0" xfId="0" applyFont="1" applyAlignment="1">
      <alignment horizontal="left"/>
    </xf>
    <xf numFmtId="10" fontId="32" fillId="7" borderId="0" xfId="0" applyNumberFormat="1" applyFont="1" applyFill="1" applyAlignment="1">
      <alignment horizontal="center"/>
    </xf>
    <xf numFmtId="0" fontId="3" fillId="0" borderId="0" xfId="0" applyFont="1" applyAlignment="1">
      <alignment vertical="top"/>
    </xf>
    <xf numFmtId="10" fontId="32" fillId="0" borderId="6" xfId="0" applyNumberFormat="1" applyFont="1" applyBorder="1" applyAlignment="1">
      <alignment horizontal="center"/>
    </xf>
    <xf numFmtId="10" fontId="32" fillId="7" borderId="5" xfId="0" applyNumberFormat="1" applyFont="1" applyFill="1" applyBorder="1" applyAlignment="1">
      <alignment horizontal="center"/>
    </xf>
    <xf numFmtId="10" fontId="32" fillId="0" borderId="33" xfId="0" applyNumberFormat="1" applyFont="1" applyBorder="1" applyAlignment="1">
      <alignment horizontal="center"/>
    </xf>
    <xf numFmtId="0" fontId="2" fillId="19" borderId="3" xfId="0" applyFont="1" applyFill="1" applyBorder="1" applyAlignment="1">
      <alignment horizontal="left"/>
    </xf>
    <xf numFmtId="0" fontId="2" fillId="19" borderId="2" xfId="0" applyFont="1" applyFill="1" applyBorder="1" applyAlignment="1">
      <alignment horizontal="left"/>
    </xf>
    <xf numFmtId="10" fontId="32" fillId="19" borderId="8" xfId="0" applyNumberFormat="1" applyFont="1" applyFill="1" applyBorder="1" applyAlignment="1">
      <alignment horizontal="center"/>
    </xf>
    <xf numFmtId="10" fontId="32" fillId="19" borderId="2" xfId="0" applyNumberFormat="1" applyFont="1" applyFill="1" applyBorder="1" applyAlignment="1">
      <alignment horizontal="center"/>
    </xf>
    <xf numFmtId="10" fontId="1" fillId="0" borderId="4" xfId="0" applyNumberFormat="1" applyFont="1" applyBorder="1"/>
    <xf numFmtId="0" fontId="2" fillId="0" borderId="6" xfId="0" applyFont="1" applyBorder="1" applyAlignment="1">
      <alignment horizontal="left"/>
    </xf>
    <xf numFmtId="0" fontId="2" fillId="0" borderId="2" xfId="0" applyFont="1" applyBorder="1" applyAlignment="1">
      <alignment horizontal="left"/>
    </xf>
    <xf numFmtId="10" fontId="32" fillId="0" borderId="45" xfId="0" applyNumberFormat="1" applyFont="1" applyBorder="1" applyAlignment="1">
      <alignment horizontal="center"/>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32" fillId="7" borderId="8" xfId="0" applyNumberFormat="1" applyFont="1" applyFill="1" applyBorder="1" applyAlignment="1">
      <alignment horizontal="center"/>
    </xf>
    <xf numFmtId="10" fontId="32" fillId="0" borderId="4" xfId="0" applyNumberFormat="1" applyFont="1" applyBorder="1" applyAlignment="1">
      <alignment horizontal="center"/>
    </xf>
    <xf numFmtId="10" fontId="32" fillId="7" borderId="33" xfId="0" applyNumberFormat="1" applyFont="1" applyFill="1" applyBorder="1" applyAlignment="1">
      <alignment horizontal="center"/>
    </xf>
    <xf numFmtId="0" fontId="40" fillId="0" borderId="0" xfId="0" applyFont="1" applyAlignment="1">
      <alignment wrapText="1"/>
    </xf>
    <xf numFmtId="0" fontId="40" fillId="0" borderId="8" xfId="0" applyFont="1" applyBorder="1" applyAlignment="1">
      <alignment wrapText="1"/>
    </xf>
    <xf numFmtId="2" fontId="32" fillId="0" borderId="6" xfId="0" applyNumberFormat="1" applyFont="1" applyBorder="1" applyAlignment="1">
      <alignment horizontal="center"/>
    </xf>
    <xf numFmtId="167" fontId="4" fillId="0" borderId="0" xfId="0" applyNumberFormat="1" applyFont="1" applyAlignment="1">
      <alignment wrapText="1"/>
    </xf>
    <xf numFmtId="0" fontId="2" fillId="0" borderId="5" xfId="0" applyFont="1" applyBorder="1" applyAlignment="1">
      <alignment horizontal="left"/>
    </xf>
    <xf numFmtId="0" fontId="2" fillId="0" borderId="8"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10" fontId="32" fillId="0" borderId="3" xfId="0" applyNumberFormat="1" applyFont="1" applyBorder="1" applyAlignment="1">
      <alignment horizontal="center"/>
    </xf>
    <xf numFmtId="0" fontId="3" fillId="8" borderId="14" xfId="0" applyFont="1" applyFill="1" applyBorder="1"/>
    <xf numFmtId="3" fontId="3" fillId="0" borderId="1" xfId="0" applyNumberFormat="1" applyFont="1" applyBorder="1" applyAlignment="1">
      <alignment horizontal="center"/>
    </xf>
    <xf numFmtId="167" fontId="3" fillId="0" borderId="2" xfId="0" applyNumberFormat="1" applyFont="1" applyBorder="1" applyAlignment="1">
      <alignment horizontal="center"/>
    </xf>
    <xf numFmtId="0" fontId="3" fillId="8" borderId="12" xfId="0" applyFont="1" applyFill="1" applyBorder="1" applyAlignment="1">
      <alignment horizontal="center" wrapText="1"/>
    </xf>
    <xf numFmtId="0" fontId="3" fillId="7" borderId="39" xfId="0" applyFont="1" applyFill="1" applyBorder="1" applyAlignment="1">
      <alignment horizontal="center" wrapText="1"/>
    </xf>
    <xf numFmtId="0" fontId="3" fillId="7" borderId="24" xfId="0" applyFont="1" applyFill="1" applyBorder="1" applyAlignment="1">
      <alignment horizontal="center" wrapText="1"/>
    </xf>
    <xf numFmtId="14" fontId="3" fillId="7" borderId="14" xfId="0" applyNumberFormat="1" applyFont="1" applyFill="1" applyBorder="1" applyAlignment="1">
      <alignment horizontal="right"/>
    </xf>
    <xf numFmtId="3" fontId="3" fillId="0" borderId="4" xfId="0" applyNumberFormat="1" applyFont="1" applyBorder="1" applyAlignment="1">
      <alignment horizontal="center"/>
    </xf>
    <xf numFmtId="3" fontId="3" fillId="0" borderId="0" xfId="0" applyNumberFormat="1" applyFont="1" applyAlignment="1">
      <alignment wrapText="1"/>
    </xf>
    <xf numFmtId="0" fontId="11" fillId="0" borderId="0" xfId="0" applyFont="1"/>
    <xf numFmtId="167" fontId="3" fillId="0" borderId="0" xfId="0" applyNumberFormat="1" applyFont="1" applyAlignment="1">
      <alignment horizontal="left"/>
    </xf>
    <xf numFmtId="14" fontId="3" fillId="0" borderId="0" xfId="0" applyNumberFormat="1" applyFont="1" applyAlignment="1">
      <alignment horizontal="center"/>
    </xf>
    <xf numFmtId="14" fontId="3" fillId="7" borderId="13" xfId="0" applyNumberFormat="1" applyFont="1" applyFill="1" applyBorder="1" applyAlignment="1">
      <alignment horizontal="right"/>
    </xf>
    <xf numFmtId="14" fontId="3" fillId="7" borderId="12" xfId="0" applyNumberFormat="1" applyFont="1" applyFill="1" applyBorder="1" applyAlignment="1">
      <alignment horizontal="right"/>
    </xf>
    <xf numFmtId="2" fontId="3" fillId="0" borderId="3" xfId="0" applyNumberFormat="1" applyFont="1" applyBorder="1" applyAlignment="1">
      <alignment horizontal="center"/>
    </xf>
    <xf numFmtId="0" fontId="3" fillId="7" borderId="7" xfId="0" applyFont="1" applyFill="1" applyBorder="1" applyAlignment="1">
      <alignment horizontal="center" wrapText="1"/>
    </xf>
    <xf numFmtId="0" fontId="3" fillId="7" borderId="8" xfId="0" applyFont="1" applyFill="1" applyBorder="1" applyAlignment="1">
      <alignment horizontal="center" wrapText="1"/>
    </xf>
    <xf numFmtId="0" fontId="1" fillId="0" borderId="7" xfId="0" applyFont="1" applyBorder="1" applyAlignment="1">
      <alignment horizontal="left" indent="2"/>
    </xf>
    <xf numFmtId="0" fontId="1" fillId="7" borderId="14" xfId="0" applyFont="1" applyFill="1" applyBorder="1" applyAlignment="1">
      <alignment horizontal="center" wrapText="1"/>
    </xf>
    <xf numFmtId="0" fontId="1" fillId="3" borderId="24" xfId="0" applyFont="1" applyFill="1" applyBorder="1" applyAlignment="1">
      <alignment wrapText="1"/>
    </xf>
    <xf numFmtId="0" fontId="1" fillId="0" borderId="8" xfId="0" applyFont="1" applyBorder="1" applyAlignment="1">
      <alignment horizontal="left" indent="2"/>
    </xf>
    <xf numFmtId="0" fontId="1" fillId="0" borderId="5"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3" xfId="0" applyFont="1" applyFill="1" applyBorder="1" applyAlignment="1">
      <alignment horizontal="center"/>
    </xf>
    <xf numFmtId="165" fontId="1" fillId="12" borderId="2" xfId="0" applyNumberFormat="1" applyFont="1" applyFill="1" applyBorder="1" applyAlignment="1">
      <alignment horizontal="center"/>
    </xf>
    <xf numFmtId="0" fontId="2" fillId="0" borderId="4" xfId="0" applyFont="1" applyBorder="1" applyAlignment="1">
      <alignment horizontal="left" wrapText="1" indent="2"/>
    </xf>
    <xf numFmtId="0" fontId="1" fillId="7" borderId="8" xfId="0" applyFont="1" applyFill="1" applyBorder="1" applyAlignment="1">
      <alignment horizontal="center"/>
    </xf>
    <xf numFmtId="165" fontId="1" fillId="0" borderId="33" xfId="0" applyNumberFormat="1" applyFont="1" applyBorder="1" applyAlignment="1">
      <alignment horizontal="center"/>
    </xf>
    <xf numFmtId="165" fontId="1" fillId="7"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2" borderId="2"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4" xfId="0" applyFont="1" applyBorder="1" applyAlignment="1">
      <alignment horizontal="left" wrapText="1" indent="2"/>
    </xf>
    <xf numFmtId="0" fontId="1" fillId="0" borderId="33" xfId="0" applyFont="1" applyBorder="1" applyAlignment="1">
      <alignment horizontal="left" wrapText="1" indent="2"/>
    </xf>
    <xf numFmtId="165" fontId="1" fillId="7" borderId="3" xfId="0" applyNumberFormat="1" applyFont="1" applyFill="1" applyBorder="1" applyAlignment="1">
      <alignment horizontal="center"/>
    </xf>
    <xf numFmtId="0" fontId="1" fillId="7" borderId="2"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20" fillId="7" borderId="3" xfId="0" applyFont="1" applyFill="1" applyBorder="1" applyAlignment="1">
      <alignment horizontal="center"/>
    </xf>
    <xf numFmtId="0" fontId="1" fillId="0" borderId="1" xfId="0" applyFont="1" applyBorder="1" applyAlignment="1">
      <alignment horizontal="center"/>
    </xf>
    <xf numFmtId="0" fontId="20" fillId="8" borderId="8" xfId="0" applyFont="1" applyFill="1" applyBorder="1" applyAlignment="1">
      <alignment horizontal="center"/>
    </xf>
    <xf numFmtId="0" fontId="20" fillId="8" borderId="2" xfId="0" applyFont="1" applyFill="1" applyBorder="1" applyAlignment="1">
      <alignment horizontal="center"/>
    </xf>
    <xf numFmtId="0" fontId="1" fillId="0" borderId="12" xfId="0" applyFont="1" applyBorder="1" applyAlignment="1">
      <alignment horizontal="left"/>
    </xf>
    <xf numFmtId="0" fontId="1" fillId="7" borderId="7" xfId="0" applyFont="1" applyFill="1" applyBorder="1" applyAlignment="1">
      <alignment horizontal="center"/>
    </xf>
    <xf numFmtId="165" fontId="1" fillId="0" borderId="8" xfId="0" applyNumberFormat="1" applyFont="1" applyBorder="1" applyAlignment="1">
      <alignment horizontal="center"/>
    </xf>
    <xf numFmtId="165" fontId="1" fillId="0" borderId="2" xfId="0" applyNumberFormat="1" applyFont="1" applyBorder="1" applyAlignment="1">
      <alignment horizontal="center"/>
    </xf>
    <xf numFmtId="0" fontId="20" fillId="8" borderId="0" xfId="0" applyFont="1" applyFill="1" applyAlignment="1">
      <alignment horizontal="center"/>
    </xf>
    <xf numFmtId="0" fontId="20" fillId="8" borderId="3" xfId="0" applyFont="1" applyFill="1" applyBorder="1" applyAlignment="1">
      <alignment horizontal="center"/>
    </xf>
    <xf numFmtId="0" fontId="20" fillId="7" borderId="0" xfId="0" applyFont="1" applyFill="1" applyAlignment="1">
      <alignment horizontal="center"/>
    </xf>
    <xf numFmtId="0" fontId="3" fillId="0" borderId="8"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3" fillId="0" borderId="0" xfId="0" applyNumberFormat="1" applyFont="1" applyAlignment="1">
      <alignment horizontal="right"/>
    </xf>
    <xf numFmtId="3" fontId="3" fillId="0" borderId="8" xfId="0" applyNumberFormat="1" applyFont="1" applyBorder="1"/>
    <xf numFmtId="1" fontId="3" fillId="0" borderId="0" xfId="0" applyNumberFormat="1" applyFont="1" applyAlignment="1">
      <alignment horizontal="right"/>
    </xf>
    <xf numFmtId="0" fontId="3" fillId="0" borderId="8" xfId="0" applyFont="1" applyBorder="1" applyAlignment="1">
      <alignment horizontal="right"/>
    </xf>
    <xf numFmtId="3" fontId="3" fillId="0" borderId="8" xfId="0" applyNumberFormat="1" applyFont="1" applyBorder="1" applyAlignment="1">
      <alignment horizontal="right"/>
    </xf>
    <xf numFmtId="0" fontId="3" fillId="0" borderId="0" xfId="0" applyFont="1" applyAlignment="1">
      <alignment vertical="center"/>
    </xf>
    <xf numFmtId="0" fontId="3" fillId="0" borderId="0" xfId="0" applyFont="1" applyAlignment="1">
      <alignment horizontal="right" vertical="center"/>
    </xf>
    <xf numFmtId="0" fontId="3" fillId="0" borderId="8"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8" xfId="0" applyNumberFormat="1" applyFont="1" applyBorder="1" applyAlignment="1">
      <alignment horizontal="center" vertical="top"/>
    </xf>
    <xf numFmtId="0" fontId="43" fillId="27" borderId="48"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4" borderId="0" xfId="0" applyNumberFormat="1" applyFont="1" applyFill="1" applyAlignment="1">
      <alignment horizontal="center" vertical="top"/>
    </xf>
    <xf numFmtId="0" fontId="43" fillId="14" borderId="0" xfId="0" applyFont="1" applyFill="1" applyAlignment="1">
      <alignment horizontal="center" vertical="top"/>
    </xf>
    <xf numFmtId="0" fontId="43" fillId="14"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5" xfId="0" applyFont="1" applyBorder="1" applyAlignment="1">
      <alignment horizontal="left" vertical="top"/>
    </xf>
    <xf numFmtId="0" fontId="44" fillId="0" borderId="5" xfId="0" applyFont="1" applyBorder="1" applyAlignment="1">
      <alignment horizontal="center" vertical="top" wrapText="1"/>
    </xf>
    <xf numFmtId="3" fontId="45" fillId="0" borderId="0" xfId="0" applyNumberFormat="1" applyFont="1" applyAlignment="1">
      <alignment vertical="top"/>
    </xf>
    <xf numFmtId="0" fontId="44" fillId="14" borderId="5" xfId="0" applyFont="1" applyFill="1" applyBorder="1" applyAlignment="1">
      <alignment horizontal="center" vertical="top"/>
    </xf>
    <xf numFmtId="0" fontId="43" fillId="0" borderId="5"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4" borderId="0" xfId="0" applyNumberFormat="1" applyFont="1" applyFill="1" applyAlignment="1">
      <alignment horizontal="center" vertical="top"/>
    </xf>
    <xf numFmtId="0" fontId="44" fillId="14" borderId="0" xfId="0" applyFont="1" applyFill="1" applyAlignment="1">
      <alignment horizontal="center" vertical="top"/>
    </xf>
    <xf numFmtId="1" fontId="43" fillId="14" borderId="0" xfId="0" applyNumberFormat="1" applyFont="1" applyFill="1" applyAlignment="1">
      <alignment horizontal="center" vertical="top"/>
    </xf>
    <xf numFmtId="0" fontId="43" fillId="0" borderId="0" xfId="0" applyFont="1" applyAlignment="1">
      <alignment horizontal="center" vertical="top"/>
    </xf>
    <xf numFmtId="1" fontId="43" fillId="14" borderId="0" xfId="0" applyNumberFormat="1" applyFont="1" applyFill="1" applyAlignment="1">
      <alignment horizontal="center"/>
    </xf>
    <xf numFmtId="1" fontId="43" fillId="14" borderId="0" xfId="0" applyNumberFormat="1" applyFont="1" applyFill="1" applyAlignment="1">
      <alignment horizontal="center" vertical="center"/>
    </xf>
    <xf numFmtId="1" fontId="44" fillId="14"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4" borderId="5" xfId="0" applyNumberFormat="1" applyFont="1" applyFill="1" applyBorder="1" applyAlignment="1">
      <alignment horizontal="center" vertical="top"/>
    </xf>
    <xf numFmtId="3" fontId="44" fillId="14" borderId="5" xfId="0" applyNumberFormat="1" applyFont="1" applyFill="1" applyBorder="1" applyAlignment="1">
      <alignment horizontal="center" vertical="top"/>
    </xf>
    <xf numFmtId="0" fontId="43" fillId="14" borderId="5" xfId="0" applyFont="1" applyFill="1" applyBorder="1" applyAlignment="1">
      <alignment horizontal="center" vertical="top"/>
    </xf>
    <xf numFmtId="0" fontId="16" fillId="14" borderId="5" xfId="0" applyFont="1" applyFill="1" applyBorder="1" applyAlignment="1">
      <alignment horizontal="left" vertical="top" wrapText="1"/>
    </xf>
    <xf numFmtId="0" fontId="44" fillId="27" borderId="0" xfId="0" applyFont="1" applyFill="1" applyAlignment="1">
      <alignment horizontal="center"/>
    </xf>
    <xf numFmtId="0" fontId="43" fillId="27" borderId="0" xfId="0" applyFont="1" applyFill="1" applyAlignment="1">
      <alignment horizontal="left" wrapText="1"/>
    </xf>
    <xf numFmtId="1" fontId="44" fillId="28" borderId="0" xfId="0" applyNumberFormat="1" applyFont="1" applyFill="1" applyAlignment="1">
      <alignment horizontal="center" vertical="top"/>
    </xf>
    <xf numFmtId="3" fontId="44" fillId="28" borderId="0" xfId="0" applyNumberFormat="1" applyFont="1" applyFill="1" applyAlignment="1">
      <alignment horizontal="center" vertical="top"/>
    </xf>
    <xf numFmtId="0" fontId="43" fillId="28" borderId="0" xfId="0" applyFont="1" applyFill="1" applyAlignment="1">
      <alignment horizontal="center" vertical="top"/>
    </xf>
    <xf numFmtId="0" fontId="43" fillId="28" borderId="0" xfId="0" applyFont="1" applyFill="1" applyAlignment="1">
      <alignment horizontal="left" vertical="top" wrapText="1"/>
    </xf>
    <xf numFmtId="1" fontId="43" fillId="29" borderId="0" xfId="0" applyNumberFormat="1" applyFont="1" applyFill="1" applyAlignment="1">
      <alignment horizontal="center" vertical="top"/>
    </xf>
    <xf numFmtId="0" fontId="43" fillId="29" borderId="0" xfId="0" applyFont="1" applyFill="1" applyAlignment="1">
      <alignment horizontal="center" vertical="top"/>
    </xf>
    <xf numFmtId="0" fontId="43" fillId="29" borderId="0" xfId="0" applyFont="1" applyFill="1" applyAlignment="1">
      <alignment horizontal="left" vertical="top" wrapText="1"/>
    </xf>
    <xf numFmtId="1" fontId="43" fillId="29" borderId="0" xfId="0" applyNumberFormat="1" applyFont="1" applyFill="1" applyAlignment="1">
      <alignment horizontal="center"/>
    </xf>
    <xf numFmtId="1" fontId="44" fillId="29" borderId="0" xfId="0" applyNumberFormat="1" applyFont="1" applyFill="1" applyAlignment="1">
      <alignment horizontal="center" vertical="top"/>
    </xf>
    <xf numFmtId="3" fontId="44" fillId="29" borderId="0" xfId="0" applyNumberFormat="1" applyFont="1" applyFill="1" applyAlignment="1">
      <alignment horizontal="center" vertical="top"/>
    </xf>
    <xf numFmtId="1" fontId="44" fillId="30" borderId="0" xfId="0" applyNumberFormat="1" applyFont="1" applyFill="1" applyAlignment="1">
      <alignment horizontal="center" vertical="top"/>
    </xf>
    <xf numFmtId="0" fontId="43" fillId="30" borderId="0" xfId="0" applyFont="1" applyFill="1" applyAlignment="1">
      <alignment horizontal="center" vertical="top"/>
    </xf>
    <xf numFmtId="3" fontId="44" fillId="30" borderId="0" xfId="0" applyNumberFormat="1" applyFont="1" applyFill="1" applyAlignment="1">
      <alignment horizontal="center" vertical="top"/>
    </xf>
    <xf numFmtId="0" fontId="44" fillId="30" borderId="0" xfId="0" applyFont="1" applyFill="1" applyAlignment="1">
      <alignment horizontal="center" vertical="top"/>
    </xf>
    <xf numFmtId="0" fontId="44" fillId="31" borderId="0" xfId="0" applyFont="1" applyFill="1" applyAlignment="1">
      <alignment horizontal="left" vertical="top"/>
    </xf>
    <xf numFmtId="0" fontId="44" fillId="31" borderId="0" xfId="0" applyFont="1" applyFill="1" applyAlignment="1">
      <alignment horizontal="center" vertical="top" wrapText="1"/>
    </xf>
    <xf numFmtId="0" fontId="43" fillId="31" borderId="0" xfId="0" applyFont="1" applyFill="1" applyAlignment="1">
      <alignment horizontal="left" vertical="top" wrapText="1"/>
    </xf>
    <xf numFmtId="1" fontId="44" fillId="30" borderId="38" xfId="0" applyNumberFormat="1" applyFont="1" applyFill="1" applyBorder="1" applyAlignment="1">
      <alignment horizontal="center" vertical="top"/>
    </xf>
    <xf numFmtId="1" fontId="44" fillId="30" borderId="34" xfId="0" applyNumberFormat="1" applyFont="1" applyFill="1" applyBorder="1" applyAlignment="1">
      <alignment horizontal="center" vertical="top"/>
    </xf>
    <xf numFmtId="3" fontId="44" fillId="30" borderId="34" xfId="0" applyNumberFormat="1" applyFont="1" applyFill="1" applyBorder="1" applyAlignment="1">
      <alignment horizontal="center" vertical="top"/>
    </xf>
    <xf numFmtId="0" fontId="43" fillId="30" borderId="24" xfId="0" applyFont="1" applyFill="1" applyBorder="1" applyAlignment="1">
      <alignment horizontal="center" vertical="top" wrapText="1"/>
    </xf>
    <xf numFmtId="1" fontId="44" fillId="7" borderId="0" xfId="0" applyNumberFormat="1" applyFont="1" applyFill="1" applyAlignment="1">
      <alignment horizontal="center" vertical="top"/>
    </xf>
    <xf numFmtId="1" fontId="43" fillId="7" borderId="0" xfId="0" applyNumberFormat="1" applyFont="1" applyFill="1" applyAlignment="1">
      <alignment horizontal="center" vertical="top"/>
    </xf>
    <xf numFmtId="1" fontId="45" fillId="0" borderId="0" xfId="0" applyNumberFormat="1" applyFont="1" applyAlignment="1">
      <alignment horizontal="center" vertical="top"/>
    </xf>
    <xf numFmtId="0" fontId="46" fillId="27" borderId="0" xfId="0" applyFont="1" applyFill="1" applyAlignment="1">
      <alignment vertical="top"/>
    </xf>
    <xf numFmtId="0" fontId="44" fillId="14" borderId="33" xfId="0" applyFont="1" applyFill="1" applyBorder="1" applyAlignment="1">
      <alignment horizontal="center" vertical="top"/>
    </xf>
    <xf numFmtId="0" fontId="43" fillId="14" borderId="33" xfId="0" applyFont="1" applyFill="1" applyBorder="1" applyAlignment="1">
      <alignment horizontal="center" vertical="top"/>
    </xf>
    <xf numFmtId="0" fontId="43" fillId="30" borderId="0" xfId="0" applyFont="1" applyFill="1" applyAlignment="1">
      <alignment horizontal="center" vertical="top" wrapText="1"/>
    </xf>
    <xf numFmtId="0" fontId="44" fillId="7" borderId="0" xfId="0" applyFont="1" applyFill="1" applyAlignment="1">
      <alignment horizontal="center" vertical="top"/>
    </xf>
    <xf numFmtId="0" fontId="16" fillId="0" borderId="0" xfId="0" applyFont="1" applyAlignment="1">
      <alignment horizontal="left" vertical="top" wrapText="1"/>
    </xf>
    <xf numFmtId="1" fontId="44" fillId="17" borderId="0" xfId="0" applyNumberFormat="1" applyFont="1" applyFill="1" applyAlignment="1">
      <alignment horizontal="center" vertical="top"/>
    </xf>
    <xf numFmtId="3" fontId="44" fillId="17" borderId="0" xfId="0" applyNumberFormat="1" applyFont="1" applyFill="1" applyAlignment="1">
      <alignment horizontal="center" vertical="top"/>
    </xf>
    <xf numFmtId="0" fontId="44" fillId="0" borderId="0" xfId="0" applyFont="1" applyAlignment="1">
      <alignment horizontal="center" vertical="top"/>
    </xf>
    <xf numFmtId="0" fontId="43" fillId="17" borderId="0" xfId="0" applyFont="1" applyFill="1" applyAlignment="1">
      <alignment horizontal="left" vertical="top" wrapText="1"/>
    </xf>
    <xf numFmtId="0" fontId="43" fillId="17" borderId="0" xfId="0" applyFont="1" applyFill="1" applyAlignment="1">
      <alignment horizontal="center" vertical="top"/>
    </xf>
    <xf numFmtId="0" fontId="44" fillId="17" borderId="0" xfId="0" applyFont="1" applyFill="1" applyAlignment="1">
      <alignment horizontal="center" vertical="top"/>
    </xf>
    <xf numFmtId="0" fontId="47" fillId="17" borderId="0" xfId="0" applyFont="1" applyFill="1" applyAlignment="1">
      <alignment horizontal="left" vertical="top" wrapText="1"/>
    </xf>
    <xf numFmtId="1" fontId="45" fillId="0" borderId="48" xfId="0" applyNumberFormat="1" applyFont="1" applyBorder="1" applyAlignment="1">
      <alignment vertical="top"/>
    </xf>
    <xf numFmtId="1" fontId="45" fillId="0" borderId="48" xfId="0" applyNumberFormat="1" applyFont="1" applyBorder="1" applyAlignment="1">
      <alignment horizontal="right" vertical="top"/>
    </xf>
    <xf numFmtId="0" fontId="46" fillId="27"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24"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7" borderId="8" xfId="0" applyFont="1" applyFill="1" applyBorder="1" applyAlignment="1">
      <alignment vertical="top"/>
    </xf>
    <xf numFmtId="1" fontId="48" fillId="0" borderId="0" xfId="0" applyNumberFormat="1" applyFont="1"/>
    <xf numFmtId="1" fontId="43" fillId="17" borderId="0" xfId="0" applyNumberFormat="1" applyFont="1" applyFill="1" applyAlignment="1">
      <alignment horizontal="center"/>
    </xf>
    <xf numFmtId="0" fontId="44" fillId="27" borderId="0" xfId="0" applyFont="1" applyFill="1" applyAlignment="1">
      <alignment horizontal="center" vertical="center"/>
    </xf>
    <xf numFmtId="0" fontId="43" fillId="27"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4" fillId="14" borderId="0" xfId="0" applyFont="1" applyFill="1" applyAlignment="1">
      <alignment horizontal="left"/>
    </xf>
    <xf numFmtId="0" fontId="4" fillId="6" borderId="0" xfId="0" applyFont="1" applyFill="1" applyAlignment="1">
      <alignment horizontal="left"/>
    </xf>
    <xf numFmtId="0" fontId="4" fillId="8" borderId="0" xfId="0" applyFont="1" applyFill="1" applyAlignment="1">
      <alignment horizontal="left"/>
    </xf>
    <xf numFmtId="0" fontId="4" fillId="32" borderId="0" xfId="0" applyFont="1" applyFill="1" applyAlignment="1">
      <alignment horizontal="left"/>
    </xf>
    <xf numFmtId="0" fontId="4" fillId="30" borderId="0" xfId="0" applyFont="1" applyFill="1" applyAlignment="1">
      <alignment horizontal="left"/>
    </xf>
    <xf numFmtId="0" fontId="4"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3" fillId="2" borderId="0" xfId="0" applyFont="1" applyFill="1" applyAlignment="1">
      <alignment horizontal="left" indent="2"/>
    </xf>
    <xf numFmtId="0" fontId="3" fillId="2" borderId="0" xfId="0" applyFont="1" applyFill="1" applyAlignment="1">
      <alignment horizontal="right"/>
    </xf>
    <xf numFmtId="0" fontId="50" fillId="0" borderId="0" xfId="0" applyFont="1" applyAlignment="1">
      <alignment horizontal="left" vertical="top"/>
    </xf>
    <xf numFmtId="0" fontId="12" fillId="0" borderId="0" xfId="0" applyFont="1" applyAlignment="1">
      <alignment horizontal="left"/>
    </xf>
    <xf numFmtId="0" fontId="51" fillId="0" borderId="0" xfId="0" applyFont="1"/>
    <xf numFmtId="0" fontId="12" fillId="33" borderId="0" xfId="0" applyFont="1" applyFill="1"/>
    <xf numFmtId="0" fontId="12" fillId="33" borderId="0" xfId="0" applyFont="1" applyFill="1" applyAlignment="1">
      <alignment horizontal="left"/>
    </xf>
    <xf numFmtId="0" fontId="3" fillId="33" borderId="0" xfId="0" applyFont="1" applyFill="1" applyAlignment="1">
      <alignment horizontal="left" indent="2"/>
    </xf>
    <xf numFmtId="0" fontId="3" fillId="33" borderId="0" xfId="0" applyFont="1" applyFill="1" applyAlignment="1">
      <alignment horizontal="right"/>
    </xf>
    <xf numFmtId="0" fontId="32" fillId="0" borderId="0" xfId="0" applyFont="1"/>
    <xf numFmtId="0" fontId="52" fillId="0" borderId="0" xfId="0" applyFont="1" applyAlignment="1">
      <alignment horizontal="right" vertical="top"/>
    </xf>
    <xf numFmtId="3" fontId="32" fillId="0" borderId="0" xfId="0" applyNumberFormat="1" applyFont="1"/>
    <xf numFmtId="3" fontId="53" fillId="0" borderId="0" xfId="0" applyNumberFormat="1" applyFont="1" applyAlignment="1">
      <alignment horizontal="right" vertical="top"/>
    </xf>
    <xf numFmtId="0" fontId="54" fillId="35"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5"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6" borderId="0" xfId="0" applyFont="1" applyFill="1" applyAlignment="1">
      <alignment wrapText="1"/>
    </xf>
    <xf numFmtId="0" fontId="8" fillId="36" borderId="0" xfId="0" applyFont="1" applyFill="1" applyAlignment="1">
      <alignment vertical="top"/>
    </xf>
    <xf numFmtId="0" fontId="7" fillId="36" borderId="0" xfId="0" applyFont="1" applyFill="1" applyAlignment="1">
      <alignment horizontal="right"/>
    </xf>
    <xf numFmtId="0" fontId="7" fillId="36" borderId="0" xfId="0" applyFont="1" applyFill="1"/>
    <xf numFmtId="168" fontId="7" fillId="36" borderId="0" xfId="0" applyNumberFormat="1" applyFont="1" applyFill="1" applyAlignment="1">
      <alignment horizontal="center"/>
    </xf>
    <xf numFmtId="0" fontId="1" fillId="36" borderId="0" xfId="0" applyFont="1" applyFill="1" applyAlignment="1">
      <alignment wrapText="1"/>
    </xf>
    <xf numFmtId="171" fontId="7" fillId="0" borderId="0" xfId="0" applyNumberFormat="1" applyFont="1" applyAlignment="1">
      <alignment horizontal="right"/>
    </xf>
    <xf numFmtId="0" fontId="39" fillId="36" borderId="0" xfId="0" applyFont="1" applyFill="1" applyAlignment="1">
      <alignment horizontal="center" wrapText="1"/>
    </xf>
    <xf numFmtId="0" fontId="7" fillId="36"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7" borderId="0" xfId="0" applyFont="1" applyFill="1" applyAlignment="1">
      <alignment horizontal="center" wrapText="1"/>
    </xf>
    <xf numFmtId="0" fontId="8" fillId="38" borderId="0" xfId="0" applyFont="1" applyFill="1" applyAlignment="1">
      <alignment vertical="top"/>
    </xf>
    <xf numFmtId="0" fontId="32" fillId="38" borderId="0" xfId="0" applyFont="1" applyFill="1"/>
    <xf numFmtId="0" fontId="7" fillId="38" borderId="0" xfId="0" applyFont="1" applyFill="1"/>
    <xf numFmtId="0" fontId="57" fillId="38" borderId="0" xfId="0" applyFont="1" applyFill="1"/>
    <xf numFmtId="0" fontId="7" fillId="38" borderId="0" xfId="0" applyFont="1" applyFill="1" applyAlignment="1">
      <alignment horizontal="right"/>
    </xf>
    <xf numFmtId="0" fontId="1" fillId="38"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8" borderId="0" xfId="0" applyFont="1" applyFill="1" applyAlignment="1">
      <alignment vertical="top" wrapText="1"/>
    </xf>
    <xf numFmtId="0" fontId="8" fillId="36"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2" borderId="0" xfId="0" applyFont="1" applyFill="1" applyAlignment="1">
      <alignment wrapText="1"/>
    </xf>
    <xf numFmtId="0" fontId="8" fillId="12" borderId="0" xfId="0" applyFont="1" applyFill="1" applyAlignment="1">
      <alignment vertical="top"/>
    </xf>
    <xf numFmtId="0" fontId="8" fillId="12" borderId="0" xfId="0" applyFont="1" applyFill="1" applyAlignment="1">
      <alignment vertical="top" wrapText="1"/>
    </xf>
    <xf numFmtId="0" fontId="7" fillId="39" borderId="0" xfId="0" applyFont="1" applyFill="1" applyAlignment="1">
      <alignment wrapText="1"/>
    </xf>
    <xf numFmtId="0" fontId="7" fillId="40" borderId="0" xfId="0" applyFont="1" applyFill="1" applyAlignment="1">
      <alignment horizontal="center" wrapText="1"/>
    </xf>
    <xf numFmtId="0" fontId="32" fillId="12" borderId="0" xfId="0" applyFont="1" applyFill="1" applyAlignment="1">
      <alignment horizontal="right"/>
    </xf>
    <xf numFmtId="0" fontId="7" fillId="12"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2" fillId="43" borderId="0" xfId="0" applyFont="1" applyFill="1" applyAlignment="1">
      <alignment wrapText="1"/>
    </xf>
    <xf numFmtId="0" fontId="1" fillId="43"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5" borderId="0" xfId="0" applyFont="1" applyFill="1"/>
    <xf numFmtId="0" fontId="24" fillId="14" borderId="1" xfId="0" applyFont="1" applyFill="1" applyBorder="1" applyAlignment="1">
      <alignment horizontal="left" indent="2"/>
    </xf>
    <xf numFmtId="0" fontId="0" fillId="11" borderId="0" xfId="0" applyFill="1"/>
    <xf numFmtId="0" fontId="0" fillId="10" borderId="0" xfId="0" applyFill="1"/>
    <xf numFmtId="0" fontId="0" fillId="9" borderId="0" xfId="0" applyFill="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3" xfId="0" applyFont="1" applyFill="1" applyBorder="1" applyAlignment="1">
      <alignment horizontal="left" vertical="top" wrapText="1"/>
    </xf>
    <xf numFmtId="0" fontId="1" fillId="3" borderId="4"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Alignment="1">
      <alignment horizontal="left" vertical="top"/>
    </xf>
    <xf numFmtId="0" fontId="1" fillId="2" borderId="3"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4"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4" fillId="3" borderId="0" xfId="0" applyFont="1" applyFill="1" applyAlignment="1">
      <alignment horizontal="center"/>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4" fillId="0" borderId="0" xfId="0" applyNumberFormat="1" applyFont="1" applyAlignment="1">
      <alignment horizontal="center"/>
    </xf>
    <xf numFmtId="0" fontId="4" fillId="0" borderId="25" xfId="0" applyFont="1" applyBorder="1" applyAlignment="1">
      <alignment horizontal="center"/>
    </xf>
    <xf numFmtId="168" fontId="1" fillId="0" borderId="21" xfId="0" applyNumberFormat="1" applyFont="1" applyBorder="1" applyAlignment="1">
      <alignment horizontal="center" vertical="center"/>
    </xf>
    <xf numFmtId="168" fontId="1" fillId="0" borderId="22" xfId="0" applyNumberFormat="1" applyFont="1" applyBorder="1" applyAlignment="1">
      <alignment horizontal="center" vertical="center"/>
    </xf>
    <xf numFmtId="168" fontId="1" fillId="0" borderId="23" xfId="0" applyNumberFormat="1" applyFont="1" applyBorder="1" applyAlignment="1">
      <alignment horizontal="center" vertic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68" fontId="1" fillId="0" borderId="30" xfId="0" applyNumberFormat="1" applyFont="1" applyBorder="1" applyAlignment="1">
      <alignment horizontal="center"/>
    </xf>
    <xf numFmtId="1" fontId="1" fillId="0" borderId="31" xfId="0" applyNumberFormat="1" applyFont="1" applyBorder="1" applyAlignment="1">
      <alignment horizontal="center"/>
    </xf>
    <xf numFmtId="1" fontId="1" fillId="0" borderId="29" xfId="0" applyNumberFormat="1" applyFont="1" applyBorder="1" applyAlignment="1">
      <alignment horizontal="center"/>
    </xf>
    <xf numFmtId="1" fontId="1" fillId="0" borderId="30" xfId="0" applyNumberFormat="1" applyFont="1" applyBorder="1" applyAlignment="1">
      <alignment horizontal="center"/>
    </xf>
    <xf numFmtId="168" fontId="1" fillId="0" borderId="20" xfId="0" applyNumberFormat="1" applyFont="1" applyBorder="1" applyAlignment="1">
      <alignment horizontal="left" indent="1"/>
    </xf>
    <xf numFmtId="0" fontId="18" fillId="0" borderId="0" xfId="0" applyFont="1" applyAlignment="1">
      <alignment horizontal="center"/>
    </xf>
    <xf numFmtId="0" fontId="3" fillId="8" borderId="4" xfId="0" applyFont="1" applyFill="1" applyBorder="1" applyAlignment="1">
      <alignment horizontal="center"/>
    </xf>
    <xf numFmtId="0" fontId="3" fillId="8" borderId="33" xfId="0" applyFont="1" applyFill="1" applyBorder="1" applyAlignment="1">
      <alignment horizontal="center"/>
    </xf>
    <xf numFmtId="0" fontId="3" fillId="8" borderId="6"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7" borderId="1" xfId="0" applyFont="1" applyFill="1" applyBorder="1" applyAlignment="1">
      <alignment horizontal="center"/>
    </xf>
    <xf numFmtId="0" fontId="3" fillId="7" borderId="0" xfId="0" applyFont="1" applyFill="1" applyAlignment="1">
      <alignment horizontal="center"/>
    </xf>
    <xf numFmtId="0" fontId="3" fillId="7" borderId="3" xfId="0" applyFont="1" applyFill="1" applyBorder="1" applyAlignment="1">
      <alignment horizontal="center"/>
    </xf>
    <xf numFmtId="0" fontId="12" fillId="7" borderId="4" xfId="0" applyFont="1" applyFill="1" applyBorder="1" applyAlignment="1">
      <alignment horizontal="center"/>
    </xf>
    <xf numFmtId="0" fontId="12" fillId="7" borderId="6" xfId="0" applyFont="1" applyFill="1" applyBorder="1" applyAlignment="1">
      <alignment horizontal="center"/>
    </xf>
    <xf numFmtId="0" fontId="12" fillId="7" borderId="1" xfId="0" applyFont="1" applyFill="1" applyBorder="1" applyAlignment="1">
      <alignment horizontal="center"/>
    </xf>
    <xf numFmtId="0" fontId="12" fillId="7" borderId="3" xfId="0" applyFont="1" applyFill="1" applyBorder="1" applyAlignment="1">
      <alignment horizontal="center"/>
    </xf>
    <xf numFmtId="0" fontId="12" fillId="7" borderId="7" xfId="0" applyFont="1" applyFill="1" applyBorder="1" applyAlignment="1">
      <alignment horizontal="center"/>
    </xf>
    <xf numFmtId="0" fontId="12" fillId="7" borderId="2" xfId="0" applyFont="1" applyFill="1" applyBorder="1" applyAlignment="1">
      <alignment horizontal="center"/>
    </xf>
    <xf numFmtId="0" fontId="3" fillId="7" borderId="4" xfId="0" applyFont="1" applyFill="1" applyBorder="1" applyAlignment="1">
      <alignment horizontal="center"/>
    </xf>
    <xf numFmtId="0" fontId="3" fillId="7" borderId="5" xfId="0" applyFont="1" applyFill="1" applyBorder="1" applyAlignment="1">
      <alignment horizontal="center"/>
    </xf>
    <xf numFmtId="0" fontId="3" fillId="7" borderId="6" xfId="0" applyFont="1" applyFill="1" applyBorder="1" applyAlignment="1">
      <alignment horizontal="center"/>
    </xf>
    <xf numFmtId="0" fontId="3" fillId="7" borderId="0" xfId="0" applyFont="1" applyFill="1" applyAlignment="1">
      <alignment horizontal="right"/>
    </xf>
    <xf numFmtId="0" fontId="12" fillId="8" borderId="4" xfId="0" applyFont="1" applyFill="1" applyBorder="1" applyAlignment="1">
      <alignment horizontal="center"/>
    </xf>
    <xf numFmtId="0" fontId="12" fillId="8" borderId="33" xfId="0" applyFont="1" applyFill="1" applyBorder="1" applyAlignment="1">
      <alignment horizontal="center"/>
    </xf>
    <xf numFmtId="0" fontId="12" fillId="8" borderId="34" xfId="0" applyFont="1" applyFill="1" applyBorder="1" applyAlignment="1">
      <alignment horizontal="center"/>
    </xf>
    <xf numFmtId="0" fontId="12" fillId="8" borderId="6" xfId="0" applyFont="1" applyFill="1" applyBorder="1" applyAlignment="1">
      <alignment horizontal="center"/>
    </xf>
    <xf numFmtId="0" fontId="12" fillId="7" borderId="8" xfId="0" applyFont="1" applyFill="1" applyBorder="1" applyAlignment="1">
      <alignment horizontal="center"/>
    </xf>
    <xf numFmtId="0" fontId="12" fillId="7" borderId="0" xfId="0" applyFont="1" applyFill="1" applyAlignment="1">
      <alignment horizontal="center"/>
    </xf>
    <xf numFmtId="0" fontId="3" fillId="8" borderId="5"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12" fillId="8" borderId="9" xfId="0" applyFont="1" applyFill="1" applyBorder="1" applyAlignment="1">
      <alignment horizontal="center"/>
    </xf>
    <xf numFmtId="0" fontId="12" fillId="8" borderId="10" xfId="0" applyFont="1" applyFill="1" applyBorder="1" applyAlignment="1">
      <alignment horizontal="center"/>
    </xf>
    <xf numFmtId="0" fontId="12" fillId="8" borderId="11" xfId="0" applyFont="1" applyFill="1" applyBorder="1" applyAlignment="1">
      <alignment horizontal="center"/>
    </xf>
    <xf numFmtId="0" fontId="3" fillId="7" borderId="4" xfId="0" applyFont="1" applyFill="1" applyBorder="1" applyAlignment="1">
      <alignment horizontal="right"/>
    </xf>
    <xf numFmtId="0" fontId="3" fillId="7" borderId="33" xfId="0" applyFont="1" applyFill="1" applyBorder="1" applyAlignment="1">
      <alignment horizontal="right"/>
    </xf>
    <xf numFmtId="0" fontId="3" fillId="0" borderId="3" xfId="0" applyFont="1" applyBorder="1" applyAlignment="1">
      <alignment horizontal="center" wrapText="1"/>
    </xf>
    <xf numFmtId="0" fontId="12" fillId="8" borderId="7" xfId="0" applyFont="1" applyFill="1" applyBorder="1" applyAlignment="1">
      <alignment horizontal="center"/>
    </xf>
    <xf numFmtId="0" fontId="12" fillId="8" borderId="8" xfId="0" applyFont="1" applyFill="1" applyBorder="1" applyAlignment="1">
      <alignment horizontal="center"/>
    </xf>
    <xf numFmtId="0" fontId="12" fillId="8" borderId="0" xfId="0" applyFont="1" applyFill="1" applyAlignment="1">
      <alignment horizontal="center"/>
    </xf>
    <xf numFmtId="0" fontId="3" fillId="7" borderId="33" xfId="0" applyFont="1" applyFill="1" applyBorder="1" applyAlignment="1">
      <alignment horizontal="center"/>
    </xf>
    <xf numFmtId="0" fontId="12" fillId="9" borderId="38" xfId="0" applyFont="1" applyFill="1" applyBorder="1" applyAlignment="1">
      <alignment horizontal="center" vertical="center" wrapText="1"/>
    </xf>
    <xf numFmtId="0" fontId="12" fillId="9" borderId="34" xfId="0" applyFont="1" applyFill="1" applyBorder="1" applyAlignment="1">
      <alignment horizontal="center" vertical="center" wrapText="1"/>
    </xf>
    <xf numFmtId="0" fontId="12" fillId="9" borderId="5" xfId="0" applyFont="1" applyFill="1" applyBorder="1" applyAlignment="1">
      <alignment horizontal="center" vertical="center" wrapText="1"/>
    </xf>
    <xf numFmtId="0" fontId="12" fillId="9" borderId="33" xfId="0" applyFont="1" applyFill="1" applyBorder="1" applyAlignment="1">
      <alignment horizontal="center" vertical="center" wrapText="1"/>
    </xf>
    <xf numFmtId="0" fontId="12" fillId="0" borderId="0" xfId="0" applyFont="1" applyAlignment="1">
      <alignment horizontal="center"/>
    </xf>
    <xf numFmtId="0" fontId="3" fillId="0" borderId="0" xfId="0" applyFont="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3" borderId="6" xfId="0" applyFont="1" applyFill="1" applyBorder="1" applyAlignment="1">
      <alignment horizontal="center" wrapText="1"/>
    </xf>
    <xf numFmtId="0" fontId="3" fillId="3" borderId="3" xfId="0" applyFont="1" applyFill="1" applyBorder="1" applyAlignment="1">
      <alignment horizontal="center" wrapText="1"/>
    </xf>
    <xf numFmtId="0" fontId="3" fillId="3" borderId="2" xfId="0" applyFont="1" applyFill="1" applyBorder="1" applyAlignment="1">
      <alignment horizontal="center" wrapText="1"/>
    </xf>
    <xf numFmtId="0" fontId="12" fillId="8" borderId="1" xfId="0" applyFont="1" applyFill="1" applyBorder="1" applyAlignment="1">
      <alignment horizontal="center"/>
    </xf>
    <xf numFmtId="0" fontId="3" fillId="3" borderId="14" xfId="0" applyFont="1" applyFill="1" applyBorder="1" applyAlignment="1">
      <alignment horizontal="center" wrapText="1"/>
    </xf>
    <xf numFmtId="0" fontId="12" fillId="8" borderId="38" xfId="0" applyFont="1" applyFill="1" applyBorder="1" applyAlignment="1">
      <alignment horizontal="center"/>
    </xf>
    <xf numFmtId="0" fontId="12" fillId="0" borderId="0" xfId="0" applyFont="1" applyAlignment="1">
      <alignment horizontal="left" wrapText="1"/>
    </xf>
    <xf numFmtId="0" fontId="12" fillId="14" borderId="0" xfId="0" applyFont="1" applyFill="1" applyAlignment="1">
      <alignment horizontal="center"/>
    </xf>
    <xf numFmtId="0" fontId="12" fillId="7" borderId="5" xfId="0" applyFont="1" applyFill="1" applyBorder="1" applyAlignment="1">
      <alignment horizontal="center"/>
    </xf>
    <xf numFmtId="0" fontId="12" fillId="7" borderId="4" xfId="0" applyFont="1" applyFill="1" applyBorder="1" applyAlignment="1">
      <alignment horizontal="center" vertical="center"/>
    </xf>
    <xf numFmtId="0" fontId="12" fillId="7" borderId="6"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3" xfId="0" applyFont="1" applyFill="1" applyBorder="1" applyAlignment="1">
      <alignment horizontal="center" vertical="center"/>
    </xf>
    <xf numFmtId="0" fontId="3" fillId="7" borderId="4" xfId="0" applyFont="1" applyFill="1" applyBorder="1" applyAlignment="1">
      <alignment horizontal="center" vertical="center"/>
    </xf>
    <xf numFmtId="0" fontId="3" fillId="7" borderId="5" xfId="0" applyFont="1" applyFill="1" applyBorder="1" applyAlignment="1">
      <alignment horizontal="center" vertical="center"/>
    </xf>
    <xf numFmtId="0" fontId="3" fillId="7" borderId="6" xfId="0" applyFont="1" applyFill="1" applyBorder="1" applyAlignment="1">
      <alignment horizontal="center" vertical="center"/>
    </xf>
    <xf numFmtId="0" fontId="3" fillId="7" borderId="33" xfId="0" applyFont="1" applyFill="1" applyBorder="1" applyAlignment="1">
      <alignment horizontal="center" vertical="center"/>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center" vertical="center"/>
    </xf>
    <xf numFmtId="0" fontId="12" fillId="0" borderId="4" xfId="0" applyFont="1" applyBorder="1" applyAlignment="1">
      <alignment horizontal="center" vertical="top" wrapText="1"/>
    </xf>
    <xf numFmtId="0" fontId="12" fillId="0" borderId="5" xfId="0" applyFont="1" applyBorder="1" applyAlignment="1">
      <alignment horizontal="center" vertical="top" wrapText="1"/>
    </xf>
    <xf numFmtId="0" fontId="12" fillId="0" borderId="4" xfId="0" applyFont="1" applyBorder="1" applyAlignment="1">
      <alignment horizontal="center" wrapText="1"/>
    </xf>
    <xf numFmtId="0" fontId="12" fillId="0" borderId="0" xfId="0" applyFont="1" applyAlignment="1">
      <alignment horizontal="center" wrapText="1"/>
    </xf>
    <xf numFmtId="0" fontId="12" fillId="7" borderId="38" xfId="0" applyFont="1" applyFill="1" applyBorder="1" applyAlignment="1">
      <alignment horizontal="center"/>
    </xf>
    <xf numFmtId="0" fontId="12" fillId="7" borderId="34" xfId="0" applyFont="1" applyFill="1" applyBorder="1" applyAlignment="1">
      <alignment horizontal="center"/>
    </xf>
    <xf numFmtId="0" fontId="12" fillId="7" borderId="33" xfId="0" applyFont="1" applyFill="1" applyBorder="1" applyAlignment="1">
      <alignment horizontal="center"/>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2" xfId="0" applyFont="1" applyBorder="1" applyAlignment="1">
      <alignment horizontal="left" wrapText="1"/>
    </xf>
    <xf numFmtId="0" fontId="3" fillId="9" borderId="1" xfId="0" applyFont="1" applyFill="1" applyBorder="1" applyAlignment="1">
      <alignment horizontal="left" wrapText="1" indent="3"/>
    </xf>
    <xf numFmtId="0" fontId="3" fillId="9" borderId="0" xfId="0" applyFont="1" applyFill="1" applyAlignment="1">
      <alignment horizontal="left" wrapText="1" indent="3"/>
    </xf>
    <xf numFmtId="0" fontId="3" fillId="9" borderId="3" xfId="0" applyFont="1" applyFill="1" applyBorder="1" applyAlignment="1">
      <alignment horizontal="left" wrapText="1" indent="3"/>
    </xf>
    <xf numFmtId="0" fontId="3" fillId="0" borderId="1" xfId="0" applyFont="1" applyBorder="1" applyAlignment="1">
      <alignment horizontal="left" wrapText="1"/>
    </xf>
    <xf numFmtId="0" fontId="3" fillId="0" borderId="0" xfId="0" applyFont="1" applyAlignment="1">
      <alignment horizontal="left" wrapText="1"/>
    </xf>
    <xf numFmtId="0" fontId="3" fillId="0" borderId="3" xfId="0" applyFont="1" applyBorder="1" applyAlignment="1">
      <alignment horizontal="left" wrapText="1"/>
    </xf>
    <xf numFmtId="0" fontId="3" fillId="9" borderId="1" xfId="0" applyFont="1" applyFill="1" applyBorder="1" applyAlignment="1">
      <alignment horizontal="left" vertical="top" wrapText="1" indent="3"/>
    </xf>
    <xf numFmtId="0" fontId="3" fillId="9" borderId="0" xfId="0" applyFont="1" applyFill="1" applyAlignment="1">
      <alignment horizontal="left" vertical="top" wrapText="1" indent="3"/>
    </xf>
    <xf numFmtId="0" fontId="3" fillId="9" borderId="3" xfId="0" applyFont="1" applyFill="1" applyBorder="1" applyAlignment="1">
      <alignment horizontal="left" vertical="top" wrapText="1" indent="3"/>
    </xf>
    <xf numFmtId="0" fontId="3" fillId="0" borderId="4" xfId="0" applyFont="1" applyBorder="1" applyAlignment="1">
      <alignment horizontal="left" wrapText="1" indent="3"/>
    </xf>
    <xf numFmtId="0" fontId="3" fillId="0" borderId="5" xfId="0" applyFont="1" applyBorder="1" applyAlignment="1">
      <alignment horizontal="left" wrapText="1" indent="3"/>
    </xf>
    <xf numFmtId="0" fontId="3" fillId="0" borderId="6" xfId="0" applyFont="1" applyBorder="1" applyAlignment="1">
      <alignment horizontal="left" wrapText="1" indent="3"/>
    </xf>
    <xf numFmtId="0" fontId="26" fillId="0" borderId="0" xfId="0" applyFont="1" applyAlignment="1">
      <alignment horizontal="left" vertical="top" wrapText="1"/>
    </xf>
    <xf numFmtId="0" fontId="12" fillId="0" borderId="0" xfId="0" applyFont="1" applyAlignment="1">
      <alignment horizontal="center" vertical="top" wrapText="1"/>
    </xf>
    <xf numFmtId="0" fontId="28" fillId="0" borderId="0" xfId="0" applyFont="1" applyAlignment="1">
      <alignment horizontal="left" vertical="top" wrapText="1"/>
    </xf>
    <xf numFmtId="0" fontId="3" fillId="7" borderId="5" xfId="0" applyFont="1" applyFill="1" applyBorder="1" applyAlignment="1">
      <alignment horizontal="right"/>
    </xf>
    <xf numFmtId="0" fontId="12" fillId="7" borderId="4" xfId="0" applyFont="1" applyFill="1" applyBorder="1" applyAlignment="1">
      <alignment horizontal="center" wrapText="1"/>
    </xf>
    <xf numFmtId="0" fontId="12" fillId="7" borderId="6" xfId="0" applyFont="1" applyFill="1" applyBorder="1" applyAlignment="1">
      <alignment horizontal="center" wrapText="1"/>
    </xf>
    <xf numFmtId="0" fontId="12" fillId="7" borderId="1" xfId="0" applyFont="1" applyFill="1" applyBorder="1" applyAlignment="1">
      <alignment horizontal="center" wrapText="1"/>
    </xf>
    <xf numFmtId="0" fontId="12" fillId="7" borderId="0" xfId="0" applyFont="1" applyFill="1" applyAlignment="1">
      <alignment horizontal="center" wrapText="1"/>
    </xf>
    <xf numFmtId="0" fontId="12" fillId="0" borderId="4" xfId="0" applyFont="1" applyBorder="1" applyAlignment="1">
      <alignment horizontal="center"/>
    </xf>
    <xf numFmtId="0" fontId="12" fillId="0" borderId="5" xfId="0" applyFont="1" applyBorder="1" applyAlignment="1">
      <alignment horizontal="center"/>
    </xf>
    <xf numFmtId="0" fontId="3" fillId="0" borderId="8" xfId="0" applyFont="1" applyBorder="1" applyAlignment="1">
      <alignment horizontal="left" vertical="top" wrapText="1"/>
    </xf>
    <xf numFmtId="0" fontId="12" fillId="7" borderId="24" xfId="0" applyFont="1" applyFill="1" applyBorder="1" applyAlignment="1">
      <alignment horizontal="center"/>
    </xf>
    <xf numFmtId="0" fontId="12" fillId="9" borderId="0" xfId="0" applyFont="1" applyFill="1" applyAlignment="1">
      <alignment horizontal="center"/>
    </xf>
    <xf numFmtId="0" fontId="12" fillId="8" borderId="24" xfId="0" applyFont="1" applyFill="1" applyBorder="1" applyAlignment="1">
      <alignment horizontal="center"/>
    </xf>
    <xf numFmtId="0" fontId="1" fillId="0" borderId="0" xfId="0" applyFont="1" applyAlignment="1">
      <alignment horizontal="center" wrapText="1"/>
    </xf>
    <xf numFmtId="0" fontId="1" fillId="0" borderId="0" xfId="0" applyFont="1" applyAlignment="1">
      <alignment horizontal="center"/>
    </xf>
    <xf numFmtId="0" fontId="3" fillId="8" borderId="1" xfId="0" applyFont="1" applyFill="1" applyBorder="1" applyAlignment="1">
      <alignment horizontal="center"/>
    </xf>
    <xf numFmtId="0" fontId="3" fillId="8" borderId="0" xfId="0" applyFont="1" applyFill="1" applyAlignment="1">
      <alignment horizontal="center"/>
    </xf>
    <xf numFmtId="0" fontId="3" fillId="8" borderId="3" xfId="0" applyFont="1" applyFill="1" applyBorder="1" applyAlignment="1">
      <alignment horizontal="center"/>
    </xf>
    <xf numFmtId="0" fontId="12" fillId="0" borderId="38" xfId="0" applyFont="1" applyBorder="1" applyAlignment="1">
      <alignment horizontal="center"/>
    </xf>
    <xf numFmtId="0" fontId="12" fillId="0" borderId="34" xfId="0" applyFont="1" applyBorder="1" applyAlignment="1">
      <alignment horizontal="center"/>
    </xf>
    <xf numFmtId="0" fontId="12" fillId="0" borderId="24" xfId="0" applyFont="1" applyBorder="1" applyAlignment="1">
      <alignment horizontal="center"/>
    </xf>
    <xf numFmtId="0" fontId="12" fillId="7" borderId="7" xfId="0" applyFont="1" applyFill="1" applyBorder="1" applyAlignment="1">
      <alignment horizontal="center" wrapText="1"/>
    </xf>
    <xf numFmtId="0" fontId="12" fillId="7" borderId="8" xfId="0" applyFont="1" applyFill="1" applyBorder="1" applyAlignment="1">
      <alignment horizontal="center" wrapText="1"/>
    </xf>
    <xf numFmtId="0" fontId="12" fillId="7" borderId="2" xfId="0" applyFont="1" applyFill="1" applyBorder="1" applyAlignment="1">
      <alignment horizontal="center" wrapText="1"/>
    </xf>
    <xf numFmtId="0" fontId="12" fillId="7" borderId="38" xfId="0" applyFont="1" applyFill="1" applyBorder="1" applyAlignment="1">
      <alignment horizontal="center" wrapText="1"/>
    </xf>
    <xf numFmtId="0" fontId="12" fillId="7" borderId="34" xfId="0" applyFont="1" applyFill="1" applyBorder="1" applyAlignment="1">
      <alignment horizontal="center" wrapText="1"/>
    </xf>
    <xf numFmtId="0" fontId="12" fillId="7" borderId="24" xfId="0" applyFont="1" applyFill="1" applyBorder="1" applyAlignment="1">
      <alignment horizontal="center" wrapText="1"/>
    </xf>
    <xf numFmtId="0" fontId="5" fillId="0" borderId="8" xfId="0" applyFont="1" applyBorder="1" applyAlignment="1">
      <alignment horizontal="center"/>
    </xf>
    <xf numFmtId="0" fontId="12" fillId="0" borderId="4"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3" xfId="0" applyFont="1" applyBorder="1" applyAlignment="1">
      <alignment horizontal="center"/>
    </xf>
    <xf numFmtId="0" fontId="20" fillId="0" borderId="8" xfId="0" applyFont="1" applyBorder="1" applyAlignment="1">
      <alignment horizontal="left" vertical="top" wrapText="1"/>
    </xf>
    <xf numFmtId="0" fontId="20" fillId="0" borderId="7" xfId="0" applyFont="1" applyBorder="1" applyAlignment="1">
      <alignment horizontal="center"/>
    </xf>
    <xf numFmtId="0" fontId="20" fillId="0" borderId="8" xfId="0" applyFont="1" applyBorder="1" applyAlignment="1">
      <alignment horizontal="center"/>
    </xf>
    <xf numFmtId="0" fontId="20" fillId="0" borderId="2" xfId="0" applyFont="1" applyBorder="1" applyAlignment="1">
      <alignment horizontal="center"/>
    </xf>
    <xf numFmtId="0" fontId="2" fillId="19" borderId="1" xfId="0" applyFont="1" applyFill="1" applyBorder="1" applyAlignment="1">
      <alignment horizontal="center"/>
    </xf>
    <xf numFmtId="0" fontId="2" fillId="19" borderId="0" xfId="0" applyFont="1" applyFill="1" applyAlignment="1">
      <alignment horizontal="center"/>
    </xf>
    <xf numFmtId="0" fontId="1" fillId="0" borderId="0" xfId="0" applyFont="1" applyAlignment="1">
      <alignment horizontal="left" vertical="top" wrapText="1"/>
    </xf>
    <xf numFmtId="0" fontId="4" fillId="7" borderId="4" xfId="0" applyFont="1" applyFill="1" applyBorder="1" applyAlignment="1">
      <alignment horizontal="center" wrapText="1"/>
    </xf>
    <xf numFmtId="0" fontId="4" fillId="7" borderId="5" xfId="0" applyFont="1" applyFill="1" applyBorder="1" applyAlignment="1">
      <alignment horizontal="center" wrapText="1"/>
    </xf>
    <xf numFmtId="0" fontId="4" fillId="7" borderId="1" xfId="0" applyFont="1" applyFill="1" applyBorder="1" applyAlignment="1">
      <alignment horizontal="center" wrapText="1"/>
    </xf>
    <xf numFmtId="0" fontId="4" fillId="7" borderId="0" xfId="0" applyFont="1" applyFill="1" applyAlignment="1">
      <alignment horizontal="center" wrapText="1"/>
    </xf>
    <xf numFmtId="0" fontId="1" fillId="7" borderId="4" xfId="0" applyFont="1" applyFill="1" applyBorder="1" applyAlignment="1">
      <alignment horizontal="center"/>
    </xf>
    <xf numFmtId="0" fontId="1" fillId="7" borderId="5" xfId="0" applyFont="1" applyFill="1" applyBorder="1" applyAlignment="1">
      <alignment horizontal="center"/>
    </xf>
    <xf numFmtId="0" fontId="1" fillId="7" borderId="4" xfId="0" applyFont="1" applyFill="1" applyBorder="1" applyAlignment="1">
      <alignment horizontal="center" wrapText="1"/>
    </xf>
    <xf numFmtId="0" fontId="1" fillId="7" borderId="5" xfId="0" applyFont="1" applyFill="1" applyBorder="1" applyAlignment="1">
      <alignment horizontal="center" wrapText="1"/>
    </xf>
    <xf numFmtId="0" fontId="1" fillId="7" borderId="6" xfId="0" applyFont="1" applyFill="1" applyBorder="1" applyAlignment="1">
      <alignment horizontal="center" wrapText="1"/>
    </xf>
    <xf numFmtId="0" fontId="41" fillId="7" borderId="4" xfId="0" applyFont="1" applyFill="1" applyBorder="1" applyAlignment="1">
      <alignment horizontal="center"/>
    </xf>
    <xf numFmtId="0" fontId="41" fillId="7" borderId="5" xfId="0" applyFont="1" applyFill="1" applyBorder="1" applyAlignment="1">
      <alignment horizontal="center"/>
    </xf>
    <xf numFmtId="0" fontId="41" fillId="7" borderId="6" xfId="0" applyFont="1" applyFill="1" applyBorder="1" applyAlignment="1">
      <alignment horizontal="center"/>
    </xf>
    <xf numFmtId="0" fontId="1" fillId="7" borderId="33" xfId="0" applyFont="1" applyFill="1" applyBorder="1" applyAlignment="1">
      <alignment horizontal="center"/>
    </xf>
    <xf numFmtId="0" fontId="1" fillId="7" borderId="6"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3"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3" fillId="0" borderId="8" xfId="0" applyFont="1" applyBorder="1" applyAlignment="1">
      <alignment horizontal="center"/>
    </xf>
    <xf numFmtId="0" fontId="3" fillId="0" borderId="0" xfId="0" applyFont="1" applyAlignment="1">
      <alignment vertical="center" wrapText="1"/>
    </xf>
    <xf numFmtId="0" fontId="3" fillId="0" borderId="0" xfId="0" applyFont="1" applyAlignment="1">
      <alignment vertical="center"/>
    </xf>
    <xf numFmtId="0" fontId="3" fillId="12" borderId="0" xfId="0" applyFont="1" applyFill="1" applyAlignment="1">
      <alignment horizontal="left" vertical="top" wrapText="1"/>
    </xf>
    <xf numFmtId="1" fontId="45" fillId="0" borderId="49"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24" xfId="0" applyNumberFormat="1" applyFont="1" applyBorder="1" applyAlignment="1">
      <alignment horizontal="center" vertical="top"/>
    </xf>
    <xf numFmtId="0" fontId="12" fillId="34" borderId="0" xfId="0" applyFont="1" applyFill="1" applyAlignment="1">
      <alignment horizontal="center"/>
    </xf>
    <xf numFmtId="0" fontId="7" fillId="0" borderId="0" xfId="0" applyFont="1" applyAlignment="1">
      <alignment horizontal="center" wrapText="1"/>
    </xf>
    <xf numFmtId="0" fontId="7" fillId="39" borderId="0" xfId="0" applyFont="1" applyFill="1" applyAlignment="1">
      <alignment wrapText="1"/>
    </xf>
    <xf numFmtId="0" fontId="1" fillId="0" borderId="0" xfId="0" applyFont="1" applyAlignment="1">
      <alignment wrapText="1"/>
    </xf>
    <xf numFmtId="0" fontId="7" fillId="41" borderId="0" xfId="0" applyFont="1" applyFill="1" applyAlignment="1">
      <alignment horizontal="center" wrapText="1"/>
    </xf>
    <xf numFmtId="0" fontId="1" fillId="12" borderId="0" xfId="0" applyFont="1" applyFill="1" applyAlignment="1">
      <alignment horizontal="center" wrapText="1"/>
    </xf>
    <xf numFmtId="0" fontId="7" fillId="40" borderId="0" xfId="0" applyFont="1" applyFill="1" applyAlignment="1">
      <alignment horizontal="center" wrapText="1"/>
    </xf>
    <xf numFmtId="0" fontId="7" fillId="42" borderId="0" xfId="0" applyFont="1" applyFill="1" applyAlignment="1">
      <alignment horizontal="center" wrapText="1"/>
    </xf>
    <xf numFmtId="0" fontId="66" fillId="13" borderId="0" xfId="0" applyFont="1" applyFill="1" applyAlignment="1">
      <alignment horizontal="right" vertical="center"/>
    </xf>
  </cellXfs>
  <cellStyles count="2">
    <cellStyle name="Normal" xfId="0" builtinId="0"/>
    <cellStyle name="Normal 2" xfId="1" xr:uid="{C1F9C7E2-935C-4206-B1DC-E697A500A69D}"/>
  </cellStyles>
  <dxfs count="79">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4" name="Text Box 3" hidden="1">
          <a:extLst>
            <a:ext uri="{FF2B5EF4-FFF2-40B4-BE49-F238E27FC236}">
              <a16:creationId xmlns:a16="http://schemas.microsoft.com/office/drawing/2014/main" id="{2CB30112-EF70-FC35-B3A3-FA0AA7578017}"/>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160867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20" name="Text Box 1052" hidden="1">
          <a:extLst>
            <a:ext uri="{FF2B5EF4-FFF2-40B4-BE49-F238E27FC236}">
              <a16:creationId xmlns:a16="http://schemas.microsoft.com/office/drawing/2014/main" id="{311945DF-B58F-1D46-1E90-2EE293730065}"/>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9" name="Text Box 1051" hidden="1">
          <a:extLst>
            <a:ext uri="{FF2B5EF4-FFF2-40B4-BE49-F238E27FC236}">
              <a16:creationId xmlns:a16="http://schemas.microsoft.com/office/drawing/2014/main" id="{E35776BF-E33D-FEAE-241F-D6EFF5D0984F}"/>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8" name="Text Box 1050" hidden="1">
          <a:extLst>
            <a:ext uri="{FF2B5EF4-FFF2-40B4-BE49-F238E27FC236}">
              <a16:creationId xmlns:a16="http://schemas.microsoft.com/office/drawing/2014/main" id="{81E17F54-4AFC-D23E-10F3-F31AD2A5B097}"/>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7" name="Text Box 1049" hidden="1">
          <a:extLst>
            <a:ext uri="{FF2B5EF4-FFF2-40B4-BE49-F238E27FC236}">
              <a16:creationId xmlns:a16="http://schemas.microsoft.com/office/drawing/2014/main" id="{C73C66B2-9D28-6DC4-1359-21974E777A87}"/>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7" name="Text Box 21" hidden="1">
          <a:extLst>
            <a:ext uri="{FF2B5EF4-FFF2-40B4-BE49-F238E27FC236}">
              <a16:creationId xmlns:a16="http://schemas.microsoft.com/office/drawing/2014/main" id="{35AA0DC4-7FE6-2238-D9B0-159F16300CC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6" name="Text Box 20" hidden="1">
          <a:extLst>
            <a:ext uri="{FF2B5EF4-FFF2-40B4-BE49-F238E27FC236}">
              <a16:creationId xmlns:a16="http://schemas.microsoft.com/office/drawing/2014/main" id="{E19E4967-D487-2DFA-AA92-E864C42BF47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5" name="Text Box 19" hidden="1">
          <a:extLst>
            <a:ext uri="{FF2B5EF4-FFF2-40B4-BE49-F238E27FC236}">
              <a16:creationId xmlns:a16="http://schemas.microsoft.com/office/drawing/2014/main" id="{70C241B6-E6B1-1461-A718-B907BE5145B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163318</xdr:rowOff>
    </xdr:from>
    <xdr:to>
      <xdr:col>5</xdr:col>
      <xdr:colOff>0</xdr:colOff>
      <xdr:row>72</xdr:row>
      <xdr:rowOff>181737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184040</xdr:rowOff>
    </xdr:from>
    <xdr:to>
      <xdr:col>4</xdr:col>
      <xdr:colOff>800100</xdr:colOff>
      <xdr:row>67</xdr:row>
      <xdr:rowOff>49110</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163318</xdr:rowOff>
    </xdr:from>
    <xdr:to>
      <xdr:col>5</xdr:col>
      <xdr:colOff>0</xdr:colOff>
      <xdr:row>72</xdr:row>
      <xdr:rowOff>181737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100</xdr:row>
      <xdr:rowOff>125317</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121285</xdr:colOff>
      <xdr:row>100</xdr:row>
      <xdr:rowOff>125317</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10139</xdr:rowOff>
    </xdr:from>
    <xdr:to>
      <xdr:col>20</xdr:col>
      <xdr:colOff>381000</xdr:colOff>
      <xdr:row>105</xdr:row>
      <xdr:rowOff>123849</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49531</xdr:rowOff>
    </xdr:from>
    <xdr:to>
      <xdr:col>4</xdr:col>
      <xdr:colOff>800100</xdr:colOff>
      <xdr:row>75</xdr:row>
      <xdr:rowOff>86996</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87080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4</xdr:col>
      <xdr:colOff>800100</xdr:colOff>
      <xdr:row>75</xdr:row>
      <xdr:rowOff>50166</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65490</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142875</xdr:colOff>
      <xdr:row>41</xdr:row>
      <xdr:rowOff>283698</xdr:rowOff>
    </xdr:from>
    <xdr:to>
      <xdr:col>21</xdr:col>
      <xdr:colOff>438150</xdr:colOff>
      <xdr:row>45</xdr:row>
      <xdr:rowOff>86081</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142875</xdr:colOff>
      <xdr:row>99</xdr:row>
      <xdr:rowOff>67147</xdr:rowOff>
    </xdr:from>
    <xdr:to>
      <xdr:col>13</xdr:col>
      <xdr:colOff>19050</xdr:colOff>
      <xdr:row>103</xdr:row>
      <xdr:rowOff>28077</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162770</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26167</xdr:rowOff>
    </xdr:from>
    <xdr:to>
      <xdr:col>13</xdr:col>
      <xdr:colOff>19050</xdr:colOff>
      <xdr:row>89</xdr:row>
      <xdr:rowOff>26444</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160285</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139896</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67086</xdr:rowOff>
    </xdr:from>
    <xdr:to>
      <xdr:col>20</xdr:col>
      <xdr:colOff>381000</xdr:colOff>
      <xdr:row>127</xdr:row>
      <xdr:rowOff>68541</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67086</xdr:rowOff>
    </xdr:from>
    <xdr:to>
      <xdr:col>21</xdr:col>
      <xdr:colOff>266700</xdr:colOff>
      <xdr:row>123</xdr:row>
      <xdr:rowOff>83649</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67086</xdr:rowOff>
    </xdr:from>
    <xdr:to>
      <xdr:col>4</xdr:col>
      <xdr:colOff>114300</xdr:colOff>
      <xdr:row>121</xdr:row>
      <xdr:rowOff>84059</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4</xdr:col>
      <xdr:colOff>800100</xdr:colOff>
      <xdr:row>51</xdr:row>
      <xdr:rowOff>200818</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108</xdr:row>
      <xdr:rowOff>8732</xdr:rowOff>
    </xdr:from>
    <xdr:to>
      <xdr:col>20</xdr:col>
      <xdr:colOff>381000</xdr:colOff>
      <xdr:row>120</xdr:row>
      <xdr:rowOff>67469</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75</xdr:row>
      <xdr:rowOff>50799</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120650</xdr:colOff>
      <xdr:row>85</xdr:row>
      <xdr:rowOff>25400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120650</xdr:colOff>
      <xdr:row>114</xdr:row>
      <xdr:rowOff>48419</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123825</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123825</xdr:rowOff>
    </xdr:from>
    <xdr:to>
      <xdr:col>20</xdr:col>
      <xdr:colOff>381000</xdr:colOff>
      <xdr:row>128</xdr:row>
      <xdr:rowOff>44450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276225</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123825</xdr:rowOff>
    </xdr:from>
    <xdr:to>
      <xdr:col>21</xdr:col>
      <xdr:colOff>266700</xdr:colOff>
      <xdr:row>124</xdr:row>
      <xdr:rowOff>85725</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123825</xdr:colOff>
      <xdr:row>83</xdr:row>
      <xdr:rowOff>392113</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123825</xdr:rowOff>
    </xdr:from>
    <xdr:to>
      <xdr:col>4</xdr:col>
      <xdr:colOff>123825</xdr:colOff>
      <xdr:row>121</xdr:row>
      <xdr:rowOff>142875</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525463</xdr:rowOff>
    </xdr:from>
    <xdr:to>
      <xdr:col>35</xdr:col>
      <xdr:colOff>266700</xdr:colOff>
      <xdr:row>83</xdr:row>
      <xdr:rowOff>528638</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161925</xdr:rowOff>
    </xdr:from>
    <xdr:to>
      <xdr:col>35</xdr:col>
      <xdr:colOff>266700</xdr:colOff>
      <xdr:row>83</xdr:row>
      <xdr:rowOff>350838</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7143</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44450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369888</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503238</xdr:rowOff>
    </xdr:from>
    <xdr:to>
      <xdr:col>35</xdr:col>
      <xdr:colOff>266700</xdr:colOff>
      <xdr:row>83</xdr:row>
      <xdr:rowOff>522288</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350838</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31" name="Text Box 91" hidden="1">
          <a:extLst>
            <a:ext uri="{FF2B5EF4-FFF2-40B4-BE49-F238E27FC236}">
              <a16:creationId xmlns:a16="http://schemas.microsoft.com/office/drawing/2014/main" id="{B4045C95-BAB4-4AE6-8181-89952A237AE8}"/>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30" name="Text Box 90" hidden="1">
          <a:extLst>
            <a:ext uri="{FF2B5EF4-FFF2-40B4-BE49-F238E27FC236}">
              <a16:creationId xmlns:a16="http://schemas.microsoft.com/office/drawing/2014/main" id="{559AA057-9F05-5367-FF02-2F3605286E2F}"/>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29" name="Text Box 89" hidden="1">
          <a:extLst>
            <a:ext uri="{FF2B5EF4-FFF2-40B4-BE49-F238E27FC236}">
              <a16:creationId xmlns:a16="http://schemas.microsoft.com/office/drawing/2014/main" id="{F3E98D7E-77D4-DF44-77B5-1D8A0E1E3B7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28" name="Text Box 88" hidden="1">
          <a:extLst>
            <a:ext uri="{FF2B5EF4-FFF2-40B4-BE49-F238E27FC236}">
              <a16:creationId xmlns:a16="http://schemas.microsoft.com/office/drawing/2014/main" id="{5BC2E81C-7C22-9388-E8B5-44717FD5EB47}"/>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27" name="Text Box 87" hidden="1">
          <a:extLst>
            <a:ext uri="{FF2B5EF4-FFF2-40B4-BE49-F238E27FC236}">
              <a16:creationId xmlns:a16="http://schemas.microsoft.com/office/drawing/2014/main" id="{2A03E69C-34C6-A35E-4373-3047E266B1F2}"/>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726" name="Text Box 86" hidden="1">
          <a:extLst>
            <a:ext uri="{FF2B5EF4-FFF2-40B4-BE49-F238E27FC236}">
              <a16:creationId xmlns:a16="http://schemas.microsoft.com/office/drawing/2014/main" id="{A36CF2CE-94C0-D74E-55AC-00EF13E357D7}"/>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25" name="Text Box 85" hidden="1">
          <a:extLst>
            <a:ext uri="{FF2B5EF4-FFF2-40B4-BE49-F238E27FC236}">
              <a16:creationId xmlns:a16="http://schemas.microsoft.com/office/drawing/2014/main" id="{A48546FD-C706-EF64-C435-9906A50B1BCD}"/>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24" name="Text Box 84" hidden="1">
          <a:extLst>
            <a:ext uri="{FF2B5EF4-FFF2-40B4-BE49-F238E27FC236}">
              <a16:creationId xmlns:a16="http://schemas.microsoft.com/office/drawing/2014/main" id="{4AE29BD2-2FD2-DB96-2A66-ED7266CBE2CE}"/>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723" name="Text Box 83" hidden="1">
          <a:extLst>
            <a:ext uri="{FF2B5EF4-FFF2-40B4-BE49-F238E27FC236}">
              <a16:creationId xmlns:a16="http://schemas.microsoft.com/office/drawing/2014/main" id="{7DC0EFC8-DDCE-9191-6425-C0D5DCCF480A}"/>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22" name="Text Box 82" hidden="1">
          <a:extLst>
            <a:ext uri="{FF2B5EF4-FFF2-40B4-BE49-F238E27FC236}">
              <a16:creationId xmlns:a16="http://schemas.microsoft.com/office/drawing/2014/main" id="{EC65C9DC-12CE-D79A-22DC-286BA765253B}"/>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21" name="Text Box 81" hidden="1">
          <a:extLst>
            <a:ext uri="{FF2B5EF4-FFF2-40B4-BE49-F238E27FC236}">
              <a16:creationId xmlns:a16="http://schemas.microsoft.com/office/drawing/2014/main" id="{94E302CE-AFE9-B4A6-2BA2-D0065E1DF572}"/>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20" name="Text Box 80" hidden="1">
          <a:extLst>
            <a:ext uri="{FF2B5EF4-FFF2-40B4-BE49-F238E27FC236}">
              <a16:creationId xmlns:a16="http://schemas.microsoft.com/office/drawing/2014/main" id="{6573C4F4-8E0A-80E5-A8E9-DC19E7A3F1B9}"/>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19" name="Text Box 79" hidden="1">
          <a:extLst>
            <a:ext uri="{FF2B5EF4-FFF2-40B4-BE49-F238E27FC236}">
              <a16:creationId xmlns:a16="http://schemas.microsoft.com/office/drawing/2014/main" id="{7595E736-F239-3431-D11A-5A851FF5B9A7}"/>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46089</xdr:rowOff>
    </xdr:from>
    <xdr:to>
      <xdr:col>38</xdr:col>
      <xdr:colOff>418991</xdr:colOff>
      <xdr:row>61</xdr:row>
      <xdr:rowOff>46089</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46089</xdr:rowOff>
    </xdr:from>
    <xdr:to>
      <xdr:col>38</xdr:col>
      <xdr:colOff>304691</xdr:colOff>
      <xdr:row>63</xdr:row>
      <xdr:rowOff>125880</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8980</xdr:rowOff>
    </xdr:from>
    <xdr:to>
      <xdr:col>38</xdr:col>
      <xdr:colOff>304691</xdr:colOff>
      <xdr:row>74</xdr:row>
      <xdr:rowOff>8980</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8980</xdr:rowOff>
    </xdr:from>
    <xdr:to>
      <xdr:col>38</xdr:col>
      <xdr:colOff>380891</xdr:colOff>
      <xdr:row>74</xdr:row>
      <xdr:rowOff>8980</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46089</xdr:rowOff>
    </xdr:from>
    <xdr:to>
      <xdr:col>38</xdr:col>
      <xdr:colOff>380891</xdr:colOff>
      <xdr:row>61</xdr:row>
      <xdr:rowOff>46089</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418991</xdr:colOff>
      <xdr:row>46</xdr:row>
      <xdr:rowOff>126315</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126315</xdr:rowOff>
    </xdr:from>
    <xdr:to>
      <xdr:col>38</xdr:col>
      <xdr:colOff>304691</xdr:colOff>
      <xdr:row>52</xdr:row>
      <xdr:rowOff>11359</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54</xdr:row>
      <xdr:rowOff>11268</xdr:rowOff>
    </xdr:from>
    <xdr:to>
      <xdr:col>38</xdr:col>
      <xdr:colOff>304691</xdr:colOff>
      <xdr:row>54</xdr:row>
      <xdr:rowOff>11268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54</xdr:row>
      <xdr:rowOff>11268</xdr:rowOff>
    </xdr:from>
    <xdr:to>
      <xdr:col>38</xdr:col>
      <xdr:colOff>380891</xdr:colOff>
      <xdr:row>54</xdr:row>
      <xdr:rowOff>11268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380891</xdr:colOff>
      <xdr:row>46</xdr:row>
      <xdr:rowOff>126315</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392723</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88715</xdr:rowOff>
    </xdr:from>
    <xdr:to>
      <xdr:col>38</xdr:col>
      <xdr:colOff>352718</xdr:colOff>
      <xdr:row>49</xdr:row>
      <xdr:rowOff>180169</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352718</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149519</xdr:colOff>
      <xdr:row>32</xdr:row>
      <xdr:rowOff>1039024</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117134</xdr:colOff>
      <xdr:row>32</xdr:row>
      <xdr:rowOff>1039024</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135538</xdr:rowOff>
    </xdr:from>
    <xdr:to>
      <xdr:col>42</xdr:col>
      <xdr:colOff>74454</xdr:colOff>
      <xdr:row>62</xdr:row>
      <xdr:rowOff>104647</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50295</xdr:rowOff>
    </xdr:from>
    <xdr:to>
      <xdr:col>41</xdr:col>
      <xdr:colOff>677069</xdr:colOff>
      <xdr:row>85</xdr:row>
      <xdr:rowOff>65284</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21837</xdr:rowOff>
    </xdr:from>
    <xdr:to>
      <xdr:col>38</xdr:col>
      <xdr:colOff>234950</xdr:colOff>
      <xdr:row>58</xdr:row>
      <xdr:rowOff>313510</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21837</xdr:rowOff>
    </xdr:from>
    <xdr:to>
      <xdr:col>38</xdr:col>
      <xdr:colOff>311150</xdr:colOff>
      <xdr:row>58</xdr:row>
      <xdr:rowOff>313510</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126016</xdr:rowOff>
    </xdr:from>
    <xdr:to>
      <xdr:col>41</xdr:col>
      <xdr:colOff>677069</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184022</xdr:rowOff>
    </xdr:from>
    <xdr:to>
      <xdr:col>3</xdr:col>
      <xdr:colOff>304800</xdr:colOff>
      <xdr:row>32</xdr:row>
      <xdr:rowOff>159280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102668</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183402</xdr:rowOff>
    </xdr:from>
    <xdr:to>
      <xdr:col>20</xdr:col>
      <xdr:colOff>152400</xdr:colOff>
      <xdr:row>45</xdr:row>
      <xdr:rowOff>11530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231609</xdr:rowOff>
    </xdr:from>
    <xdr:to>
      <xdr:col>20</xdr:col>
      <xdr:colOff>311785</xdr:colOff>
      <xdr:row>37</xdr:row>
      <xdr:rowOff>27556</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125207</xdr:rowOff>
    </xdr:from>
    <xdr:to>
      <xdr:col>42</xdr:col>
      <xdr:colOff>67469</xdr:colOff>
      <xdr:row>82</xdr:row>
      <xdr:rowOff>82858</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114</xdr:row>
      <xdr:rowOff>7733</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120975</xdr:rowOff>
    </xdr:from>
    <xdr:to>
      <xdr:col>38</xdr:col>
      <xdr:colOff>227965</xdr:colOff>
      <xdr:row>78</xdr:row>
      <xdr:rowOff>49940</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120975</xdr:rowOff>
    </xdr:from>
    <xdr:to>
      <xdr:col>38</xdr:col>
      <xdr:colOff>311150</xdr:colOff>
      <xdr:row>78</xdr:row>
      <xdr:rowOff>49940</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91</xdr:row>
      <xdr:rowOff>28884</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238985</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103309</xdr:rowOff>
    </xdr:from>
    <xdr:to>
      <xdr:col>20</xdr:col>
      <xdr:colOff>145415</xdr:colOff>
      <xdr:row>59</xdr:row>
      <xdr:rowOff>180459</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64693</xdr:rowOff>
    </xdr:from>
    <xdr:to>
      <xdr:col>3</xdr:col>
      <xdr:colOff>304800</xdr:colOff>
      <xdr:row>19</xdr:row>
      <xdr:rowOff>27625</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11081</xdr:rowOff>
    </xdr:from>
    <xdr:to>
      <xdr:col>3</xdr:col>
      <xdr:colOff>304800</xdr:colOff>
      <xdr:row>21</xdr:row>
      <xdr:rowOff>28737</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28042</xdr:rowOff>
    </xdr:from>
    <xdr:to>
      <xdr:col>3</xdr:col>
      <xdr:colOff>304800</xdr:colOff>
      <xdr:row>46</xdr:row>
      <xdr:rowOff>9879</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131243</xdr:rowOff>
    </xdr:from>
    <xdr:to>
      <xdr:col>20</xdr:col>
      <xdr:colOff>335915</xdr:colOff>
      <xdr:row>48</xdr:row>
      <xdr:rowOff>8495</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134826</xdr:rowOff>
    </xdr:from>
    <xdr:to>
      <xdr:col>42</xdr:col>
      <xdr:colOff>67469</xdr:colOff>
      <xdr:row>83</xdr:row>
      <xdr:rowOff>66936</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115</xdr:row>
      <xdr:rowOff>184072</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103120</xdr:rowOff>
    </xdr:from>
    <xdr:to>
      <xdr:col>38</xdr:col>
      <xdr:colOff>215900</xdr:colOff>
      <xdr:row>78</xdr:row>
      <xdr:rowOff>183279</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103120</xdr:rowOff>
    </xdr:from>
    <xdr:to>
      <xdr:col>38</xdr:col>
      <xdr:colOff>320675</xdr:colOff>
      <xdr:row>78</xdr:row>
      <xdr:rowOff>183279</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92</xdr:row>
      <xdr:rowOff>45598</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67035</xdr:rowOff>
    </xdr:from>
    <xdr:to>
      <xdr:col>3</xdr:col>
      <xdr:colOff>314325</xdr:colOff>
      <xdr:row>45</xdr:row>
      <xdr:rowOff>197703</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273066</xdr:rowOff>
    </xdr:from>
    <xdr:to>
      <xdr:col>20</xdr:col>
      <xdr:colOff>333375</xdr:colOff>
      <xdr:row>49</xdr:row>
      <xdr:rowOff>69503</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123292</xdr:rowOff>
    </xdr:from>
    <xdr:to>
      <xdr:col>42</xdr:col>
      <xdr:colOff>67469</xdr:colOff>
      <xdr:row>72</xdr:row>
      <xdr:rowOff>50080</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100</xdr:row>
      <xdr:rowOff>140755</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10021</xdr:rowOff>
    </xdr:from>
    <xdr:to>
      <xdr:col>38</xdr:col>
      <xdr:colOff>215900</xdr:colOff>
      <xdr:row>67</xdr:row>
      <xdr:rowOff>182739</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10021</xdr:rowOff>
    </xdr:from>
    <xdr:to>
      <xdr:col>38</xdr:col>
      <xdr:colOff>311150</xdr:colOff>
      <xdr:row>67</xdr:row>
      <xdr:rowOff>182739</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78</xdr:row>
      <xdr:rowOff>25474</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173063</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130522</xdr:rowOff>
    </xdr:from>
    <xdr:to>
      <xdr:col>42</xdr:col>
      <xdr:colOff>67469</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79</xdr:row>
      <xdr:rowOff>63631</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58</xdr:row>
      <xdr:rowOff>172196</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189130</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107490</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107490</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116740</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171724</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68976</xdr:rowOff>
    </xdr:from>
    <xdr:to>
      <xdr:col>3</xdr:col>
      <xdr:colOff>304800</xdr:colOff>
      <xdr:row>24</xdr:row>
      <xdr:rowOff>314573</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9787</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64132</xdr:rowOff>
    </xdr:from>
    <xdr:to>
      <xdr:col>20</xdr:col>
      <xdr:colOff>114300</xdr:colOff>
      <xdr:row>47</xdr:row>
      <xdr:rowOff>161017</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104601</xdr:rowOff>
    </xdr:from>
    <xdr:to>
      <xdr:col>3</xdr:col>
      <xdr:colOff>171450</xdr:colOff>
      <xdr:row>24</xdr:row>
      <xdr:rowOff>276473</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130281</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85797</xdr:rowOff>
    </xdr:from>
    <xdr:to>
      <xdr:col>23</xdr:col>
      <xdr:colOff>190500</xdr:colOff>
      <xdr:row>26</xdr:row>
      <xdr:rowOff>107660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773139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754089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314325</xdr:colOff>
      <xdr:row>24</xdr:row>
      <xdr:rowOff>201254</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143387</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113583</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83369</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24</xdr:row>
      <xdr:rowOff>57969</xdr:rowOff>
    </xdr:from>
    <xdr:to>
      <xdr:col>3</xdr:col>
      <xdr:colOff>311150</xdr:colOff>
      <xdr:row>26</xdr:row>
      <xdr:rowOff>63910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44450</xdr:rowOff>
    </xdr:from>
    <xdr:to>
      <xdr:col>3</xdr:col>
      <xdr:colOff>304800</xdr:colOff>
      <xdr:row>24</xdr:row>
      <xdr:rowOff>330200</xdr:rowOff>
    </xdr:to>
    <xdr:sp macro="" textlink="">
      <xdr:nvSpPr>
        <xdr:cNvPr id="369705" name="Text Box 41" hidden="1">
          <a:extLst>
            <a:ext uri="{FF2B5EF4-FFF2-40B4-BE49-F238E27FC236}">
              <a16:creationId xmlns:a16="http://schemas.microsoft.com/office/drawing/2014/main" id="{F1BED5FD-CFA0-05B4-7015-EAD49E07A377}"/>
            </a:ext>
          </a:extLst>
        </xdr:cNvPr>
        <xdr:cNvSpPr txBox="1">
          <a:spLocks noChangeArrowheads="1"/>
        </xdr:cNvSpPr>
      </xdr:nvSpPr>
      <xdr:spPr bwMode="auto">
        <a:xfrm>
          <a:off x="4883150" y="3562350"/>
          <a:ext cx="1409700" cy="157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704" name="Text Box 40" hidden="1">
          <a:extLst>
            <a:ext uri="{FF2B5EF4-FFF2-40B4-BE49-F238E27FC236}">
              <a16:creationId xmlns:a16="http://schemas.microsoft.com/office/drawing/2014/main" id="{0683CA68-77A6-07F3-F221-9B4BBD4E5AC6}"/>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703" name="Text Box 39" hidden="1">
          <a:extLst>
            <a:ext uri="{FF2B5EF4-FFF2-40B4-BE49-F238E27FC236}">
              <a16:creationId xmlns:a16="http://schemas.microsoft.com/office/drawing/2014/main" id="{E42FC10D-713E-B7E2-CFB6-95DF9BC82C1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57150</xdr:rowOff>
    </xdr:to>
    <xdr:sp macro="" textlink="">
      <xdr:nvSpPr>
        <xdr:cNvPr id="369702" name="Text Box 38" hidden="1">
          <a:extLst>
            <a:ext uri="{FF2B5EF4-FFF2-40B4-BE49-F238E27FC236}">
              <a16:creationId xmlns:a16="http://schemas.microsoft.com/office/drawing/2014/main" id="{A32BB5EF-C65A-ACED-CC6E-5E2367FE717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63500</xdr:rowOff>
    </xdr:from>
    <xdr:to>
      <xdr:col>3</xdr:col>
      <xdr:colOff>304800</xdr:colOff>
      <xdr:row>32</xdr:row>
      <xdr:rowOff>1047750</xdr:rowOff>
    </xdr:to>
    <xdr:sp macro="" textlink="">
      <xdr:nvSpPr>
        <xdr:cNvPr id="369701" name="Text Box 37" hidden="1">
          <a:extLst>
            <a:ext uri="{FF2B5EF4-FFF2-40B4-BE49-F238E27FC236}">
              <a16:creationId xmlns:a16="http://schemas.microsoft.com/office/drawing/2014/main" id="{C260E017-D213-3A88-9697-EB8FBFEA416E}"/>
            </a:ext>
          </a:extLst>
        </xdr:cNvPr>
        <xdr:cNvSpPr txBox="1">
          <a:spLocks noChangeArrowheads="1"/>
        </xdr:cNvSpPr>
      </xdr:nvSpPr>
      <xdr:spPr bwMode="auto">
        <a:xfrm>
          <a:off x="4864100" y="6648450"/>
          <a:ext cx="142875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44450</xdr:rowOff>
    </xdr:from>
    <xdr:to>
      <xdr:col>3</xdr:col>
      <xdr:colOff>304800</xdr:colOff>
      <xdr:row>27</xdr:row>
      <xdr:rowOff>19050</xdr:rowOff>
    </xdr:to>
    <xdr:sp macro="" textlink="">
      <xdr:nvSpPr>
        <xdr:cNvPr id="369700" name="Text Box 36" hidden="1">
          <a:extLst>
            <a:ext uri="{FF2B5EF4-FFF2-40B4-BE49-F238E27FC236}">
              <a16:creationId xmlns:a16="http://schemas.microsoft.com/office/drawing/2014/main" id="{E45EC4C2-5710-8E63-3415-67C863B5D92F}"/>
            </a:ext>
          </a:extLst>
        </xdr:cNvPr>
        <xdr:cNvSpPr txBox="1">
          <a:spLocks noChangeArrowheads="1"/>
        </xdr:cNvSpPr>
      </xdr:nvSpPr>
      <xdr:spPr bwMode="auto">
        <a:xfrm>
          <a:off x="4864100" y="5219700"/>
          <a:ext cx="1428750" cy="609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51" name="Text Box 63" hidden="1">
          <a:extLst>
            <a:ext uri="{FF2B5EF4-FFF2-40B4-BE49-F238E27FC236}">
              <a16:creationId xmlns:a16="http://schemas.microsoft.com/office/drawing/2014/main" id="{A0F2599F-9FA8-0763-A7D0-F6E6B07481C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50" name="Text Box 62" hidden="1">
          <a:extLst>
            <a:ext uri="{FF2B5EF4-FFF2-40B4-BE49-F238E27FC236}">
              <a16:creationId xmlns:a16="http://schemas.microsoft.com/office/drawing/2014/main" id="{8F854404-1F2D-BDBF-3DF8-2F4306DFBB8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9" name="Text Box 61" hidden="1">
          <a:extLst>
            <a:ext uri="{FF2B5EF4-FFF2-40B4-BE49-F238E27FC236}">
              <a16:creationId xmlns:a16="http://schemas.microsoft.com/office/drawing/2014/main" id="{CB15ED4D-6C8F-C645-4F91-C6658D98AF7C}"/>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48" name="Text Box 60" hidden="1">
          <a:extLst>
            <a:ext uri="{FF2B5EF4-FFF2-40B4-BE49-F238E27FC236}">
              <a16:creationId xmlns:a16="http://schemas.microsoft.com/office/drawing/2014/main" id="{69136005-7E81-47EE-A4EE-332362A87A4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47" name="Text Box 59" hidden="1">
          <a:extLst>
            <a:ext uri="{FF2B5EF4-FFF2-40B4-BE49-F238E27FC236}">
              <a16:creationId xmlns:a16="http://schemas.microsoft.com/office/drawing/2014/main" id="{F3A7BCB5-4B22-DE05-55B8-93B9F03110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46" name="Text Box 58" hidden="1">
          <a:extLst>
            <a:ext uri="{FF2B5EF4-FFF2-40B4-BE49-F238E27FC236}">
              <a16:creationId xmlns:a16="http://schemas.microsoft.com/office/drawing/2014/main" id="{B3E09B1A-C658-67EE-CB23-66100BBA950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45" name="Text Box 57" hidden="1">
          <a:extLst>
            <a:ext uri="{FF2B5EF4-FFF2-40B4-BE49-F238E27FC236}">
              <a16:creationId xmlns:a16="http://schemas.microsoft.com/office/drawing/2014/main" id="{EC704C32-E3B5-65F7-682D-2B3ACE9C085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44" name="Text Box 56" hidden="1">
          <a:extLst>
            <a:ext uri="{FF2B5EF4-FFF2-40B4-BE49-F238E27FC236}">
              <a16:creationId xmlns:a16="http://schemas.microsoft.com/office/drawing/2014/main" id="{5DEE3E38-CD5F-44F9-3FA6-91FF427E2CC0}"/>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43" name="Text Box 55" hidden="1">
          <a:extLst>
            <a:ext uri="{FF2B5EF4-FFF2-40B4-BE49-F238E27FC236}">
              <a16:creationId xmlns:a16="http://schemas.microsoft.com/office/drawing/2014/main" id="{5E79D5A1-4F1A-4320-D48B-63DF90ACC871}"/>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7408</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60" name="Text Box 48" hidden="1">
          <a:extLst>
            <a:ext uri="{FF2B5EF4-FFF2-40B4-BE49-F238E27FC236}">
              <a16:creationId xmlns:a16="http://schemas.microsoft.com/office/drawing/2014/main" id="{5E5BB3DD-A2E9-B9DD-00BF-9394E2D128BD}"/>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9" name="Text Box 47" hidden="1">
          <a:extLst>
            <a:ext uri="{FF2B5EF4-FFF2-40B4-BE49-F238E27FC236}">
              <a16:creationId xmlns:a16="http://schemas.microsoft.com/office/drawing/2014/main" id="{CEF238E0-DADE-0483-24EA-0EC70D06831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8" name="Text Box 46" hidden="1">
          <a:extLst>
            <a:ext uri="{FF2B5EF4-FFF2-40B4-BE49-F238E27FC236}">
              <a16:creationId xmlns:a16="http://schemas.microsoft.com/office/drawing/2014/main" id="{091EE176-F7F1-C354-94C4-67F74A4EBDC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7" name="Text Box 45" hidden="1">
          <a:extLst>
            <a:ext uri="{FF2B5EF4-FFF2-40B4-BE49-F238E27FC236}">
              <a16:creationId xmlns:a16="http://schemas.microsoft.com/office/drawing/2014/main" id="{FBFA5CEA-6183-FD78-A79F-5F915DF41C09}"/>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6" name="Text Box 44" hidden="1">
          <a:extLst>
            <a:ext uri="{FF2B5EF4-FFF2-40B4-BE49-F238E27FC236}">
              <a16:creationId xmlns:a16="http://schemas.microsoft.com/office/drawing/2014/main" id="{1507433C-B5E9-4581-45BC-28E6735BEB81}"/>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55" name="Text Box 43" hidden="1">
          <a:extLst>
            <a:ext uri="{FF2B5EF4-FFF2-40B4-BE49-F238E27FC236}">
              <a16:creationId xmlns:a16="http://schemas.microsoft.com/office/drawing/2014/main" id="{782DCA88-0EE7-79AC-F7DA-13EBBEAE6CD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2" name="Text Box 16" hidden="1">
          <a:extLst>
            <a:ext uri="{FF2B5EF4-FFF2-40B4-BE49-F238E27FC236}">
              <a16:creationId xmlns:a16="http://schemas.microsoft.com/office/drawing/2014/main" id="{417E21E3-3DFA-BDF8-85A1-D363F8B5963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51" name="Text Box 15" hidden="1">
          <a:extLst>
            <a:ext uri="{FF2B5EF4-FFF2-40B4-BE49-F238E27FC236}">
              <a16:creationId xmlns:a16="http://schemas.microsoft.com/office/drawing/2014/main" id="{D199CEA1-A92A-2867-AEAD-2BEAE7818568}"/>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7" name="Text Box 7" hidden="1">
          <a:extLst>
            <a:ext uri="{FF2B5EF4-FFF2-40B4-BE49-F238E27FC236}">
              <a16:creationId xmlns:a16="http://schemas.microsoft.com/office/drawing/2014/main" id="{98105ECB-4531-76BE-592D-1DA10C900CEE}"/>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26" name="Text Box 142" hidden="1">
          <a:extLst>
            <a:ext uri="{FF2B5EF4-FFF2-40B4-BE49-F238E27FC236}">
              <a16:creationId xmlns:a16="http://schemas.microsoft.com/office/drawing/2014/main" id="{44CBEB54-94E7-D176-530E-33046E0EFEAA}"/>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25" name="Text Box 141" hidden="1">
          <a:extLst>
            <a:ext uri="{FF2B5EF4-FFF2-40B4-BE49-F238E27FC236}">
              <a16:creationId xmlns:a16="http://schemas.microsoft.com/office/drawing/2014/main" id="{DA867F36-B0DD-B955-60C9-B85F5E9979C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924" name="Text Box 140" hidden="1">
          <a:extLst>
            <a:ext uri="{FF2B5EF4-FFF2-40B4-BE49-F238E27FC236}">
              <a16:creationId xmlns:a16="http://schemas.microsoft.com/office/drawing/2014/main" id="{DA22E1CE-44D2-A3FB-C121-7297F756A479}"/>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923" name="Text Box 139" hidden="1">
          <a:extLst>
            <a:ext uri="{FF2B5EF4-FFF2-40B4-BE49-F238E27FC236}">
              <a16:creationId xmlns:a16="http://schemas.microsoft.com/office/drawing/2014/main" id="{A1E55287-D9F6-0231-6C4C-A0503604C4DC}"/>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22" name="Text Box 138" hidden="1">
          <a:extLst>
            <a:ext uri="{FF2B5EF4-FFF2-40B4-BE49-F238E27FC236}">
              <a16:creationId xmlns:a16="http://schemas.microsoft.com/office/drawing/2014/main" id="{BC53C7C5-1A23-C1F3-FA5C-6B074DA57A6F}"/>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21" name="Text Box 137" hidden="1">
          <a:extLst>
            <a:ext uri="{FF2B5EF4-FFF2-40B4-BE49-F238E27FC236}">
              <a16:creationId xmlns:a16="http://schemas.microsoft.com/office/drawing/2014/main" id="{14A9F053-8E96-BE20-EBF5-5645FB98A6C8}"/>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20" name="Text Box 136" hidden="1">
          <a:extLst>
            <a:ext uri="{FF2B5EF4-FFF2-40B4-BE49-F238E27FC236}">
              <a16:creationId xmlns:a16="http://schemas.microsoft.com/office/drawing/2014/main" id="{C55E3C02-9AFB-6A84-D41C-234DCD8CD37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919" name="Text Box 135" hidden="1">
          <a:extLst>
            <a:ext uri="{FF2B5EF4-FFF2-40B4-BE49-F238E27FC236}">
              <a16:creationId xmlns:a16="http://schemas.microsoft.com/office/drawing/2014/main" id="{84D963D4-19DB-0E74-BAC3-81A2DB78DDF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918" name="Text Box 134" hidden="1">
          <a:extLst>
            <a:ext uri="{FF2B5EF4-FFF2-40B4-BE49-F238E27FC236}">
              <a16:creationId xmlns:a16="http://schemas.microsoft.com/office/drawing/2014/main" id="{D5DB868C-9447-0B67-0E6C-25DFE648D467}"/>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917" name="Text Box 133" hidden="1">
          <a:extLst>
            <a:ext uri="{FF2B5EF4-FFF2-40B4-BE49-F238E27FC236}">
              <a16:creationId xmlns:a16="http://schemas.microsoft.com/office/drawing/2014/main" id="{19C590AE-8FBE-AA49-B07F-B59EDA109BC2}"/>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916" name="Text Box 132" hidden="1">
          <a:extLst>
            <a:ext uri="{FF2B5EF4-FFF2-40B4-BE49-F238E27FC236}">
              <a16:creationId xmlns:a16="http://schemas.microsoft.com/office/drawing/2014/main" id="{11C25214-701A-CB0D-790E-6E96E8E41A8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915" name="Text Box 131" hidden="1">
          <a:extLst>
            <a:ext uri="{FF2B5EF4-FFF2-40B4-BE49-F238E27FC236}">
              <a16:creationId xmlns:a16="http://schemas.microsoft.com/office/drawing/2014/main" id="{872FECBC-09FA-7AC1-6F5A-BDCA863844A8}"/>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914" name="Text Box 130" hidden="1">
          <a:extLst>
            <a:ext uri="{FF2B5EF4-FFF2-40B4-BE49-F238E27FC236}">
              <a16:creationId xmlns:a16="http://schemas.microsoft.com/office/drawing/2014/main" id="{E906E474-255E-89DD-64D1-AEDE66CF1182}"/>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913" name="Text Box 129" hidden="1">
          <a:extLst>
            <a:ext uri="{FF2B5EF4-FFF2-40B4-BE49-F238E27FC236}">
              <a16:creationId xmlns:a16="http://schemas.microsoft.com/office/drawing/2014/main" id="{CFEEA6C7-2DC4-05CE-0541-26589B6B2AE5}"/>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912" name="Text Box 128" hidden="1">
          <a:extLst>
            <a:ext uri="{FF2B5EF4-FFF2-40B4-BE49-F238E27FC236}">
              <a16:creationId xmlns:a16="http://schemas.microsoft.com/office/drawing/2014/main" id="{3E92EEF5-5BB4-CB63-72FA-EE9C9DE8A473}"/>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911" name="Text Box 127" hidden="1">
          <a:extLst>
            <a:ext uri="{FF2B5EF4-FFF2-40B4-BE49-F238E27FC236}">
              <a16:creationId xmlns:a16="http://schemas.microsoft.com/office/drawing/2014/main" id="{D2C34B1F-1827-9798-151D-348FBCC1D8B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910" name="Text Box 126" hidden="1">
          <a:extLst>
            <a:ext uri="{FF2B5EF4-FFF2-40B4-BE49-F238E27FC236}">
              <a16:creationId xmlns:a16="http://schemas.microsoft.com/office/drawing/2014/main" id="{D959D2F7-D239-F7DD-D729-16CC8C5EF7E3}"/>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909" name="Text Box 125" hidden="1">
          <a:extLst>
            <a:ext uri="{FF2B5EF4-FFF2-40B4-BE49-F238E27FC236}">
              <a16:creationId xmlns:a16="http://schemas.microsoft.com/office/drawing/2014/main" id="{D6915854-6D2F-E916-0A70-1D3CADD80A07}"/>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908" name="Text Box 124" hidden="1">
          <a:extLst>
            <a:ext uri="{FF2B5EF4-FFF2-40B4-BE49-F238E27FC236}">
              <a16:creationId xmlns:a16="http://schemas.microsoft.com/office/drawing/2014/main" id="{F8439B05-D575-4180-3D28-93A7E6740A20}"/>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907" name="Text Box 123" hidden="1">
          <a:extLst>
            <a:ext uri="{FF2B5EF4-FFF2-40B4-BE49-F238E27FC236}">
              <a16:creationId xmlns:a16="http://schemas.microsoft.com/office/drawing/2014/main" id="{0102F9C9-EA73-46F5-EECA-7FAD8BEDD81D}"/>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847934</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47385</xdr:rowOff>
    </xdr:from>
    <xdr:to>
      <xdr:col>7</xdr:col>
      <xdr:colOff>829557</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47385</xdr:rowOff>
    </xdr:from>
    <xdr:to>
      <xdr:col>7</xdr:col>
      <xdr:colOff>831462</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47385</xdr:rowOff>
    </xdr:from>
    <xdr:to>
      <xdr:col>7</xdr:col>
      <xdr:colOff>831462</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812794</xdr:colOff>
      <xdr:row>69</xdr:row>
      <xdr:rowOff>19541</xdr:rowOff>
    </xdr:from>
    <xdr:to>
      <xdr:col>7</xdr:col>
      <xdr:colOff>808660</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812794</xdr:colOff>
      <xdr:row>69</xdr:row>
      <xdr:rowOff>19541</xdr:rowOff>
    </xdr:from>
    <xdr:to>
      <xdr:col>7</xdr:col>
      <xdr:colOff>808660</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62" name="Text Box 154" hidden="1">
          <a:extLst>
            <a:ext uri="{FF2B5EF4-FFF2-40B4-BE49-F238E27FC236}">
              <a16:creationId xmlns:a16="http://schemas.microsoft.com/office/drawing/2014/main" id="{3FD53212-F054-61C2-7FFF-E87508485AAE}"/>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61" name="Text Box 153" hidden="1">
          <a:extLst>
            <a:ext uri="{FF2B5EF4-FFF2-40B4-BE49-F238E27FC236}">
              <a16:creationId xmlns:a16="http://schemas.microsoft.com/office/drawing/2014/main" id="{46151679-B154-820F-215A-53733B7ED3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60" name="Text Box 152" hidden="1">
          <a:extLst>
            <a:ext uri="{FF2B5EF4-FFF2-40B4-BE49-F238E27FC236}">
              <a16:creationId xmlns:a16="http://schemas.microsoft.com/office/drawing/2014/main" id="{4E6402EE-ACE2-8A98-F60E-B0F49D453C13}"/>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59" name="Text Box 151" hidden="1">
          <a:extLst>
            <a:ext uri="{FF2B5EF4-FFF2-40B4-BE49-F238E27FC236}">
              <a16:creationId xmlns:a16="http://schemas.microsoft.com/office/drawing/2014/main" id="{C7E2D83F-BE28-DDD9-997B-9D52B00E66AF}"/>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58" name="Text Box 150" hidden="1">
          <a:extLst>
            <a:ext uri="{FF2B5EF4-FFF2-40B4-BE49-F238E27FC236}">
              <a16:creationId xmlns:a16="http://schemas.microsoft.com/office/drawing/2014/main" id="{A424EE92-A47A-DD83-E96C-93FAFE8B3D2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57" name="Text Box 149" hidden="1">
          <a:extLst>
            <a:ext uri="{FF2B5EF4-FFF2-40B4-BE49-F238E27FC236}">
              <a16:creationId xmlns:a16="http://schemas.microsoft.com/office/drawing/2014/main" id="{ED0AA085-DA87-AC56-E6B9-14F8B3D835B9}"/>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56" name="Text Box 148" hidden="1">
          <a:extLst>
            <a:ext uri="{FF2B5EF4-FFF2-40B4-BE49-F238E27FC236}">
              <a16:creationId xmlns:a16="http://schemas.microsoft.com/office/drawing/2014/main" id="{F79D0816-123A-6A4C-17A0-87A9C6E3EB2A}"/>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55" name="Text Box 147" hidden="1">
          <a:extLst>
            <a:ext uri="{FF2B5EF4-FFF2-40B4-BE49-F238E27FC236}">
              <a16:creationId xmlns:a16="http://schemas.microsoft.com/office/drawing/2014/main" id="{16F2268E-0165-2B09-AC01-15572E9BA154}"/>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54" name="Text Box 146" hidden="1">
          <a:extLst>
            <a:ext uri="{FF2B5EF4-FFF2-40B4-BE49-F238E27FC236}">
              <a16:creationId xmlns:a16="http://schemas.microsoft.com/office/drawing/2014/main" id="{2E353AFA-0520-61A6-BF13-C21B1FB7F32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53" name="Text Box 145" hidden="1">
          <a:extLst>
            <a:ext uri="{FF2B5EF4-FFF2-40B4-BE49-F238E27FC236}">
              <a16:creationId xmlns:a16="http://schemas.microsoft.com/office/drawing/2014/main" id="{B0E81486-E9B1-0F86-7913-5A48B33DAF88}"/>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52" name="Text Box 144" hidden="1">
          <a:extLst>
            <a:ext uri="{FF2B5EF4-FFF2-40B4-BE49-F238E27FC236}">
              <a16:creationId xmlns:a16="http://schemas.microsoft.com/office/drawing/2014/main" id="{2C8A7595-B8A4-9275-DC6C-4E474414894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51" name="Text Box 143" hidden="1">
          <a:extLst>
            <a:ext uri="{FF2B5EF4-FFF2-40B4-BE49-F238E27FC236}">
              <a16:creationId xmlns:a16="http://schemas.microsoft.com/office/drawing/2014/main" id="{117FC335-ED8F-94FF-CAA8-8954DC737595}"/>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50" name="Text Box 142" hidden="1">
          <a:extLst>
            <a:ext uri="{FF2B5EF4-FFF2-40B4-BE49-F238E27FC236}">
              <a16:creationId xmlns:a16="http://schemas.microsoft.com/office/drawing/2014/main" id="{88CACA54-50A5-44AE-AC1C-B5E96E4CBB60}"/>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49" name="Text Box 141" hidden="1">
          <a:extLst>
            <a:ext uri="{FF2B5EF4-FFF2-40B4-BE49-F238E27FC236}">
              <a16:creationId xmlns:a16="http://schemas.microsoft.com/office/drawing/2014/main" id="{227DA012-2622-9BDE-847C-62C252050B62}"/>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48" name="Text Box 140" hidden="1">
          <a:extLst>
            <a:ext uri="{FF2B5EF4-FFF2-40B4-BE49-F238E27FC236}">
              <a16:creationId xmlns:a16="http://schemas.microsoft.com/office/drawing/2014/main" id="{3D09DB5E-817F-94C9-4655-989EA1F788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47" name="Text Box 139" hidden="1">
          <a:extLst>
            <a:ext uri="{FF2B5EF4-FFF2-40B4-BE49-F238E27FC236}">
              <a16:creationId xmlns:a16="http://schemas.microsoft.com/office/drawing/2014/main" id="{3AA53F6D-E5C8-673D-B5EA-BAE8BCEE31B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46" name="Text Box 138" hidden="1">
          <a:extLst>
            <a:ext uri="{FF2B5EF4-FFF2-40B4-BE49-F238E27FC236}">
              <a16:creationId xmlns:a16="http://schemas.microsoft.com/office/drawing/2014/main" id="{F0C03B70-E039-6320-ECF1-288F40ECC02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45" name="Text Box 137" hidden="1">
          <a:extLst>
            <a:ext uri="{FF2B5EF4-FFF2-40B4-BE49-F238E27FC236}">
              <a16:creationId xmlns:a16="http://schemas.microsoft.com/office/drawing/2014/main" id="{4500437F-6919-3E1C-63E7-21F1432C8191}"/>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44" name="Text Box 136" hidden="1">
          <a:extLst>
            <a:ext uri="{FF2B5EF4-FFF2-40B4-BE49-F238E27FC236}">
              <a16:creationId xmlns:a16="http://schemas.microsoft.com/office/drawing/2014/main" id="{7D165916-B3F8-AF5F-5AFE-7C1FB11E7000}"/>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943" name="Text Box 135" hidden="1">
          <a:extLst>
            <a:ext uri="{FF2B5EF4-FFF2-40B4-BE49-F238E27FC236}">
              <a16:creationId xmlns:a16="http://schemas.microsoft.com/office/drawing/2014/main" id="{E68F2B38-F8FA-A678-34E5-FF4A73E68B3E}"/>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42" name="Text Box 134" hidden="1">
          <a:extLst>
            <a:ext uri="{FF2B5EF4-FFF2-40B4-BE49-F238E27FC236}">
              <a16:creationId xmlns:a16="http://schemas.microsoft.com/office/drawing/2014/main" id="{91CA7FF9-F092-F646-D6B2-1447994D5AAB}"/>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41" name="Text Box 133" hidden="1">
          <a:extLst>
            <a:ext uri="{FF2B5EF4-FFF2-40B4-BE49-F238E27FC236}">
              <a16:creationId xmlns:a16="http://schemas.microsoft.com/office/drawing/2014/main" id="{4CF8DF2E-1A17-B7CB-6E85-7B7C4C6B085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75</xdr:row>
      <xdr:rowOff>69705</xdr:rowOff>
    </xdr:from>
    <xdr:to>
      <xdr:col>5</xdr:col>
      <xdr:colOff>190500</xdr:colOff>
      <xdr:row>80</xdr:row>
      <xdr:rowOff>105467</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342103</xdr:rowOff>
    </xdr:from>
    <xdr:to>
      <xdr:col>5</xdr:col>
      <xdr:colOff>190500</xdr:colOff>
      <xdr:row>81</xdr:row>
      <xdr:rowOff>111877</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39474</xdr:rowOff>
    </xdr:from>
    <xdr:to>
      <xdr:col>5</xdr:col>
      <xdr:colOff>190500</xdr:colOff>
      <xdr:row>82</xdr:row>
      <xdr:rowOff>86673</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68949</xdr:rowOff>
    </xdr:from>
    <xdr:to>
      <xdr:col>5</xdr:col>
      <xdr:colOff>190500</xdr:colOff>
      <xdr:row>83</xdr:row>
      <xdr:rowOff>220603</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36229</xdr:rowOff>
    </xdr:from>
    <xdr:to>
      <xdr:col>5</xdr:col>
      <xdr:colOff>190500</xdr:colOff>
      <xdr:row>129</xdr:row>
      <xdr:rowOff>38856</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144983</xdr:rowOff>
    </xdr:from>
    <xdr:to>
      <xdr:col>5</xdr:col>
      <xdr:colOff>190500</xdr:colOff>
      <xdr:row>113</xdr:row>
      <xdr:rowOff>97977</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75</xdr:row>
      <xdr:rowOff>87757</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70</xdr:row>
      <xdr:rowOff>75706</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63</xdr:row>
      <xdr:rowOff>79218</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326249</xdr:rowOff>
    </xdr:from>
    <xdr:to>
      <xdr:col>5</xdr:col>
      <xdr:colOff>190500</xdr:colOff>
      <xdr:row>62</xdr:row>
      <xdr:rowOff>192169</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61</xdr:row>
      <xdr:rowOff>27940</xdr:rowOff>
    </xdr:from>
    <xdr:to>
      <xdr:col>5</xdr:col>
      <xdr:colOff>190500</xdr:colOff>
      <xdr:row>61</xdr:row>
      <xdr:rowOff>368368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180329</xdr:rowOff>
    </xdr:from>
    <xdr:to>
      <xdr:col>6</xdr:col>
      <xdr:colOff>38100</xdr:colOff>
      <xdr:row>111</xdr:row>
      <xdr:rowOff>96783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154662</xdr:rowOff>
    </xdr:from>
    <xdr:to>
      <xdr:col>5</xdr:col>
      <xdr:colOff>190500</xdr:colOff>
      <xdr:row>61</xdr:row>
      <xdr:rowOff>363047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364732</xdr:rowOff>
    </xdr:from>
    <xdr:to>
      <xdr:col>5</xdr:col>
      <xdr:colOff>190500</xdr:colOff>
      <xdr:row>62</xdr:row>
      <xdr:rowOff>77083</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68093</xdr:rowOff>
    </xdr:from>
    <xdr:to>
      <xdr:col>5</xdr:col>
      <xdr:colOff>190500</xdr:colOff>
      <xdr:row>63</xdr:row>
      <xdr:rowOff>64160</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274496</xdr:rowOff>
    </xdr:from>
    <xdr:to>
      <xdr:col>5</xdr:col>
      <xdr:colOff>190500</xdr:colOff>
      <xdr:row>64</xdr:row>
      <xdr:rowOff>94985</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258141</xdr:rowOff>
    </xdr:from>
    <xdr:to>
      <xdr:col>5</xdr:col>
      <xdr:colOff>190500</xdr:colOff>
      <xdr:row>108</xdr:row>
      <xdr:rowOff>122240</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40242</xdr:rowOff>
    </xdr:from>
    <xdr:to>
      <xdr:col>5</xdr:col>
      <xdr:colOff>190500</xdr:colOff>
      <xdr:row>95</xdr:row>
      <xdr:rowOff>76261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59</xdr:row>
      <xdr:rowOff>212604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131472</xdr:rowOff>
    </xdr:from>
    <xdr:to>
      <xdr:col>6</xdr:col>
      <xdr:colOff>38100</xdr:colOff>
      <xdr:row>93</xdr:row>
      <xdr:rowOff>82730</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170187</xdr:rowOff>
    </xdr:from>
    <xdr:to>
      <xdr:col>5</xdr:col>
      <xdr:colOff>190500</xdr:colOff>
      <xdr:row>83</xdr:row>
      <xdr:rowOff>79363</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149642</xdr:rowOff>
    </xdr:from>
    <xdr:to>
      <xdr:col>5</xdr:col>
      <xdr:colOff>190500</xdr:colOff>
      <xdr:row>83</xdr:row>
      <xdr:rowOff>258291</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154309</xdr:rowOff>
    </xdr:from>
    <xdr:to>
      <xdr:col>5</xdr:col>
      <xdr:colOff>190500</xdr:colOff>
      <xdr:row>84</xdr:row>
      <xdr:rowOff>38253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81</xdr:row>
      <xdr:rowOff>54112</xdr:rowOff>
    </xdr:from>
    <xdr:to>
      <xdr:col>5</xdr:col>
      <xdr:colOff>190500</xdr:colOff>
      <xdr:row>84</xdr:row>
      <xdr:rowOff>140906</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60173</xdr:rowOff>
    </xdr:from>
    <xdr:to>
      <xdr:col>5</xdr:col>
      <xdr:colOff>190500</xdr:colOff>
      <xdr:row>120</xdr:row>
      <xdr:rowOff>78150</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62</xdr:row>
      <xdr:rowOff>12218</xdr:rowOff>
    </xdr:from>
    <xdr:to>
      <xdr:col>5</xdr:col>
      <xdr:colOff>190500</xdr:colOff>
      <xdr:row>80</xdr:row>
      <xdr:rowOff>56428</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341668</xdr:rowOff>
    </xdr:from>
    <xdr:to>
      <xdr:col>5</xdr:col>
      <xdr:colOff>190500</xdr:colOff>
      <xdr:row>75</xdr:row>
      <xdr:rowOff>54434</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180413</xdr:rowOff>
    </xdr:from>
    <xdr:to>
      <xdr:col>5</xdr:col>
      <xdr:colOff>190500</xdr:colOff>
      <xdr:row>68</xdr:row>
      <xdr:rowOff>58096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152627</xdr:rowOff>
    </xdr:from>
    <xdr:to>
      <xdr:col>5</xdr:col>
      <xdr:colOff>190500</xdr:colOff>
      <xdr:row>67</xdr:row>
      <xdr:rowOff>133239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121035</xdr:rowOff>
    </xdr:from>
    <xdr:to>
      <xdr:col>5</xdr:col>
      <xdr:colOff>190500</xdr:colOff>
      <xdr:row>66</xdr:row>
      <xdr:rowOff>121035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60173</xdr:rowOff>
    </xdr:from>
    <xdr:to>
      <xdr:col>6</xdr:col>
      <xdr:colOff>38100</xdr:colOff>
      <xdr:row>118</xdr:row>
      <xdr:rowOff>132025</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131962</xdr:rowOff>
    </xdr:from>
    <xdr:to>
      <xdr:col>5</xdr:col>
      <xdr:colOff>190500</xdr:colOff>
      <xdr:row>95</xdr:row>
      <xdr:rowOff>67838</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131962</xdr:rowOff>
    </xdr:from>
    <xdr:to>
      <xdr:col>5</xdr:col>
      <xdr:colOff>190500</xdr:colOff>
      <xdr:row>95</xdr:row>
      <xdr:rowOff>67838</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105768</xdr:rowOff>
    </xdr:from>
    <xdr:to>
      <xdr:col>5</xdr:col>
      <xdr:colOff>190500</xdr:colOff>
      <xdr:row>95</xdr:row>
      <xdr:rowOff>67838</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105768</xdr:rowOff>
    </xdr:from>
    <xdr:to>
      <xdr:col>5</xdr:col>
      <xdr:colOff>190500</xdr:colOff>
      <xdr:row>95</xdr:row>
      <xdr:rowOff>67838</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105768</xdr:rowOff>
    </xdr:from>
    <xdr:to>
      <xdr:col>6</xdr:col>
      <xdr:colOff>38100</xdr:colOff>
      <xdr:row>93</xdr:row>
      <xdr:rowOff>35600</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181666</xdr:rowOff>
    </xdr:from>
    <xdr:to>
      <xdr:col>5</xdr:col>
      <xdr:colOff>640715</xdr:colOff>
      <xdr:row>65</xdr:row>
      <xdr:rowOff>2563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640715</xdr:colOff>
      <xdr:row>65</xdr:row>
      <xdr:rowOff>152203</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31126</xdr:rowOff>
    </xdr:from>
    <xdr:to>
      <xdr:col>5</xdr:col>
      <xdr:colOff>640715</xdr:colOff>
      <xdr:row>66</xdr:row>
      <xdr:rowOff>155535</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640715</xdr:colOff>
      <xdr:row>67</xdr:row>
      <xdr:rowOff>132933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220481</xdr:rowOff>
    </xdr:from>
    <xdr:to>
      <xdr:col>5</xdr:col>
      <xdr:colOff>640715</xdr:colOff>
      <xdr:row>86</xdr:row>
      <xdr:rowOff>160619</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181666</xdr:rowOff>
    </xdr:from>
    <xdr:to>
      <xdr:col>5</xdr:col>
      <xdr:colOff>640715</xdr:colOff>
      <xdr:row>65</xdr:row>
      <xdr:rowOff>2563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640715</xdr:colOff>
      <xdr:row>65</xdr:row>
      <xdr:rowOff>152203</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31126</xdr:rowOff>
    </xdr:from>
    <xdr:to>
      <xdr:col>5</xdr:col>
      <xdr:colOff>640715</xdr:colOff>
      <xdr:row>66</xdr:row>
      <xdr:rowOff>155535</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640715</xdr:colOff>
      <xdr:row>67</xdr:row>
      <xdr:rowOff>132933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220481</xdr:rowOff>
    </xdr:from>
    <xdr:to>
      <xdr:col>5</xdr:col>
      <xdr:colOff>640715</xdr:colOff>
      <xdr:row>86</xdr:row>
      <xdr:rowOff>160619</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640715</xdr:colOff>
      <xdr:row>65</xdr:row>
      <xdr:rowOff>2563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640715</xdr:colOff>
      <xdr:row>65</xdr:row>
      <xdr:rowOff>152203</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640715</xdr:colOff>
      <xdr:row>66</xdr:row>
      <xdr:rowOff>155535</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640715</xdr:colOff>
      <xdr:row>67</xdr:row>
      <xdr:rowOff>132933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640715</xdr:colOff>
      <xdr:row>86</xdr:row>
      <xdr:rowOff>160619</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255939</xdr:rowOff>
    </xdr:from>
    <xdr:to>
      <xdr:col>6</xdr:col>
      <xdr:colOff>38100</xdr:colOff>
      <xdr:row>96</xdr:row>
      <xdr:rowOff>46005</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20469</xdr:rowOff>
    </xdr:from>
    <xdr:to>
      <xdr:col>5</xdr:col>
      <xdr:colOff>609600</xdr:colOff>
      <xdr:row>68</xdr:row>
      <xdr:rowOff>77569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37181</xdr:rowOff>
    </xdr:from>
    <xdr:to>
      <xdr:col>5</xdr:col>
      <xdr:colOff>609600</xdr:colOff>
      <xdr:row>69</xdr:row>
      <xdr:rowOff>87353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68161</xdr:rowOff>
    </xdr:from>
    <xdr:to>
      <xdr:col>5</xdr:col>
      <xdr:colOff>609600</xdr:colOff>
      <xdr:row>70</xdr:row>
      <xdr:rowOff>39188</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48427</xdr:rowOff>
    </xdr:from>
    <xdr:to>
      <xdr:col>5</xdr:col>
      <xdr:colOff>609600</xdr:colOff>
      <xdr:row>71</xdr:row>
      <xdr:rowOff>21985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764</xdr:rowOff>
    </xdr:from>
    <xdr:to>
      <xdr:col>5</xdr:col>
      <xdr:colOff>609600</xdr:colOff>
      <xdr:row>90</xdr:row>
      <xdr:rowOff>159289</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159289</xdr:rowOff>
    </xdr:from>
    <xdr:to>
      <xdr:col>5</xdr:col>
      <xdr:colOff>609600</xdr:colOff>
      <xdr:row>98</xdr:row>
      <xdr:rowOff>28699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159289</xdr:rowOff>
    </xdr:from>
    <xdr:to>
      <xdr:col>5</xdr:col>
      <xdr:colOff>609600</xdr:colOff>
      <xdr:row>96</xdr:row>
      <xdr:rowOff>159263</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78282</xdr:rowOff>
    </xdr:from>
    <xdr:to>
      <xdr:col>6</xdr:col>
      <xdr:colOff>69215</xdr:colOff>
      <xdr:row>119</xdr:row>
      <xdr:rowOff>104344</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126327</xdr:rowOff>
    </xdr:from>
    <xdr:to>
      <xdr:col>5</xdr:col>
      <xdr:colOff>609600</xdr:colOff>
      <xdr:row>79</xdr:row>
      <xdr:rowOff>134111</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121624</xdr:rowOff>
    </xdr:from>
    <xdr:to>
      <xdr:col>5</xdr:col>
      <xdr:colOff>640715</xdr:colOff>
      <xdr:row>77</xdr:row>
      <xdr:rowOff>87823</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163582</xdr:rowOff>
    </xdr:from>
    <xdr:to>
      <xdr:col>5</xdr:col>
      <xdr:colOff>609600</xdr:colOff>
      <xdr:row>72</xdr:row>
      <xdr:rowOff>29324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29104</xdr:rowOff>
    </xdr:from>
    <xdr:to>
      <xdr:col>5</xdr:col>
      <xdr:colOff>609600</xdr:colOff>
      <xdr:row>72</xdr:row>
      <xdr:rowOff>131321</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72</xdr:row>
      <xdr:rowOff>1871</xdr:rowOff>
    </xdr:from>
    <xdr:to>
      <xdr:col>5</xdr:col>
      <xdr:colOff>609600</xdr:colOff>
      <xdr:row>73</xdr:row>
      <xdr:rowOff>95853</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162707</xdr:rowOff>
    </xdr:from>
    <xdr:to>
      <xdr:col>5</xdr:col>
      <xdr:colOff>609600</xdr:colOff>
      <xdr:row>90</xdr:row>
      <xdr:rowOff>144188</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171518</xdr:rowOff>
    </xdr:from>
    <xdr:to>
      <xdr:col>5</xdr:col>
      <xdr:colOff>609600</xdr:colOff>
      <xdr:row>91</xdr:row>
      <xdr:rowOff>102963</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88</xdr:row>
      <xdr:rowOff>2502</xdr:rowOff>
    </xdr:from>
    <xdr:to>
      <xdr:col>5</xdr:col>
      <xdr:colOff>609600</xdr:colOff>
      <xdr:row>92</xdr:row>
      <xdr:rowOff>112253</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58617</xdr:rowOff>
    </xdr:from>
    <xdr:to>
      <xdr:col>5</xdr:col>
      <xdr:colOff>609600</xdr:colOff>
      <xdr:row>93</xdr:row>
      <xdr:rowOff>104379</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200598</xdr:rowOff>
    </xdr:from>
    <xdr:to>
      <xdr:col>5</xdr:col>
      <xdr:colOff>609600</xdr:colOff>
      <xdr:row>112</xdr:row>
      <xdr:rowOff>200682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153769</xdr:rowOff>
    </xdr:from>
    <xdr:to>
      <xdr:col>5</xdr:col>
      <xdr:colOff>609600</xdr:colOff>
      <xdr:row>137</xdr:row>
      <xdr:rowOff>796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153769</xdr:rowOff>
    </xdr:from>
    <xdr:to>
      <xdr:col>5</xdr:col>
      <xdr:colOff>609600</xdr:colOff>
      <xdr:row>135</xdr:row>
      <xdr:rowOff>79323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151663</xdr:rowOff>
    </xdr:from>
    <xdr:to>
      <xdr:col>6</xdr:col>
      <xdr:colOff>57150</xdr:colOff>
      <xdr:row>124</xdr:row>
      <xdr:rowOff>165020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96853</xdr:rowOff>
    </xdr:from>
    <xdr:to>
      <xdr:col>5</xdr:col>
      <xdr:colOff>628650</xdr:colOff>
      <xdr:row>83</xdr:row>
      <xdr:rowOff>59677</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163582</xdr:rowOff>
    </xdr:from>
    <xdr:to>
      <xdr:col>5</xdr:col>
      <xdr:colOff>628650</xdr:colOff>
      <xdr:row>83</xdr:row>
      <xdr:rowOff>39592</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8632</xdr:rowOff>
    </xdr:from>
    <xdr:to>
      <xdr:col>5</xdr:col>
      <xdr:colOff>628650</xdr:colOff>
      <xdr:row>74</xdr:row>
      <xdr:rowOff>180057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140065</xdr:rowOff>
    </xdr:from>
    <xdr:to>
      <xdr:col>5</xdr:col>
      <xdr:colOff>628650</xdr:colOff>
      <xdr:row>74</xdr:row>
      <xdr:rowOff>26529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320939</xdr:rowOff>
    </xdr:from>
    <xdr:to>
      <xdr:col>5</xdr:col>
      <xdr:colOff>609600</xdr:colOff>
      <xdr:row>77</xdr:row>
      <xdr:rowOff>107720</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47549</xdr:rowOff>
    </xdr:from>
    <xdr:to>
      <xdr:col>5</xdr:col>
      <xdr:colOff>609600</xdr:colOff>
      <xdr:row>95</xdr:row>
      <xdr:rowOff>88718</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40576</xdr:rowOff>
    </xdr:from>
    <xdr:to>
      <xdr:col>5</xdr:col>
      <xdr:colOff>609600</xdr:colOff>
      <xdr:row>96</xdr:row>
      <xdr:rowOff>74843</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45008</xdr:rowOff>
    </xdr:from>
    <xdr:to>
      <xdr:col>5</xdr:col>
      <xdr:colOff>609600</xdr:colOff>
      <xdr:row>97</xdr:row>
      <xdr:rowOff>74177</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41250</xdr:rowOff>
    </xdr:from>
    <xdr:to>
      <xdr:col>5</xdr:col>
      <xdr:colOff>609600</xdr:colOff>
      <xdr:row>98</xdr:row>
      <xdr:rowOff>29732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491</xdr:rowOff>
    </xdr:from>
    <xdr:to>
      <xdr:col>5</xdr:col>
      <xdr:colOff>609600</xdr:colOff>
      <xdr:row>118</xdr:row>
      <xdr:rowOff>30789</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117420</xdr:rowOff>
    </xdr:from>
    <xdr:to>
      <xdr:col>5</xdr:col>
      <xdr:colOff>609600</xdr:colOff>
      <xdr:row>186</xdr:row>
      <xdr:rowOff>58750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117420</xdr:rowOff>
    </xdr:from>
    <xdr:to>
      <xdr:col>5</xdr:col>
      <xdr:colOff>609600</xdr:colOff>
      <xdr:row>184</xdr:row>
      <xdr:rowOff>141822</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163396</xdr:rowOff>
    </xdr:from>
    <xdr:to>
      <xdr:col>6</xdr:col>
      <xdr:colOff>57150</xdr:colOff>
      <xdr:row>101</xdr:row>
      <xdr:rowOff>171737</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60</xdr:row>
      <xdr:rowOff>313336</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60</xdr:row>
      <xdr:rowOff>312984</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57</xdr:row>
      <xdr:rowOff>57069</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66173</xdr:rowOff>
    </xdr:from>
    <xdr:to>
      <xdr:col>5</xdr:col>
      <xdr:colOff>609600</xdr:colOff>
      <xdr:row>59</xdr:row>
      <xdr:rowOff>457640</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114032</xdr:rowOff>
    </xdr:from>
    <xdr:to>
      <xdr:col>5</xdr:col>
      <xdr:colOff>609600</xdr:colOff>
      <xdr:row>74</xdr:row>
      <xdr:rowOff>179824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102593</xdr:rowOff>
    </xdr:from>
    <xdr:to>
      <xdr:col>5</xdr:col>
      <xdr:colOff>609600</xdr:colOff>
      <xdr:row>75</xdr:row>
      <xdr:rowOff>125557</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55159</xdr:rowOff>
    </xdr:from>
    <xdr:to>
      <xdr:col>5</xdr:col>
      <xdr:colOff>609600</xdr:colOff>
      <xdr:row>75</xdr:row>
      <xdr:rowOff>342250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50521</xdr:rowOff>
    </xdr:from>
    <xdr:to>
      <xdr:col>5</xdr:col>
      <xdr:colOff>609600</xdr:colOff>
      <xdr:row>76</xdr:row>
      <xdr:rowOff>151751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115045</xdr:rowOff>
    </xdr:from>
    <xdr:to>
      <xdr:col>5</xdr:col>
      <xdr:colOff>609600</xdr:colOff>
      <xdr:row>98</xdr:row>
      <xdr:rowOff>472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120</xdr:row>
      <xdr:rowOff>654</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118</xdr:row>
      <xdr:rowOff>140038</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153882</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125052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55371</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115905</xdr:rowOff>
    </xdr:from>
    <xdr:to>
      <xdr:col>5</xdr:col>
      <xdr:colOff>609600</xdr:colOff>
      <xdr:row>92</xdr:row>
      <xdr:rowOff>174578</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105650</xdr:rowOff>
    </xdr:from>
    <xdr:to>
      <xdr:col>5</xdr:col>
      <xdr:colOff>609600</xdr:colOff>
      <xdr:row>119</xdr:row>
      <xdr:rowOff>84064</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105650</xdr:rowOff>
    </xdr:from>
    <xdr:to>
      <xdr:col>5</xdr:col>
      <xdr:colOff>609600</xdr:colOff>
      <xdr:row>119</xdr:row>
      <xdr:rowOff>84064</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86060</xdr:rowOff>
    </xdr:from>
    <xdr:to>
      <xdr:col>5</xdr:col>
      <xdr:colOff>609600</xdr:colOff>
      <xdr:row>92</xdr:row>
      <xdr:rowOff>155052</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86060</xdr:rowOff>
    </xdr:from>
    <xdr:to>
      <xdr:col>5</xdr:col>
      <xdr:colOff>609600</xdr:colOff>
      <xdr:row>92</xdr:row>
      <xdr:rowOff>155052</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49281</xdr:rowOff>
    </xdr:from>
    <xdr:to>
      <xdr:col>6</xdr:col>
      <xdr:colOff>38100</xdr:colOff>
      <xdr:row>193</xdr:row>
      <xdr:rowOff>172222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609600</xdr:colOff>
      <xdr:row>99</xdr:row>
      <xdr:rowOff>179492</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609600</xdr:colOff>
      <xdr:row>101</xdr:row>
      <xdr:rowOff>37139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609600</xdr:colOff>
      <xdr:row>103</xdr:row>
      <xdr:rowOff>145636</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609600</xdr:colOff>
      <xdr:row>104</xdr:row>
      <xdr:rowOff>130760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609600</xdr:colOff>
      <xdr:row>93</xdr:row>
      <xdr:rowOff>104380</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609600</xdr:colOff>
      <xdr:row>94</xdr:row>
      <xdr:rowOff>87048</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609600</xdr:colOff>
      <xdr:row>95</xdr:row>
      <xdr:rowOff>107768</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609600</xdr:colOff>
      <xdr:row>96</xdr:row>
      <xdr:rowOff>74843</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160690</xdr:rowOff>
    </xdr:from>
    <xdr:to>
      <xdr:col>6</xdr:col>
      <xdr:colOff>38100</xdr:colOff>
      <xdr:row>94</xdr:row>
      <xdr:rowOff>97843</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142285</xdr:rowOff>
    </xdr:from>
    <xdr:to>
      <xdr:col>5</xdr:col>
      <xdr:colOff>609600</xdr:colOff>
      <xdr:row>91</xdr:row>
      <xdr:rowOff>57184</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116237</xdr:rowOff>
    </xdr:from>
    <xdr:to>
      <xdr:col>5</xdr:col>
      <xdr:colOff>609600</xdr:colOff>
      <xdr:row>193</xdr:row>
      <xdr:rowOff>46639</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78623</xdr:rowOff>
    </xdr:from>
    <xdr:to>
      <xdr:col>5</xdr:col>
      <xdr:colOff>609600</xdr:colOff>
      <xdr:row>193</xdr:row>
      <xdr:rowOff>116712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46490</xdr:rowOff>
    </xdr:from>
    <xdr:to>
      <xdr:col>5</xdr:col>
      <xdr:colOff>609600</xdr:colOff>
      <xdr:row>196</xdr:row>
      <xdr:rowOff>172405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46004</xdr:rowOff>
    </xdr:from>
    <xdr:to>
      <xdr:col>5</xdr:col>
      <xdr:colOff>609600</xdr:colOff>
      <xdr:row>197</xdr:row>
      <xdr:rowOff>173675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154020</xdr:rowOff>
    </xdr:from>
    <xdr:to>
      <xdr:col>5</xdr:col>
      <xdr:colOff>609600</xdr:colOff>
      <xdr:row>139</xdr:row>
      <xdr:rowOff>105545</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84076</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154655</xdr:rowOff>
    </xdr:from>
    <xdr:to>
      <xdr:col>5</xdr:col>
      <xdr:colOff>609600</xdr:colOff>
      <xdr:row>184</xdr:row>
      <xdr:rowOff>164722</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154654</xdr:rowOff>
    </xdr:from>
    <xdr:to>
      <xdr:col>5</xdr:col>
      <xdr:colOff>609600</xdr:colOff>
      <xdr:row>186</xdr:row>
      <xdr:rowOff>30111</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87123</xdr:rowOff>
    </xdr:from>
    <xdr:to>
      <xdr:col>6</xdr:col>
      <xdr:colOff>38100</xdr:colOff>
      <xdr:row>94</xdr:row>
      <xdr:rowOff>67998</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144190</xdr:rowOff>
    </xdr:from>
    <xdr:to>
      <xdr:col>5</xdr:col>
      <xdr:colOff>609600</xdr:colOff>
      <xdr:row>91</xdr:row>
      <xdr:rowOff>29096</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96086</xdr:rowOff>
    </xdr:from>
    <xdr:to>
      <xdr:col>5</xdr:col>
      <xdr:colOff>609600</xdr:colOff>
      <xdr:row>193</xdr:row>
      <xdr:rowOff>46639</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193</xdr:row>
      <xdr:rowOff>112388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196</xdr:row>
      <xdr:rowOff>153990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30934</xdr:rowOff>
    </xdr:from>
    <xdr:to>
      <xdr:col>5</xdr:col>
      <xdr:colOff>609600</xdr:colOff>
      <xdr:row>197</xdr:row>
      <xdr:rowOff>173040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153385</xdr:rowOff>
    </xdr:from>
    <xdr:to>
      <xdr:col>5</xdr:col>
      <xdr:colOff>609600</xdr:colOff>
      <xdr:row>139</xdr:row>
      <xdr:rowOff>105545</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84711</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184</xdr:row>
      <xdr:rowOff>141861</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186</xdr:row>
      <xdr:rowOff>30111</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142442</xdr:rowOff>
    </xdr:from>
    <xdr:to>
      <xdr:col>6</xdr:col>
      <xdr:colOff>38100</xdr:colOff>
      <xdr:row>95</xdr:row>
      <xdr:rowOff>88718</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70</xdr:row>
      <xdr:rowOff>94452</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83077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83077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46639</xdr:rowOff>
    </xdr:from>
    <xdr:to>
      <xdr:col>5</xdr:col>
      <xdr:colOff>609600</xdr:colOff>
      <xdr:row>197</xdr:row>
      <xdr:rowOff>153990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12239</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142442</xdr:rowOff>
    </xdr:from>
    <xdr:to>
      <xdr:col>6</xdr:col>
      <xdr:colOff>38100</xdr:colOff>
      <xdr:row>95</xdr:row>
      <xdr:rowOff>88718</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70</xdr:row>
      <xdr:rowOff>94452</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83077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83077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46639</xdr:rowOff>
    </xdr:from>
    <xdr:to>
      <xdr:col>5</xdr:col>
      <xdr:colOff>609600</xdr:colOff>
      <xdr:row>197</xdr:row>
      <xdr:rowOff>153990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12239</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62</xdr:row>
      <xdr:rowOff>207775</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80</xdr:row>
      <xdr:rowOff>2534</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62</xdr:row>
      <xdr:rowOff>207775</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80</xdr:row>
      <xdr:rowOff>2534</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62</xdr:row>
      <xdr:rowOff>207775</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80</xdr:row>
      <xdr:rowOff>2534</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82687</xdr:rowOff>
    </xdr:from>
    <xdr:to>
      <xdr:col>5</xdr:col>
      <xdr:colOff>609600</xdr:colOff>
      <xdr:row>223</xdr:row>
      <xdr:rowOff>77130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37853</xdr:rowOff>
    </xdr:from>
    <xdr:to>
      <xdr:col>5</xdr:col>
      <xdr:colOff>609600</xdr:colOff>
      <xdr:row>222</xdr:row>
      <xdr:rowOff>172381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2902</xdr:rowOff>
    </xdr:from>
    <xdr:to>
      <xdr:col>5</xdr:col>
      <xdr:colOff>609600</xdr:colOff>
      <xdr:row>224</xdr:row>
      <xdr:rowOff>77130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2901</xdr:rowOff>
    </xdr:from>
    <xdr:to>
      <xdr:col>5</xdr:col>
      <xdr:colOff>609600</xdr:colOff>
      <xdr:row>212</xdr:row>
      <xdr:rowOff>137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6486</xdr:rowOff>
    </xdr:from>
    <xdr:to>
      <xdr:col>5</xdr:col>
      <xdr:colOff>609600</xdr:colOff>
      <xdr:row>189</xdr:row>
      <xdr:rowOff>116023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115229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520</xdr:rowOff>
    </xdr:from>
    <xdr:to>
      <xdr:col>5</xdr:col>
      <xdr:colOff>609600</xdr:colOff>
      <xdr:row>191</xdr:row>
      <xdr:rowOff>133487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133870</xdr:rowOff>
    </xdr:from>
    <xdr:to>
      <xdr:col>5</xdr:col>
      <xdr:colOff>609600</xdr:colOff>
      <xdr:row>198</xdr:row>
      <xdr:rowOff>77925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20599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168675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20599</xdr:rowOff>
    </xdr:from>
    <xdr:to>
      <xdr:col>5</xdr:col>
      <xdr:colOff>628650</xdr:colOff>
      <xdr:row>59</xdr:row>
      <xdr:rowOff>412561</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18368</xdr:rowOff>
    </xdr:from>
    <xdr:to>
      <xdr:col>5</xdr:col>
      <xdr:colOff>628650</xdr:colOff>
      <xdr:row>60</xdr:row>
      <xdr:rowOff>38356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37830</xdr:rowOff>
    </xdr:from>
    <xdr:to>
      <xdr:col>5</xdr:col>
      <xdr:colOff>628650</xdr:colOff>
      <xdr:row>75</xdr:row>
      <xdr:rowOff>241211</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29591</xdr:rowOff>
    </xdr:from>
    <xdr:to>
      <xdr:col>5</xdr:col>
      <xdr:colOff>628650</xdr:colOff>
      <xdr:row>76</xdr:row>
      <xdr:rowOff>31660</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25709</xdr:rowOff>
    </xdr:from>
    <xdr:to>
      <xdr:col>5</xdr:col>
      <xdr:colOff>628650</xdr:colOff>
      <xdr:row>77</xdr:row>
      <xdr:rowOff>30374</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202994</xdr:rowOff>
    </xdr:from>
    <xdr:to>
      <xdr:col>5</xdr:col>
      <xdr:colOff>628650</xdr:colOff>
      <xdr:row>78</xdr:row>
      <xdr:rowOff>31280</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78201</xdr:rowOff>
    </xdr:from>
    <xdr:to>
      <xdr:col>5</xdr:col>
      <xdr:colOff>628650</xdr:colOff>
      <xdr:row>98</xdr:row>
      <xdr:rowOff>150323</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68348</xdr:rowOff>
    </xdr:from>
    <xdr:to>
      <xdr:col>5</xdr:col>
      <xdr:colOff>628650</xdr:colOff>
      <xdr:row>99</xdr:row>
      <xdr:rowOff>95384</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65174</xdr:rowOff>
    </xdr:from>
    <xdr:to>
      <xdr:col>5</xdr:col>
      <xdr:colOff>628650</xdr:colOff>
      <xdr:row>100</xdr:row>
      <xdr:rowOff>37969</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57067</xdr:rowOff>
    </xdr:from>
    <xdr:to>
      <xdr:col>5</xdr:col>
      <xdr:colOff>628650</xdr:colOff>
      <xdr:row>100</xdr:row>
      <xdr:rowOff>92791</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223</xdr:row>
      <xdr:rowOff>47379</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1724</xdr:rowOff>
    </xdr:from>
    <xdr:to>
      <xdr:col>5</xdr:col>
      <xdr:colOff>609600</xdr:colOff>
      <xdr:row>222</xdr:row>
      <xdr:rowOff>154125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1724</xdr:rowOff>
    </xdr:from>
    <xdr:to>
      <xdr:col>5</xdr:col>
      <xdr:colOff>609600</xdr:colOff>
      <xdr:row>224</xdr:row>
      <xdr:rowOff>47378</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211</xdr:row>
      <xdr:rowOff>154124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154124</xdr:rowOff>
    </xdr:from>
    <xdr:to>
      <xdr:col>5</xdr:col>
      <xdr:colOff>609600</xdr:colOff>
      <xdr:row>189</xdr:row>
      <xdr:rowOff>116024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77131</xdr:rowOff>
    </xdr:from>
    <xdr:to>
      <xdr:col>5</xdr:col>
      <xdr:colOff>609600</xdr:colOff>
      <xdr:row>190</xdr:row>
      <xdr:rowOff>115229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120787</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135867</xdr:rowOff>
    </xdr:from>
    <xdr:to>
      <xdr:col>5</xdr:col>
      <xdr:colOff>609600</xdr:colOff>
      <xdr:row>198</xdr:row>
      <xdr:rowOff>44997</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59</xdr:row>
      <xdr:rowOff>343979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383878</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18368</xdr:rowOff>
    </xdr:from>
    <xdr:to>
      <xdr:col>5</xdr:col>
      <xdr:colOff>609600</xdr:colOff>
      <xdr:row>61</xdr:row>
      <xdr:rowOff>359481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54608</xdr:rowOff>
    </xdr:from>
    <xdr:to>
      <xdr:col>5</xdr:col>
      <xdr:colOff>609600</xdr:colOff>
      <xdr:row>75</xdr:row>
      <xdr:rowOff>241211</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31660</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7453</xdr:rowOff>
    </xdr:from>
    <xdr:to>
      <xdr:col>5</xdr:col>
      <xdr:colOff>609600</xdr:colOff>
      <xdr:row>77</xdr:row>
      <xdr:rowOff>30374</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179592</xdr:rowOff>
    </xdr:from>
    <xdr:to>
      <xdr:col>5</xdr:col>
      <xdr:colOff>609600</xdr:colOff>
      <xdr:row>78</xdr:row>
      <xdr:rowOff>31280</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67883</xdr:rowOff>
    </xdr:from>
    <xdr:to>
      <xdr:col>5</xdr:col>
      <xdr:colOff>609600</xdr:colOff>
      <xdr:row>99</xdr:row>
      <xdr:rowOff>29823</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67554</xdr:rowOff>
    </xdr:from>
    <xdr:to>
      <xdr:col>5</xdr:col>
      <xdr:colOff>609600</xdr:colOff>
      <xdr:row>99</xdr:row>
      <xdr:rowOff>29823</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64380</xdr:rowOff>
    </xdr:from>
    <xdr:to>
      <xdr:col>5</xdr:col>
      <xdr:colOff>609600</xdr:colOff>
      <xdr:row>99</xdr:row>
      <xdr:rowOff>160972</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37159</xdr:rowOff>
    </xdr:from>
    <xdr:to>
      <xdr:col>5</xdr:col>
      <xdr:colOff>609600</xdr:colOff>
      <xdr:row>99</xdr:row>
      <xdr:rowOff>246725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76336</xdr:rowOff>
    </xdr:from>
    <xdr:to>
      <xdr:col>5</xdr:col>
      <xdr:colOff>609600</xdr:colOff>
      <xdr:row>224</xdr:row>
      <xdr:rowOff>47378</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1724</xdr:rowOff>
    </xdr:from>
    <xdr:to>
      <xdr:col>5</xdr:col>
      <xdr:colOff>609600</xdr:colOff>
      <xdr:row>223</xdr:row>
      <xdr:rowOff>154124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225</xdr:row>
      <xdr:rowOff>47378</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154124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154918</xdr:rowOff>
    </xdr:from>
    <xdr:to>
      <xdr:col>5</xdr:col>
      <xdr:colOff>609600</xdr:colOff>
      <xdr:row>190</xdr:row>
      <xdr:rowOff>76335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191</xdr:row>
      <xdr:rowOff>82687</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192</xdr:row>
      <xdr:rowOff>96181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115229</xdr:rowOff>
    </xdr:from>
    <xdr:to>
      <xdr:col>5</xdr:col>
      <xdr:colOff>609600</xdr:colOff>
      <xdr:row>199</xdr:row>
      <xdr:rowOff>44997</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19306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171413</xdr:rowOff>
    </xdr:from>
    <xdr:to>
      <xdr:col>5</xdr:col>
      <xdr:colOff>609600</xdr:colOff>
      <xdr:row>61</xdr:row>
      <xdr:rowOff>125357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28815</xdr:rowOff>
    </xdr:from>
    <xdr:to>
      <xdr:col>5</xdr:col>
      <xdr:colOff>609600</xdr:colOff>
      <xdr:row>62</xdr:row>
      <xdr:rowOff>132084</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31660</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7453</xdr:rowOff>
    </xdr:from>
    <xdr:to>
      <xdr:col>5</xdr:col>
      <xdr:colOff>609600</xdr:colOff>
      <xdr:row>77</xdr:row>
      <xdr:rowOff>30374</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179592</xdr:rowOff>
    </xdr:from>
    <xdr:to>
      <xdr:col>5</xdr:col>
      <xdr:colOff>609600</xdr:colOff>
      <xdr:row>78</xdr:row>
      <xdr:rowOff>31280</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125322</xdr:rowOff>
    </xdr:from>
    <xdr:to>
      <xdr:col>5</xdr:col>
      <xdr:colOff>609600</xdr:colOff>
      <xdr:row>79</xdr:row>
      <xdr:rowOff>31691</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67554</xdr:rowOff>
    </xdr:from>
    <xdr:to>
      <xdr:col>5</xdr:col>
      <xdr:colOff>609600</xdr:colOff>
      <xdr:row>100</xdr:row>
      <xdr:rowOff>35641</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64380</xdr:rowOff>
    </xdr:from>
    <xdr:to>
      <xdr:col>5</xdr:col>
      <xdr:colOff>609600</xdr:colOff>
      <xdr:row>100</xdr:row>
      <xdr:rowOff>35641</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75877</xdr:rowOff>
    </xdr:from>
    <xdr:to>
      <xdr:col>5</xdr:col>
      <xdr:colOff>609600</xdr:colOff>
      <xdr:row>100</xdr:row>
      <xdr:rowOff>40404</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35956</xdr:rowOff>
    </xdr:from>
    <xdr:to>
      <xdr:col>5</xdr:col>
      <xdr:colOff>609600</xdr:colOff>
      <xdr:row>100</xdr:row>
      <xdr:rowOff>159616</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123988</xdr:rowOff>
    </xdr:from>
    <xdr:to>
      <xdr:col>21</xdr:col>
      <xdr:colOff>445294</xdr:colOff>
      <xdr:row>123</xdr:row>
      <xdr:rowOff>164470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47379</xdr:rowOff>
    </xdr:from>
    <xdr:to>
      <xdr:col>5</xdr:col>
      <xdr:colOff>609600</xdr:colOff>
      <xdr:row>249</xdr:row>
      <xdr:rowOff>47378</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248</xdr:row>
      <xdr:rowOff>154124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1724</xdr:rowOff>
    </xdr:from>
    <xdr:to>
      <xdr:col>5</xdr:col>
      <xdr:colOff>609600</xdr:colOff>
      <xdr:row>250</xdr:row>
      <xdr:rowOff>47378</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232</xdr:row>
      <xdr:rowOff>1724</xdr:rowOff>
    </xdr:from>
    <xdr:to>
      <xdr:col>5</xdr:col>
      <xdr:colOff>609600</xdr:colOff>
      <xdr:row>237</xdr:row>
      <xdr:rowOff>154124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116024</xdr:rowOff>
    </xdr:from>
    <xdr:to>
      <xdr:col>5</xdr:col>
      <xdr:colOff>609600</xdr:colOff>
      <xdr:row>214</xdr:row>
      <xdr:rowOff>154124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216</xdr:row>
      <xdr:rowOff>1724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1724</xdr:rowOff>
    </xdr:from>
    <xdr:to>
      <xdr:col>5</xdr:col>
      <xdr:colOff>609600</xdr:colOff>
      <xdr:row>217</xdr:row>
      <xdr:rowOff>47378</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1724</xdr:rowOff>
    </xdr:from>
    <xdr:to>
      <xdr:col>5</xdr:col>
      <xdr:colOff>609600</xdr:colOff>
      <xdr:row>224</xdr:row>
      <xdr:rowOff>1724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77</xdr:row>
      <xdr:rowOff>107134</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79</xdr:row>
      <xdr:rowOff>2209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107627</xdr:rowOff>
    </xdr:from>
    <xdr:to>
      <xdr:col>5</xdr:col>
      <xdr:colOff>609600</xdr:colOff>
      <xdr:row>79</xdr:row>
      <xdr:rowOff>103234</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304477</xdr:rowOff>
    </xdr:from>
    <xdr:to>
      <xdr:col>5</xdr:col>
      <xdr:colOff>609600</xdr:colOff>
      <xdr:row>82</xdr:row>
      <xdr:rowOff>105843</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46085</xdr:rowOff>
    </xdr:from>
    <xdr:to>
      <xdr:col>5</xdr:col>
      <xdr:colOff>609600</xdr:colOff>
      <xdr:row>87</xdr:row>
      <xdr:rowOff>39059</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170276</xdr:rowOff>
    </xdr:from>
    <xdr:to>
      <xdr:col>5</xdr:col>
      <xdr:colOff>609600</xdr:colOff>
      <xdr:row>99</xdr:row>
      <xdr:rowOff>66569</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163598</xdr:rowOff>
    </xdr:from>
    <xdr:to>
      <xdr:col>5</xdr:col>
      <xdr:colOff>609600</xdr:colOff>
      <xdr:row>99</xdr:row>
      <xdr:rowOff>238841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163599</xdr:rowOff>
    </xdr:from>
    <xdr:to>
      <xdr:col>5</xdr:col>
      <xdr:colOff>609600</xdr:colOff>
      <xdr:row>100</xdr:row>
      <xdr:rowOff>180925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155060</xdr:rowOff>
    </xdr:from>
    <xdr:to>
      <xdr:col>5</xdr:col>
      <xdr:colOff>609600</xdr:colOff>
      <xdr:row>101</xdr:row>
      <xdr:rowOff>131330</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140454</xdr:rowOff>
    </xdr:from>
    <xdr:to>
      <xdr:col>5</xdr:col>
      <xdr:colOff>609600</xdr:colOff>
      <xdr:row>123</xdr:row>
      <xdr:rowOff>150976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123988</xdr:rowOff>
    </xdr:from>
    <xdr:to>
      <xdr:col>5</xdr:col>
      <xdr:colOff>609600</xdr:colOff>
      <xdr:row>123</xdr:row>
      <xdr:rowOff>150976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97795</xdr:rowOff>
    </xdr:from>
    <xdr:to>
      <xdr:col>5</xdr:col>
      <xdr:colOff>609600</xdr:colOff>
      <xdr:row>123</xdr:row>
      <xdr:rowOff>150976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77157</xdr:rowOff>
    </xdr:from>
    <xdr:to>
      <xdr:col>5</xdr:col>
      <xdr:colOff>609600</xdr:colOff>
      <xdr:row>123</xdr:row>
      <xdr:rowOff>150976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64457</xdr:rowOff>
    </xdr:from>
    <xdr:to>
      <xdr:col>21</xdr:col>
      <xdr:colOff>445294</xdr:colOff>
      <xdr:row>148</xdr:row>
      <xdr:rowOff>102558</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31504</xdr:rowOff>
    </xdr:from>
    <xdr:to>
      <xdr:col>5</xdr:col>
      <xdr:colOff>609600</xdr:colOff>
      <xdr:row>245</xdr:row>
      <xdr:rowOff>31504</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1724</xdr:rowOff>
    </xdr:from>
    <xdr:to>
      <xdr:col>5</xdr:col>
      <xdr:colOff>609600</xdr:colOff>
      <xdr:row>244</xdr:row>
      <xdr:rowOff>141424</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1724</xdr:rowOff>
    </xdr:from>
    <xdr:to>
      <xdr:col>5</xdr:col>
      <xdr:colOff>609600</xdr:colOff>
      <xdr:row>246</xdr:row>
      <xdr:rowOff>31503</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233</xdr:row>
      <xdr:rowOff>141424</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103324</xdr:rowOff>
    </xdr:from>
    <xdr:to>
      <xdr:col>5</xdr:col>
      <xdr:colOff>609600</xdr:colOff>
      <xdr:row>210</xdr:row>
      <xdr:rowOff>141424</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8074</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1724</xdr:rowOff>
    </xdr:from>
    <xdr:to>
      <xdr:col>5</xdr:col>
      <xdr:colOff>609600</xdr:colOff>
      <xdr:row>213</xdr:row>
      <xdr:rowOff>31504</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220</xdr:row>
      <xdr:rowOff>8074</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74</xdr:row>
      <xdr:rowOff>161102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75</xdr:row>
      <xdr:rowOff>197144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122938</xdr:rowOff>
    </xdr:from>
    <xdr:to>
      <xdr:col>5</xdr:col>
      <xdr:colOff>609600</xdr:colOff>
      <xdr:row>75</xdr:row>
      <xdr:rowOff>340429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112319</xdr:rowOff>
    </xdr:from>
    <xdr:to>
      <xdr:col>5</xdr:col>
      <xdr:colOff>609600</xdr:colOff>
      <xdr:row>78</xdr:row>
      <xdr:rowOff>172072</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260261</xdr:rowOff>
    </xdr:from>
    <xdr:to>
      <xdr:col>5</xdr:col>
      <xdr:colOff>609600</xdr:colOff>
      <xdr:row>83</xdr:row>
      <xdr:rowOff>227178</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29533</xdr:rowOff>
    </xdr:from>
    <xdr:to>
      <xdr:col>5</xdr:col>
      <xdr:colOff>609600</xdr:colOff>
      <xdr:row>95</xdr:row>
      <xdr:rowOff>67554</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2763</xdr:rowOff>
    </xdr:from>
    <xdr:to>
      <xdr:col>5</xdr:col>
      <xdr:colOff>609600</xdr:colOff>
      <xdr:row>96</xdr:row>
      <xdr:rowOff>64380</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162104</xdr:rowOff>
    </xdr:from>
    <xdr:to>
      <xdr:col>5</xdr:col>
      <xdr:colOff>609600</xdr:colOff>
      <xdr:row>97</xdr:row>
      <xdr:rowOff>75877</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151554</xdr:rowOff>
    </xdr:from>
    <xdr:to>
      <xdr:col>5</xdr:col>
      <xdr:colOff>609600</xdr:colOff>
      <xdr:row>98</xdr:row>
      <xdr:rowOff>73686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154771</xdr:rowOff>
    </xdr:from>
    <xdr:to>
      <xdr:col>5</xdr:col>
      <xdr:colOff>609600</xdr:colOff>
      <xdr:row>119</xdr:row>
      <xdr:rowOff>160501</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150774</xdr:rowOff>
    </xdr:from>
    <xdr:to>
      <xdr:col>5</xdr:col>
      <xdr:colOff>609600</xdr:colOff>
      <xdr:row>119</xdr:row>
      <xdr:rowOff>160501</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135693</xdr:rowOff>
    </xdr:from>
    <xdr:to>
      <xdr:col>5</xdr:col>
      <xdr:colOff>609600</xdr:colOff>
      <xdr:row>119</xdr:row>
      <xdr:rowOff>160501</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97593</xdr:rowOff>
    </xdr:from>
    <xdr:to>
      <xdr:col>5</xdr:col>
      <xdr:colOff>609600</xdr:colOff>
      <xdr:row>119</xdr:row>
      <xdr:rowOff>160501</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54139</xdr:rowOff>
    </xdr:from>
    <xdr:to>
      <xdr:col>21</xdr:col>
      <xdr:colOff>445294</xdr:colOff>
      <xdr:row>144</xdr:row>
      <xdr:rowOff>86682</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96181</xdr:rowOff>
    </xdr:from>
    <xdr:to>
      <xdr:col>5</xdr:col>
      <xdr:colOff>609600</xdr:colOff>
      <xdr:row>222</xdr:row>
      <xdr:rowOff>75544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47378</xdr:rowOff>
    </xdr:from>
    <xdr:to>
      <xdr:col>5</xdr:col>
      <xdr:colOff>609600</xdr:colOff>
      <xdr:row>222</xdr:row>
      <xdr:rowOff>2518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35472</xdr:rowOff>
    </xdr:from>
    <xdr:to>
      <xdr:col>5</xdr:col>
      <xdr:colOff>609600</xdr:colOff>
      <xdr:row>223</xdr:row>
      <xdr:rowOff>75543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211</xdr:row>
      <xdr:rowOff>2518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116024</xdr:rowOff>
    </xdr:from>
    <xdr:to>
      <xdr:col>5</xdr:col>
      <xdr:colOff>609600</xdr:colOff>
      <xdr:row>188</xdr:row>
      <xdr:rowOff>139837</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7281</xdr:rowOff>
    </xdr:from>
    <xdr:to>
      <xdr:col>5</xdr:col>
      <xdr:colOff>609600</xdr:colOff>
      <xdr:row>189</xdr:row>
      <xdr:rowOff>154124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190</xdr:row>
      <xdr:rowOff>140631</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197</xdr:row>
      <xdr:rowOff>92212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59</xdr:row>
      <xdr:rowOff>324955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56318</xdr:rowOff>
    </xdr:from>
    <xdr:to>
      <xdr:col>5</xdr:col>
      <xdr:colOff>609600</xdr:colOff>
      <xdr:row>62</xdr:row>
      <xdr:rowOff>57237</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1545</xdr:rowOff>
    </xdr:from>
    <xdr:to>
      <xdr:col>5</xdr:col>
      <xdr:colOff>609600</xdr:colOff>
      <xdr:row>74</xdr:row>
      <xdr:rowOff>28090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30044</xdr:rowOff>
    </xdr:from>
    <xdr:to>
      <xdr:col>5</xdr:col>
      <xdr:colOff>609600</xdr:colOff>
      <xdr:row>98</xdr:row>
      <xdr:rowOff>45671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98</xdr:row>
      <xdr:rowOff>45671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98</xdr:row>
      <xdr:rowOff>45671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45671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134898</xdr:rowOff>
    </xdr:from>
    <xdr:to>
      <xdr:col>21</xdr:col>
      <xdr:colOff>445294</xdr:colOff>
      <xdr:row>121</xdr:row>
      <xdr:rowOff>168440</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121609</xdr:rowOff>
    </xdr:from>
    <xdr:to>
      <xdr:col>22</xdr:col>
      <xdr:colOff>616744</xdr:colOff>
      <xdr:row>125</xdr:row>
      <xdr:rowOff>102558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45792</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143379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162429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142128</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39960</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173995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654050</xdr:colOff>
      <xdr:row>132</xdr:row>
      <xdr:rowOff>38760</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128</xdr:row>
      <xdr:rowOff>2545</xdr:rowOff>
    </xdr:from>
    <xdr:to>
      <xdr:col>25</xdr:col>
      <xdr:colOff>654050</xdr:colOff>
      <xdr:row>132</xdr:row>
      <xdr:rowOff>957</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113643</xdr:rowOff>
    </xdr:from>
    <xdr:to>
      <xdr:col>5</xdr:col>
      <xdr:colOff>609600</xdr:colOff>
      <xdr:row>238</xdr:row>
      <xdr:rowOff>94594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75543</xdr:rowOff>
    </xdr:from>
    <xdr:to>
      <xdr:col>5</xdr:col>
      <xdr:colOff>609600</xdr:colOff>
      <xdr:row>238</xdr:row>
      <xdr:rowOff>38350</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239</xdr:row>
      <xdr:rowOff>94593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75543</xdr:rowOff>
    </xdr:from>
    <xdr:to>
      <xdr:col>5</xdr:col>
      <xdr:colOff>609600</xdr:colOff>
      <xdr:row>227</xdr:row>
      <xdr:rowOff>38350</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2518</xdr:rowOff>
    </xdr:from>
    <xdr:to>
      <xdr:col>5</xdr:col>
      <xdr:colOff>609600</xdr:colOff>
      <xdr:row>204</xdr:row>
      <xdr:rowOff>38350</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205</xdr:row>
      <xdr:rowOff>94593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75543</xdr:rowOff>
    </xdr:from>
    <xdr:to>
      <xdr:col>5</xdr:col>
      <xdr:colOff>609600</xdr:colOff>
      <xdr:row>206</xdr:row>
      <xdr:rowOff>94594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75543</xdr:rowOff>
    </xdr:from>
    <xdr:to>
      <xdr:col>5</xdr:col>
      <xdr:colOff>609600</xdr:colOff>
      <xdr:row>213</xdr:row>
      <xdr:rowOff>94593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69193</xdr:rowOff>
    </xdr:from>
    <xdr:to>
      <xdr:col>5</xdr:col>
      <xdr:colOff>609600</xdr:colOff>
      <xdr:row>64</xdr:row>
      <xdr:rowOff>69193</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41056</xdr:rowOff>
    </xdr:from>
    <xdr:to>
      <xdr:col>5</xdr:col>
      <xdr:colOff>628650</xdr:colOff>
      <xdr:row>87</xdr:row>
      <xdr:rowOff>39852</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69193</xdr:rowOff>
    </xdr:from>
    <xdr:to>
      <xdr:col>5</xdr:col>
      <xdr:colOff>609600</xdr:colOff>
      <xdr:row>84</xdr:row>
      <xdr:rowOff>154152</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88243</xdr:rowOff>
    </xdr:from>
    <xdr:to>
      <xdr:col>5</xdr:col>
      <xdr:colOff>609600</xdr:colOff>
      <xdr:row>85</xdr:row>
      <xdr:rowOff>1752</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95907</xdr:rowOff>
    </xdr:from>
    <xdr:to>
      <xdr:col>5</xdr:col>
      <xdr:colOff>609600</xdr:colOff>
      <xdr:row>87</xdr:row>
      <xdr:rowOff>77952</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192251</xdr:rowOff>
    </xdr:from>
    <xdr:to>
      <xdr:col>5</xdr:col>
      <xdr:colOff>609600</xdr:colOff>
      <xdr:row>96</xdr:row>
      <xdr:rowOff>36677</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312902</xdr:rowOff>
    </xdr:from>
    <xdr:to>
      <xdr:col>5</xdr:col>
      <xdr:colOff>609600</xdr:colOff>
      <xdr:row>95</xdr:row>
      <xdr:rowOff>30029</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95</xdr:row>
      <xdr:rowOff>103351</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58902</xdr:rowOff>
    </xdr:from>
    <xdr:to>
      <xdr:col>5</xdr:col>
      <xdr:colOff>609600</xdr:colOff>
      <xdr:row>97</xdr:row>
      <xdr:rowOff>76748</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1751</xdr:rowOff>
    </xdr:from>
    <xdr:to>
      <xdr:col>5</xdr:col>
      <xdr:colOff>609600</xdr:colOff>
      <xdr:row>118</xdr:row>
      <xdr:rowOff>1752</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115</xdr:row>
      <xdr:rowOff>77951</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54523</xdr:rowOff>
    </xdr:from>
    <xdr:to>
      <xdr:col>5</xdr:col>
      <xdr:colOff>609600</xdr:colOff>
      <xdr:row>115</xdr:row>
      <xdr:rowOff>30029</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16423</xdr:rowOff>
    </xdr:from>
    <xdr:to>
      <xdr:col>5</xdr:col>
      <xdr:colOff>609600</xdr:colOff>
      <xdr:row>115</xdr:row>
      <xdr:rowOff>30029</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135102</xdr:rowOff>
    </xdr:from>
    <xdr:to>
      <xdr:col>21</xdr:col>
      <xdr:colOff>438150</xdr:colOff>
      <xdr:row>137</xdr:row>
      <xdr:rowOff>154152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154152</xdr:rowOff>
    </xdr:from>
    <xdr:to>
      <xdr:col>22</xdr:col>
      <xdr:colOff>609600</xdr:colOff>
      <xdr:row>141</xdr:row>
      <xdr:rowOff>135101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154152</xdr:rowOff>
    </xdr:from>
    <xdr:to>
      <xdr:col>24</xdr:col>
      <xdr:colOff>647700</xdr:colOff>
      <xdr:row>142</xdr:row>
      <xdr:rowOff>39852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173202</xdr:rowOff>
    </xdr:from>
    <xdr:to>
      <xdr:col>25</xdr:col>
      <xdr:colOff>647700</xdr:colOff>
      <xdr:row>142</xdr:row>
      <xdr:rowOff>30029</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77</xdr:row>
      <xdr:rowOff>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101600</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139700</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153823</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139700</xdr:rowOff>
    </xdr:from>
    <xdr:to>
      <xdr:col>5</xdr:col>
      <xdr:colOff>609600</xdr:colOff>
      <xdr:row>88</xdr:row>
      <xdr:rowOff>47625</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31452</xdr:rowOff>
    </xdr:from>
    <xdr:to>
      <xdr:col>5</xdr:col>
      <xdr:colOff>609600</xdr:colOff>
      <xdr:row>87</xdr:row>
      <xdr:rowOff>47625</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139700</xdr:rowOff>
    </xdr:from>
    <xdr:to>
      <xdr:col>5</xdr:col>
      <xdr:colOff>609600</xdr:colOff>
      <xdr:row>87</xdr:row>
      <xdr:rowOff>142875</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123825</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88024</xdr:rowOff>
    </xdr:from>
    <xdr:to>
      <xdr:col>5</xdr:col>
      <xdr:colOff>609600</xdr:colOff>
      <xdr:row>108</xdr:row>
      <xdr:rowOff>30546</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141233</xdr:rowOff>
    </xdr:from>
    <xdr:to>
      <xdr:col>5</xdr:col>
      <xdr:colOff>609600</xdr:colOff>
      <xdr:row>105</xdr:row>
      <xdr:rowOff>76200</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76200</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76200</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47625</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47625</xdr:rowOff>
    </xdr:from>
    <xdr:to>
      <xdr:col>22</xdr:col>
      <xdr:colOff>609600</xdr:colOff>
      <xdr:row>131</xdr:row>
      <xdr:rowOff>28575</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47625</xdr:rowOff>
    </xdr:from>
    <xdr:to>
      <xdr:col>24</xdr:col>
      <xdr:colOff>647700</xdr:colOff>
      <xdr:row>131</xdr:row>
      <xdr:rowOff>123825</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85725</xdr:rowOff>
    </xdr:from>
    <xdr:to>
      <xdr:col>25</xdr:col>
      <xdr:colOff>647700</xdr:colOff>
      <xdr:row>131</xdr:row>
      <xdr:rowOff>123825</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59</xdr:row>
      <xdr:rowOff>258160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160064</xdr:rowOff>
    </xdr:from>
    <xdr:to>
      <xdr:col>14</xdr:col>
      <xdr:colOff>609600</xdr:colOff>
      <xdr:row>62</xdr:row>
      <xdr:rowOff>113314</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59</xdr:row>
      <xdr:rowOff>126343</xdr:rowOff>
    </xdr:from>
    <xdr:to>
      <xdr:col>6</xdr:col>
      <xdr:colOff>47625</xdr:colOff>
      <xdr:row>60</xdr:row>
      <xdr:rowOff>364468</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125030</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57150</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95250</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115723</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139700</xdr:rowOff>
    </xdr:from>
    <xdr:to>
      <xdr:col>5</xdr:col>
      <xdr:colOff>609600</xdr:colOff>
      <xdr:row>88</xdr:row>
      <xdr:rowOff>47625</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31452</xdr:rowOff>
    </xdr:from>
    <xdr:to>
      <xdr:col>5</xdr:col>
      <xdr:colOff>609600</xdr:colOff>
      <xdr:row>87</xdr:row>
      <xdr:rowOff>47625</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139700</xdr:rowOff>
    </xdr:from>
    <xdr:to>
      <xdr:col>5</xdr:col>
      <xdr:colOff>609600</xdr:colOff>
      <xdr:row>87</xdr:row>
      <xdr:rowOff>123825</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123825</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88024</xdr:rowOff>
    </xdr:from>
    <xdr:to>
      <xdr:col>5</xdr:col>
      <xdr:colOff>609600</xdr:colOff>
      <xdr:row>108</xdr:row>
      <xdr:rowOff>30546</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141233</xdr:rowOff>
    </xdr:from>
    <xdr:to>
      <xdr:col>5</xdr:col>
      <xdr:colOff>609600</xdr:colOff>
      <xdr:row>105</xdr:row>
      <xdr:rowOff>104775</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104775</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104775</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47625</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47625</xdr:rowOff>
    </xdr:from>
    <xdr:to>
      <xdr:col>22</xdr:col>
      <xdr:colOff>609600</xdr:colOff>
      <xdr:row>131</xdr:row>
      <xdr:rowOff>28575</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47625</xdr:rowOff>
    </xdr:from>
    <xdr:to>
      <xdr:col>24</xdr:col>
      <xdr:colOff>647700</xdr:colOff>
      <xdr:row>131</xdr:row>
      <xdr:rowOff>123825</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85725</xdr:rowOff>
    </xdr:from>
    <xdr:to>
      <xdr:col>25</xdr:col>
      <xdr:colOff>647700</xdr:colOff>
      <xdr:row>131</xdr:row>
      <xdr:rowOff>123825</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59</xdr:row>
      <xdr:rowOff>372460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160064</xdr:rowOff>
    </xdr:from>
    <xdr:to>
      <xdr:col>14</xdr:col>
      <xdr:colOff>609600</xdr:colOff>
      <xdr:row>62</xdr:row>
      <xdr:rowOff>73243</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116818</xdr:rowOff>
    </xdr:from>
    <xdr:to>
      <xdr:col>6</xdr:col>
      <xdr:colOff>19050</xdr:colOff>
      <xdr:row>61</xdr:row>
      <xdr:rowOff>154918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152400</xdr:rowOff>
    </xdr:from>
    <xdr:to>
      <xdr:col>26</xdr:col>
      <xdr:colOff>666750</xdr:colOff>
      <xdr:row>134</xdr:row>
      <xdr:rowOff>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6350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73025</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130175</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93</xdr:row>
      <xdr:rowOff>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92075</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149225</xdr:rowOff>
    </xdr:from>
    <xdr:to>
      <xdr:col>5</xdr:col>
      <xdr:colOff>609600</xdr:colOff>
      <xdr:row>96</xdr:row>
      <xdr:rowOff>34925</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6350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63500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73</xdr:row>
      <xdr:rowOff>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6350</xdr:rowOff>
    </xdr:from>
    <xdr:to>
      <xdr:col>6</xdr:col>
      <xdr:colOff>19050</xdr:colOff>
      <xdr:row>70</xdr:row>
      <xdr:rowOff>104775</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138</xdr:row>
      <xdr:rowOff>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149225</xdr:rowOff>
    </xdr:from>
    <xdr:to>
      <xdr:col>27</xdr:col>
      <xdr:colOff>666750</xdr:colOff>
      <xdr:row>138</xdr:row>
      <xdr:rowOff>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66675</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123825</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93</xdr:row>
      <xdr:rowOff>0</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85725</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142875</xdr:rowOff>
    </xdr:from>
    <xdr:to>
      <xdr:col>5</xdr:col>
      <xdr:colOff>609600</xdr:colOff>
      <xdr:row>96</xdr:row>
      <xdr:rowOff>28575</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73</xdr:row>
      <xdr:rowOff>0</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104775</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138</xdr:row>
      <xdr:rowOff>0</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142875</xdr:rowOff>
    </xdr:from>
    <xdr:to>
      <xdr:col>27</xdr:col>
      <xdr:colOff>666750</xdr:colOff>
      <xdr:row>138</xdr:row>
      <xdr:rowOff>0</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66675</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123825</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93</xdr:row>
      <xdr:rowOff>0</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85725</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142875</xdr:rowOff>
    </xdr:from>
    <xdr:to>
      <xdr:col>5</xdr:col>
      <xdr:colOff>609600</xdr:colOff>
      <xdr:row>96</xdr:row>
      <xdr:rowOff>28575</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73</xdr:row>
      <xdr:rowOff>0</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104775</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138</xdr:row>
      <xdr:rowOff>0</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142875</xdr:rowOff>
    </xdr:from>
    <xdr:to>
      <xdr:col>27</xdr:col>
      <xdr:colOff>666750</xdr:colOff>
      <xdr:row>138</xdr:row>
      <xdr:rowOff>0</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70" name="Text Box 114" hidden="1">
          <a:extLst>
            <a:ext uri="{FF2B5EF4-FFF2-40B4-BE49-F238E27FC236}">
              <a16:creationId xmlns:a16="http://schemas.microsoft.com/office/drawing/2014/main" id="{009093E4-9FCA-9B5A-4D33-70047D208689}"/>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6350</xdr:rowOff>
    </xdr:from>
    <xdr:to>
      <xdr:col>5</xdr:col>
      <xdr:colOff>609600</xdr:colOff>
      <xdr:row>62</xdr:row>
      <xdr:rowOff>6350</xdr:rowOff>
    </xdr:to>
    <xdr:sp macro="" textlink="">
      <xdr:nvSpPr>
        <xdr:cNvPr id="377969" name="Text Box 113" hidden="1">
          <a:extLst>
            <a:ext uri="{FF2B5EF4-FFF2-40B4-BE49-F238E27FC236}">
              <a16:creationId xmlns:a16="http://schemas.microsoft.com/office/drawing/2014/main" id="{7C2E4311-F87D-FB7C-29B6-281956B001CB}"/>
            </a:ext>
          </a:extLst>
        </xdr:cNvPr>
        <xdr:cNvSpPr txBox="1">
          <a:spLocks noChangeArrowheads="1"/>
        </xdr:cNvSpPr>
      </xdr:nvSpPr>
      <xdr:spPr bwMode="auto">
        <a:xfrm>
          <a:off x="3994150" y="134048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6350</xdr:rowOff>
    </xdr:from>
    <xdr:to>
      <xdr:col>5</xdr:col>
      <xdr:colOff>628650</xdr:colOff>
      <xdr:row>88</xdr:row>
      <xdr:rowOff>0</xdr:rowOff>
    </xdr:to>
    <xdr:sp macro="" textlink="">
      <xdr:nvSpPr>
        <xdr:cNvPr id="377968" name="Text Box 112" hidden="1">
          <a:extLst>
            <a:ext uri="{FF2B5EF4-FFF2-40B4-BE49-F238E27FC236}">
              <a16:creationId xmlns:a16="http://schemas.microsoft.com/office/drawing/2014/main" id="{F79C327B-61C1-1410-DF4B-69EAB4498BA4}"/>
            </a:ext>
          </a:extLst>
        </xdr:cNvPr>
        <xdr:cNvSpPr txBox="1">
          <a:spLocks noChangeArrowheads="1"/>
        </xdr:cNvSpPr>
      </xdr:nvSpPr>
      <xdr:spPr bwMode="auto">
        <a:xfrm>
          <a:off x="4013200" y="13404850"/>
          <a:ext cx="1314450" cy="530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6350</xdr:rowOff>
    </xdr:from>
    <xdr:to>
      <xdr:col>5</xdr:col>
      <xdr:colOff>609600</xdr:colOff>
      <xdr:row>86</xdr:row>
      <xdr:rowOff>171450</xdr:rowOff>
    </xdr:to>
    <xdr:sp macro="" textlink="">
      <xdr:nvSpPr>
        <xdr:cNvPr id="377967" name="Text Box 111" hidden="1">
          <a:extLst>
            <a:ext uri="{FF2B5EF4-FFF2-40B4-BE49-F238E27FC236}">
              <a16:creationId xmlns:a16="http://schemas.microsoft.com/office/drawing/2014/main" id="{7E63D10F-4A8A-47DC-3EC8-D76B4230693B}"/>
            </a:ext>
          </a:extLst>
        </xdr:cNvPr>
        <xdr:cNvSpPr txBox="1">
          <a:spLocks noChangeArrowheads="1"/>
        </xdr:cNvSpPr>
      </xdr:nvSpPr>
      <xdr:spPr bwMode="auto">
        <a:xfrm>
          <a:off x="3994150" y="13404850"/>
          <a:ext cx="1314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6350</xdr:rowOff>
    </xdr:from>
    <xdr:to>
      <xdr:col>5</xdr:col>
      <xdr:colOff>609600</xdr:colOff>
      <xdr:row>87</xdr:row>
      <xdr:rowOff>19050</xdr:rowOff>
    </xdr:to>
    <xdr:sp macro="" textlink="">
      <xdr:nvSpPr>
        <xdr:cNvPr id="377966" name="Text Box 110" hidden="1">
          <a:extLst>
            <a:ext uri="{FF2B5EF4-FFF2-40B4-BE49-F238E27FC236}">
              <a16:creationId xmlns:a16="http://schemas.microsoft.com/office/drawing/2014/main" id="{912CEBF6-C8FA-EE57-42DF-76EB7DA6DCB2}"/>
            </a:ext>
          </a:extLst>
        </xdr:cNvPr>
        <xdr:cNvSpPr txBox="1">
          <a:spLocks noChangeArrowheads="1"/>
        </xdr:cNvSpPr>
      </xdr:nvSpPr>
      <xdr:spPr bwMode="auto">
        <a:xfrm>
          <a:off x="3994150" y="13404850"/>
          <a:ext cx="1314450" cy="514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82550</xdr:rowOff>
    </xdr:from>
    <xdr:to>
      <xdr:col>5</xdr:col>
      <xdr:colOff>609600</xdr:colOff>
      <xdr:row>88</xdr:row>
      <xdr:rowOff>139700</xdr:rowOff>
    </xdr:to>
    <xdr:sp macro="" textlink="">
      <xdr:nvSpPr>
        <xdr:cNvPr id="377965" name="Text Box 109" hidden="1">
          <a:extLst>
            <a:ext uri="{FF2B5EF4-FFF2-40B4-BE49-F238E27FC236}">
              <a16:creationId xmlns:a16="http://schemas.microsoft.com/office/drawing/2014/main" id="{886102FA-726E-4CCE-DE43-F295A89AB8D4}"/>
            </a:ext>
          </a:extLst>
        </xdr:cNvPr>
        <xdr:cNvSpPr txBox="1">
          <a:spLocks noChangeArrowheads="1"/>
        </xdr:cNvSpPr>
      </xdr:nvSpPr>
      <xdr:spPr bwMode="auto">
        <a:xfrm>
          <a:off x="3994150" y="14268450"/>
          <a:ext cx="1314450" cy="458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101600</xdr:rowOff>
    </xdr:from>
    <xdr:to>
      <xdr:col>5</xdr:col>
      <xdr:colOff>609600</xdr:colOff>
      <xdr:row>98</xdr:row>
      <xdr:rowOff>0</xdr:rowOff>
    </xdr:to>
    <xdr:sp macro="" textlink="">
      <xdr:nvSpPr>
        <xdr:cNvPr id="377964" name="Text Box 108" hidden="1">
          <a:extLst>
            <a:ext uri="{FF2B5EF4-FFF2-40B4-BE49-F238E27FC236}">
              <a16:creationId xmlns:a16="http://schemas.microsoft.com/office/drawing/2014/main" id="{D8869C13-B427-1D13-E9A3-8486B10C9835}"/>
            </a:ext>
          </a:extLst>
        </xdr:cNvPr>
        <xdr:cNvSpPr txBox="1">
          <a:spLocks noChangeArrowheads="1"/>
        </xdr:cNvSpPr>
      </xdr:nvSpPr>
      <xdr:spPr bwMode="auto">
        <a:xfrm>
          <a:off x="3994150" y="17513300"/>
          <a:ext cx="1314450" cy="3041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25400</xdr:rowOff>
    </xdr:from>
    <xdr:to>
      <xdr:col>5</xdr:col>
      <xdr:colOff>609600</xdr:colOff>
      <xdr:row>96</xdr:row>
      <xdr:rowOff>0</xdr:rowOff>
    </xdr:to>
    <xdr:sp macro="" textlink="">
      <xdr:nvSpPr>
        <xdr:cNvPr id="377963" name="Text Box 107" hidden="1">
          <a:extLst>
            <a:ext uri="{FF2B5EF4-FFF2-40B4-BE49-F238E27FC236}">
              <a16:creationId xmlns:a16="http://schemas.microsoft.com/office/drawing/2014/main" id="{71A5BB63-5CF4-8184-ABC2-6BB772184543}"/>
            </a:ext>
          </a:extLst>
        </xdr:cNvPr>
        <xdr:cNvSpPr txBox="1">
          <a:spLocks noChangeArrowheads="1"/>
        </xdr:cNvSpPr>
      </xdr:nvSpPr>
      <xdr:spPr bwMode="auto">
        <a:xfrm>
          <a:off x="3994150" y="17621250"/>
          <a:ext cx="1314450" cy="255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139700</xdr:rowOff>
    </xdr:from>
    <xdr:to>
      <xdr:col>5</xdr:col>
      <xdr:colOff>609600</xdr:colOff>
      <xdr:row>96</xdr:row>
      <xdr:rowOff>82550</xdr:rowOff>
    </xdr:to>
    <xdr:sp macro="" textlink="">
      <xdr:nvSpPr>
        <xdr:cNvPr id="377962" name="Text Box 106" hidden="1">
          <a:extLst>
            <a:ext uri="{FF2B5EF4-FFF2-40B4-BE49-F238E27FC236}">
              <a16:creationId xmlns:a16="http://schemas.microsoft.com/office/drawing/2014/main" id="{F5545E45-6021-C0C2-6D52-2497926BA82A}"/>
            </a:ext>
          </a:extLst>
        </xdr:cNvPr>
        <xdr:cNvSpPr txBox="1">
          <a:spLocks noChangeArrowheads="1"/>
        </xdr:cNvSpPr>
      </xdr:nvSpPr>
      <xdr:spPr bwMode="auto">
        <a:xfrm>
          <a:off x="3994150" y="17735550"/>
          <a:ext cx="1314450" cy="253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330200</xdr:rowOff>
    </xdr:from>
    <xdr:to>
      <xdr:col>5</xdr:col>
      <xdr:colOff>609600</xdr:colOff>
      <xdr:row>99</xdr:row>
      <xdr:rowOff>190500</xdr:rowOff>
    </xdr:to>
    <xdr:sp macro="" textlink="">
      <xdr:nvSpPr>
        <xdr:cNvPr id="377961" name="Text Box 105" hidden="1">
          <a:extLst>
            <a:ext uri="{FF2B5EF4-FFF2-40B4-BE49-F238E27FC236}">
              <a16:creationId xmlns:a16="http://schemas.microsoft.com/office/drawing/2014/main" id="{0A090CEF-2E3C-EBFF-6334-BF983C402869}"/>
            </a:ext>
          </a:extLst>
        </xdr:cNvPr>
        <xdr:cNvSpPr txBox="1">
          <a:spLocks noChangeArrowheads="1"/>
        </xdr:cNvSpPr>
      </xdr:nvSpPr>
      <xdr:spPr bwMode="auto">
        <a:xfrm>
          <a:off x="3994150" y="179260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44450</xdr:rowOff>
    </xdr:from>
    <xdr:to>
      <xdr:col>5</xdr:col>
      <xdr:colOff>609600</xdr:colOff>
      <xdr:row>117</xdr:row>
      <xdr:rowOff>25400</xdr:rowOff>
    </xdr:to>
    <xdr:sp macro="" textlink="">
      <xdr:nvSpPr>
        <xdr:cNvPr id="377960" name="Text Box 104" hidden="1">
          <a:extLst>
            <a:ext uri="{FF2B5EF4-FFF2-40B4-BE49-F238E27FC236}">
              <a16:creationId xmlns:a16="http://schemas.microsoft.com/office/drawing/2014/main" id="{002D52E4-87F0-8602-A90B-249077E2703C}"/>
            </a:ext>
          </a:extLst>
        </xdr:cNvPr>
        <xdr:cNvSpPr txBox="1">
          <a:spLocks noChangeArrowheads="1"/>
        </xdr:cNvSpPr>
      </xdr:nvSpPr>
      <xdr:spPr bwMode="auto">
        <a:xfrm>
          <a:off x="3994150" y="2193925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44450</xdr:rowOff>
    </xdr:from>
    <xdr:to>
      <xdr:col>5</xdr:col>
      <xdr:colOff>609600</xdr:colOff>
      <xdr:row>113</xdr:row>
      <xdr:rowOff>139700</xdr:rowOff>
    </xdr:to>
    <xdr:sp macro="" textlink="">
      <xdr:nvSpPr>
        <xdr:cNvPr id="377959" name="Text Box 103" hidden="1">
          <a:extLst>
            <a:ext uri="{FF2B5EF4-FFF2-40B4-BE49-F238E27FC236}">
              <a16:creationId xmlns:a16="http://schemas.microsoft.com/office/drawing/2014/main" id="{F9911BD4-B79B-3EB2-C849-EB499D3D456B}"/>
            </a:ext>
          </a:extLst>
        </xdr:cNvPr>
        <xdr:cNvSpPr txBox="1">
          <a:spLocks noChangeArrowheads="1"/>
        </xdr:cNvSpPr>
      </xdr:nvSpPr>
      <xdr:spPr bwMode="auto">
        <a:xfrm>
          <a:off x="3994150" y="2212340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82550</xdr:rowOff>
    </xdr:from>
    <xdr:to>
      <xdr:col>5</xdr:col>
      <xdr:colOff>609600</xdr:colOff>
      <xdr:row>113</xdr:row>
      <xdr:rowOff>38100</xdr:rowOff>
    </xdr:to>
    <xdr:sp macro="" textlink="">
      <xdr:nvSpPr>
        <xdr:cNvPr id="377958" name="Text Box 102" hidden="1">
          <a:extLst>
            <a:ext uri="{FF2B5EF4-FFF2-40B4-BE49-F238E27FC236}">
              <a16:creationId xmlns:a16="http://schemas.microsoft.com/office/drawing/2014/main" id="{CAB3B6B7-14A9-9C33-2747-8908E0B73E4B}"/>
            </a:ext>
          </a:extLst>
        </xdr:cNvPr>
        <xdr:cNvSpPr txBox="1">
          <a:spLocks noChangeArrowheads="1"/>
        </xdr:cNvSpPr>
      </xdr:nvSpPr>
      <xdr:spPr bwMode="auto">
        <a:xfrm>
          <a:off x="3994150" y="22345650"/>
          <a:ext cx="1314450" cy="1295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44450</xdr:rowOff>
    </xdr:from>
    <xdr:to>
      <xdr:col>5</xdr:col>
      <xdr:colOff>609600</xdr:colOff>
      <xdr:row>113</xdr:row>
      <xdr:rowOff>38100</xdr:rowOff>
    </xdr:to>
    <xdr:sp macro="" textlink="">
      <xdr:nvSpPr>
        <xdr:cNvPr id="377957" name="Text Box 101" hidden="1">
          <a:extLst>
            <a:ext uri="{FF2B5EF4-FFF2-40B4-BE49-F238E27FC236}">
              <a16:creationId xmlns:a16="http://schemas.microsoft.com/office/drawing/2014/main" id="{AC343296-BD76-DE0D-79B2-72EFF5E98CA3}"/>
            </a:ext>
          </a:extLst>
        </xdr:cNvPr>
        <xdr:cNvSpPr txBox="1">
          <a:spLocks noChangeArrowheads="1"/>
        </xdr:cNvSpPr>
      </xdr:nvSpPr>
      <xdr:spPr bwMode="auto">
        <a:xfrm>
          <a:off x="3994150" y="22307550"/>
          <a:ext cx="131445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130</xdr:row>
      <xdr:rowOff>25400</xdr:rowOff>
    </xdr:from>
    <xdr:to>
      <xdr:col>21</xdr:col>
      <xdr:colOff>438150</xdr:colOff>
      <xdr:row>134</xdr:row>
      <xdr:rowOff>44450</xdr:rowOff>
    </xdr:to>
    <xdr:sp macro="" textlink="">
      <xdr:nvSpPr>
        <xdr:cNvPr id="377956" name="Text Box 100" hidden="1">
          <a:extLst>
            <a:ext uri="{FF2B5EF4-FFF2-40B4-BE49-F238E27FC236}">
              <a16:creationId xmlns:a16="http://schemas.microsoft.com/office/drawing/2014/main" id="{DA54D650-D089-D60C-FAF9-77AAF8CE81C2}"/>
            </a:ext>
          </a:extLst>
        </xdr:cNvPr>
        <xdr:cNvSpPr txBox="1">
          <a:spLocks noChangeArrowheads="1"/>
        </xdr:cNvSpPr>
      </xdr:nvSpPr>
      <xdr:spPr bwMode="auto">
        <a:xfrm>
          <a:off x="17513300" y="267589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55" name="Text Box 99" hidden="1">
          <a:extLst>
            <a:ext uri="{FF2B5EF4-FFF2-40B4-BE49-F238E27FC236}">
              <a16:creationId xmlns:a16="http://schemas.microsoft.com/office/drawing/2014/main" id="{2B23733A-884F-93CC-3280-FC01DC23D0ED}"/>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54" name="Text Box 98" hidden="1">
          <a:extLst>
            <a:ext uri="{FF2B5EF4-FFF2-40B4-BE49-F238E27FC236}">
              <a16:creationId xmlns:a16="http://schemas.microsoft.com/office/drawing/2014/main" id="{00725213-4CB4-6B79-EBAB-8AC1274AE15B}"/>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134</xdr:row>
      <xdr:rowOff>44450</xdr:rowOff>
    </xdr:from>
    <xdr:to>
      <xdr:col>22</xdr:col>
      <xdr:colOff>609600</xdr:colOff>
      <xdr:row>138</xdr:row>
      <xdr:rowOff>25400</xdr:rowOff>
    </xdr:to>
    <xdr:sp macro="" textlink="">
      <xdr:nvSpPr>
        <xdr:cNvPr id="377953" name="Text Box 97" hidden="1">
          <a:extLst>
            <a:ext uri="{FF2B5EF4-FFF2-40B4-BE49-F238E27FC236}">
              <a16:creationId xmlns:a16="http://schemas.microsoft.com/office/drawing/2014/main" id="{AC8E38B4-C96B-9531-B59B-3DFF8624F0E5}"/>
            </a:ext>
          </a:extLst>
        </xdr:cNvPr>
        <xdr:cNvSpPr txBox="1">
          <a:spLocks noChangeArrowheads="1"/>
        </xdr:cNvSpPr>
      </xdr:nvSpPr>
      <xdr:spPr bwMode="auto">
        <a:xfrm>
          <a:off x="18332450" y="275145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40</xdr:row>
      <xdr:rowOff>95250</xdr:rowOff>
    </xdr:from>
    <xdr:to>
      <xdr:col>11</xdr:col>
      <xdr:colOff>1409700</xdr:colOff>
      <xdr:row>45</xdr:row>
      <xdr:rowOff>19050</xdr:rowOff>
    </xdr:to>
    <xdr:sp macro="" textlink="">
      <xdr:nvSpPr>
        <xdr:cNvPr id="377952" name="Text Box 96" hidden="1">
          <a:extLst>
            <a:ext uri="{FF2B5EF4-FFF2-40B4-BE49-F238E27FC236}">
              <a16:creationId xmlns:a16="http://schemas.microsoft.com/office/drawing/2014/main" id="{5626323A-03D4-5199-74BD-617A67A97EEB}"/>
            </a:ext>
          </a:extLst>
        </xdr:cNvPr>
        <xdr:cNvSpPr txBox="1">
          <a:spLocks noChangeArrowheads="1"/>
        </xdr:cNvSpPr>
      </xdr:nvSpPr>
      <xdr:spPr bwMode="auto">
        <a:xfrm>
          <a:off x="9359900" y="86931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51" name="Text Box 95" hidden="1">
          <a:extLst>
            <a:ext uri="{FF2B5EF4-FFF2-40B4-BE49-F238E27FC236}">
              <a16:creationId xmlns:a16="http://schemas.microsoft.com/office/drawing/2014/main" id="{37C42DE6-CCBF-062C-E665-E9ACB98D9B3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50" name="Text Box 94" hidden="1">
          <a:extLst>
            <a:ext uri="{FF2B5EF4-FFF2-40B4-BE49-F238E27FC236}">
              <a16:creationId xmlns:a16="http://schemas.microsoft.com/office/drawing/2014/main" id="{D8883854-CC48-87F4-DEA1-79B7F2D46E01}"/>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134</xdr:row>
      <xdr:rowOff>44450</xdr:rowOff>
    </xdr:from>
    <xdr:to>
      <xdr:col>24</xdr:col>
      <xdr:colOff>647700</xdr:colOff>
      <xdr:row>138</xdr:row>
      <xdr:rowOff>120650</xdr:rowOff>
    </xdr:to>
    <xdr:sp macro="" textlink="">
      <xdr:nvSpPr>
        <xdr:cNvPr id="377949" name="Text Box 93" hidden="1">
          <a:extLst>
            <a:ext uri="{FF2B5EF4-FFF2-40B4-BE49-F238E27FC236}">
              <a16:creationId xmlns:a16="http://schemas.microsoft.com/office/drawing/2014/main" id="{4598E66C-2FB9-69B2-1B62-0C3A43CB4A18}"/>
            </a:ext>
          </a:extLst>
        </xdr:cNvPr>
        <xdr:cNvSpPr txBox="1">
          <a:spLocks noChangeArrowheads="1"/>
        </xdr:cNvSpPr>
      </xdr:nvSpPr>
      <xdr:spPr bwMode="auto">
        <a:xfrm>
          <a:off x="20027900" y="275145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48" name="Text Box 92" hidden="1">
          <a:extLst>
            <a:ext uri="{FF2B5EF4-FFF2-40B4-BE49-F238E27FC236}">
              <a16:creationId xmlns:a16="http://schemas.microsoft.com/office/drawing/2014/main" id="{6061B25C-7466-84B1-0246-71DF9A8BB5EA}"/>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47" name="Text Box 91" hidden="1">
          <a:extLst>
            <a:ext uri="{FF2B5EF4-FFF2-40B4-BE49-F238E27FC236}">
              <a16:creationId xmlns:a16="http://schemas.microsoft.com/office/drawing/2014/main" id="{BA6DCF2F-02C2-7618-B686-7CCFA4A4162F}"/>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134</xdr:row>
      <xdr:rowOff>82550</xdr:rowOff>
    </xdr:from>
    <xdr:to>
      <xdr:col>25</xdr:col>
      <xdr:colOff>647700</xdr:colOff>
      <xdr:row>138</xdr:row>
      <xdr:rowOff>120650</xdr:rowOff>
    </xdr:to>
    <xdr:sp macro="" textlink="">
      <xdr:nvSpPr>
        <xdr:cNvPr id="377946" name="Text Box 90" hidden="1">
          <a:extLst>
            <a:ext uri="{FF2B5EF4-FFF2-40B4-BE49-F238E27FC236}">
              <a16:creationId xmlns:a16="http://schemas.microsoft.com/office/drawing/2014/main" id="{8B16CEBF-5120-B282-6124-F1F540C98B30}"/>
            </a:ext>
          </a:extLst>
        </xdr:cNvPr>
        <xdr:cNvSpPr txBox="1">
          <a:spLocks noChangeArrowheads="1"/>
        </xdr:cNvSpPr>
      </xdr:nvSpPr>
      <xdr:spPr bwMode="auto">
        <a:xfrm>
          <a:off x="20789900" y="275526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44</xdr:row>
      <xdr:rowOff>76200</xdr:rowOff>
    </xdr:from>
    <xdr:to>
      <xdr:col>11</xdr:col>
      <xdr:colOff>1485900</xdr:colOff>
      <xdr:row>48</xdr:row>
      <xdr:rowOff>95250</xdr:rowOff>
    </xdr:to>
    <xdr:sp macro="" textlink="">
      <xdr:nvSpPr>
        <xdr:cNvPr id="377945" name="Text Box 89" hidden="1">
          <a:extLst>
            <a:ext uri="{FF2B5EF4-FFF2-40B4-BE49-F238E27FC236}">
              <a16:creationId xmlns:a16="http://schemas.microsoft.com/office/drawing/2014/main" id="{03A5CF65-B690-46E6-3776-71E7194CD7C5}"/>
            </a:ext>
          </a:extLst>
        </xdr:cNvPr>
        <xdr:cNvSpPr txBox="1">
          <a:spLocks noChangeArrowheads="1"/>
        </xdr:cNvSpPr>
      </xdr:nvSpPr>
      <xdr:spPr bwMode="auto">
        <a:xfrm>
          <a:off x="9398000" y="941070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44</xdr:row>
      <xdr:rowOff>76200</xdr:rowOff>
    </xdr:from>
    <xdr:to>
      <xdr:col>13</xdr:col>
      <xdr:colOff>666750</xdr:colOff>
      <xdr:row>48</xdr:row>
      <xdr:rowOff>95250</xdr:rowOff>
    </xdr:to>
    <xdr:sp macro="" textlink="">
      <xdr:nvSpPr>
        <xdr:cNvPr id="377944" name="Text Box 88" hidden="1">
          <a:extLst>
            <a:ext uri="{FF2B5EF4-FFF2-40B4-BE49-F238E27FC236}">
              <a16:creationId xmlns:a16="http://schemas.microsoft.com/office/drawing/2014/main" id="{889C5AB7-6A13-E4BA-8020-DB9B98735E52}"/>
            </a:ext>
          </a:extLst>
        </xdr:cNvPr>
        <xdr:cNvSpPr txBox="1">
          <a:spLocks noChangeArrowheads="1"/>
        </xdr:cNvSpPr>
      </xdr:nvSpPr>
      <xdr:spPr bwMode="auto">
        <a:xfrm>
          <a:off x="11125200" y="941070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43" name="Text Box 87" hidden="1">
          <a:extLst>
            <a:ext uri="{FF2B5EF4-FFF2-40B4-BE49-F238E27FC236}">
              <a16:creationId xmlns:a16="http://schemas.microsoft.com/office/drawing/2014/main" id="{EEE611C4-C5C2-2275-62FA-7076711660D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62</xdr:row>
      <xdr:rowOff>6350</xdr:rowOff>
    </xdr:from>
    <xdr:to>
      <xdr:col>14</xdr:col>
      <xdr:colOff>571500</xdr:colOff>
      <xdr:row>62</xdr:row>
      <xdr:rowOff>38100</xdr:rowOff>
    </xdr:to>
    <xdr:sp macro="" textlink="">
      <xdr:nvSpPr>
        <xdr:cNvPr id="377942" name="Text Box 86" hidden="1">
          <a:extLst>
            <a:ext uri="{FF2B5EF4-FFF2-40B4-BE49-F238E27FC236}">
              <a16:creationId xmlns:a16="http://schemas.microsoft.com/office/drawing/2014/main" id="{B2A61BD8-ABB9-1C98-EB49-7A0A36CB5252}"/>
            </a:ext>
          </a:extLst>
        </xdr:cNvPr>
        <xdr:cNvSpPr txBox="1">
          <a:spLocks noChangeArrowheads="1"/>
        </xdr:cNvSpPr>
      </xdr:nvSpPr>
      <xdr:spPr bwMode="auto">
        <a:xfrm>
          <a:off x="11957050" y="13404850"/>
          <a:ext cx="1416050" cy="3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66</xdr:row>
      <xdr:rowOff>25400</xdr:rowOff>
    </xdr:from>
    <xdr:to>
      <xdr:col>14</xdr:col>
      <xdr:colOff>609600</xdr:colOff>
      <xdr:row>75</xdr:row>
      <xdr:rowOff>349250</xdr:rowOff>
    </xdr:to>
    <xdr:sp macro="" textlink="">
      <xdr:nvSpPr>
        <xdr:cNvPr id="377941" name="Text Box 85" hidden="1">
          <a:extLst>
            <a:ext uri="{FF2B5EF4-FFF2-40B4-BE49-F238E27FC236}">
              <a16:creationId xmlns:a16="http://schemas.microsoft.com/office/drawing/2014/main" id="{7D5247FC-CC53-2643-7FF9-9A50E5E9A01B}"/>
            </a:ext>
          </a:extLst>
        </xdr:cNvPr>
        <xdr:cNvSpPr txBox="1">
          <a:spLocks noChangeArrowheads="1"/>
        </xdr:cNvSpPr>
      </xdr:nvSpPr>
      <xdr:spPr bwMode="auto">
        <a:xfrm>
          <a:off x="11995150" y="14211300"/>
          <a:ext cx="1416050" cy="206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44</xdr:row>
      <xdr:rowOff>76200</xdr:rowOff>
    </xdr:from>
    <xdr:to>
      <xdr:col>14</xdr:col>
      <xdr:colOff>609600</xdr:colOff>
      <xdr:row>48</xdr:row>
      <xdr:rowOff>95250</xdr:rowOff>
    </xdr:to>
    <xdr:sp macro="" textlink="">
      <xdr:nvSpPr>
        <xdr:cNvPr id="377940" name="Text Box 84" hidden="1">
          <a:extLst>
            <a:ext uri="{FF2B5EF4-FFF2-40B4-BE49-F238E27FC236}">
              <a16:creationId xmlns:a16="http://schemas.microsoft.com/office/drawing/2014/main" id="{937B8CD3-B978-085A-CC9D-7A46F1B1AC8C}"/>
            </a:ext>
          </a:extLst>
        </xdr:cNvPr>
        <xdr:cNvSpPr txBox="1">
          <a:spLocks noChangeArrowheads="1"/>
        </xdr:cNvSpPr>
      </xdr:nvSpPr>
      <xdr:spPr bwMode="auto">
        <a:xfrm>
          <a:off x="11995150" y="941070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62</xdr:row>
      <xdr:rowOff>196850</xdr:rowOff>
    </xdr:from>
    <xdr:to>
      <xdr:col>6</xdr:col>
      <xdr:colOff>19050</xdr:colOff>
      <xdr:row>76</xdr:row>
      <xdr:rowOff>57150</xdr:rowOff>
    </xdr:to>
    <xdr:sp macro="" textlink="">
      <xdr:nvSpPr>
        <xdr:cNvPr id="377939" name="Text Box 83" hidden="1">
          <a:extLst>
            <a:ext uri="{FF2B5EF4-FFF2-40B4-BE49-F238E27FC236}">
              <a16:creationId xmlns:a16="http://schemas.microsoft.com/office/drawing/2014/main" id="{7A11ECB3-F456-6EE4-6EC8-02E6C4782C81}"/>
            </a:ext>
          </a:extLst>
        </xdr:cNvPr>
        <xdr:cNvSpPr txBox="1">
          <a:spLocks noChangeArrowheads="1"/>
        </xdr:cNvSpPr>
      </xdr:nvSpPr>
      <xdr:spPr bwMode="auto">
        <a:xfrm>
          <a:off x="4051300" y="13595350"/>
          <a:ext cx="1428750" cy="276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38" name="Text Box 82" hidden="1">
          <a:extLst>
            <a:ext uri="{FF2B5EF4-FFF2-40B4-BE49-F238E27FC236}">
              <a16:creationId xmlns:a16="http://schemas.microsoft.com/office/drawing/2014/main" id="{737EAB0E-8BFD-1DF8-4174-2B1774BAFBD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937" name="Text Box 81" hidden="1">
          <a:extLst>
            <a:ext uri="{FF2B5EF4-FFF2-40B4-BE49-F238E27FC236}">
              <a16:creationId xmlns:a16="http://schemas.microsoft.com/office/drawing/2014/main" id="{292DB0EF-FD2E-993F-B7EB-E17358A182EF}"/>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136</xdr:row>
      <xdr:rowOff>139700</xdr:rowOff>
    </xdr:from>
    <xdr:to>
      <xdr:col>26</xdr:col>
      <xdr:colOff>666750</xdr:colOff>
      <xdr:row>141</xdr:row>
      <xdr:rowOff>0</xdr:rowOff>
    </xdr:to>
    <xdr:sp macro="" textlink="">
      <xdr:nvSpPr>
        <xdr:cNvPr id="377936" name="Text Box 80" hidden="1">
          <a:extLst>
            <a:ext uri="{FF2B5EF4-FFF2-40B4-BE49-F238E27FC236}">
              <a16:creationId xmlns:a16="http://schemas.microsoft.com/office/drawing/2014/main" id="{F822EEA5-7320-934B-0D70-6875914768F8}"/>
            </a:ext>
          </a:extLst>
        </xdr:cNvPr>
        <xdr:cNvSpPr txBox="1">
          <a:spLocks noChangeArrowheads="1"/>
        </xdr:cNvSpPr>
      </xdr:nvSpPr>
      <xdr:spPr bwMode="auto">
        <a:xfrm>
          <a:off x="21551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935" name="Text Box 79" hidden="1">
          <a:extLst>
            <a:ext uri="{FF2B5EF4-FFF2-40B4-BE49-F238E27FC236}">
              <a16:creationId xmlns:a16="http://schemas.microsoft.com/office/drawing/2014/main" id="{19E80CD1-B6B4-9EE3-C539-88C01EA14AE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934" name="Text Box 78" hidden="1">
          <a:extLst>
            <a:ext uri="{FF2B5EF4-FFF2-40B4-BE49-F238E27FC236}">
              <a16:creationId xmlns:a16="http://schemas.microsoft.com/office/drawing/2014/main" id="{BF6F6F4B-205E-B4DF-DD26-988D78CC2340}"/>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136</xdr:row>
      <xdr:rowOff>139700</xdr:rowOff>
    </xdr:from>
    <xdr:to>
      <xdr:col>27</xdr:col>
      <xdr:colOff>666750</xdr:colOff>
      <xdr:row>141</xdr:row>
      <xdr:rowOff>0</xdr:rowOff>
    </xdr:to>
    <xdr:sp macro="" textlink="">
      <xdr:nvSpPr>
        <xdr:cNvPr id="377933" name="Text Box 77" hidden="1">
          <a:extLst>
            <a:ext uri="{FF2B5EF4-FFF2-40B4-BE49-F238E27FC236}">
              <a16:creationId xmlns:a16="http://schemas.microsoft.com/office/drawing/2014/main" id="{290A3379-3FB2-F860-9637-416749EFB67F}"/>
            </a:ext>
          </a:extLst>
        </xdr:cNvPr>
        <xdr:cNvSpPr txBox="1">
          <a:spLocks noChangeArrowheads="1"/>
        </xdr:cNvSpPr>
      </xdr:nvSpPr>
      <xdr:spPr bwMode="auto">
        <a:xfrm>
          <a:off x="22313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139700</xdr:colOff>
      <xdr:row>14</xdr:row>
      <xdr:rowOff>95250</xdr:rowOff>
    </xdr:from>
    <xdr:to>
      <xdr:col>29</xdr:col>
      <xdr:colOff>63500</xdr:colOff>
      <xdr:row>18</xdr:row>
      <xdr:rowOff>101600</xdr:rowOff>
    </xdr:to>
    <xdr:sp macro="" textlink="">
      <xdr:nvSpPr>
        <xdr:cNvPr id="377971" name="Text Box 115" hidden="1">
          <a:extLst>
            <a:ext uri="{FF2B5EF4-FFF2-40B4-BE49-F238E27FC236}">
              <a16:creationId xmlns:a16="http://schemas.microsoft.com/office/drawing/2014/main" id="{F7430A46-0067-BEDE-7933-7354FD25E767}"/>
            </a:ext>
          </a:extLst>
        </xdr:cNvPr>
        <xdr:cNvSpPr txBox="1">
          <a:spLocks noChangeArrowheads="1"/>
        </xdr:cNvSpPr>
      </xdr:nvSpPr>
      <xdr:spPr bwMode="auto">
        <a:xfrm>
          <a:off x="23120350" y="355600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139700</xdr:colOff>
      <xdr:row>23</xdr:row>
      <xdr:rowOff>95250</xdr:rowOff>
    </xdr:from>
    <xdr:to>
      <xdr:col>29</xdr:col>
      <xdr:colOff>63500</xdr:colOff>
      <xdr:row>27</xdr:row>
      <xdr:rowOff>114300</xdr:rowOff>
    </xdr:to>
    <xdr:sp macro="" textlink="">
      <xdr:nvSpPr>
        <xdr:cNvPr id="377972" name="Text Box 116" hidden="1">
          <a:extLst>
            <a:ext uri="{FF2B5EF4-FFF2-40B4-BE49-F238E27FC236}">
              <a16:creationId xmlns:a16="http://schemas.microsoft.com/office/drawing/2014/main" id="{16514411-E09A-40A3-0436-02862EC02DB6}"/>
            </a:ext>
          </a:extLst>
        </xdr:cNvPr>
        <xdr:cNvSpPr txBox="1">
          <a:spLocks noChangeArrowheads="1"/>
        </xdr:cNvSpPr>
      </xdr:nvSpPr>
      <xdr:spPr bwMode="auto">
        <a:xfrm>
          <a:off x="23120350" y="556260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901" name="Text Box 21" hidden="1">
          <a:extLst>
            <a:ext uri="{FF2B5EF4-FFF2-40B4-BE49-F238E27FC236}">
              <a16:creationId xmlns:a16="http://schemas.microsoft.com/office/drawing/2014/main" id="{67D3E4AE-BA78-AE9D-FAE5-1F33CFBEE032}"/>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900" name="Text Box 20" hidden="1">
          <a:extLst>
            <a:ext uri="{FF2B5EF4-FFF2-40B4-BE49-F238E27FC236}">
              <a16:creationId xmlns:a16="http://schemas.microsoft.com/office/drawing/2014/main" id="{423EE8F7-5BB1-807B-D27F-C55D468D612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9" name="Text Box 19" hidden="1">
          <a:extLst>
            <a:ext uri="{FF2B5EF4-FFF2-40B4-BE49-F238E27FC236}">
              <a16:creationId xmlns:a16="http://schemas.microsoft.com/office/drawing/2014/main" id="{F3DD4E72-53FE-E90D-53FE-DD2AB10A0224}"/>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8" name="Text Box 18" hidden="1">
          <a:extLst>
            <a:ext uri="{FF2B5EF4-FFF2-40B4-BE49-F238E27FC236}">
              <a16:creationId xmlns:a16="http://schemas.microsoft.com/office/drawing/2014/main" id="{8974D1DE-3C52-FDEC-1889-2F26E1E9CEEE}"/>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7" name="Text Box 17" hidden="1">
          <a:extLst>
            <a:ext uri="{FF2B5EF4-FFF2-40B4-BE49-F238E27FC236}">
              <a16:creationId xmlns:a16="http://schemas.microsoft.com/office/drawing/2014/main" id="{82DD9348-114E-984E-D7FE-89DCC7A662F1}"/>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96" name="Text Box 16" hidden="1">
          <a:extLst>
            <a:ext uri="{FF2B5EF4-FFF2-40B4-BE49-F238E27FC236}">
              <a16:creationId xmlns:a16="http://schemas.microsoft.com/office/drawing/2014/main" id="{7D811DEF-77DD-A502-FAFB-76720BC186F1}"/>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95" name="Text Box 15" hidden="1">
          <a:extLst>
            <a:ext uri="{FF2B5EF4-FFF2-40B4-BE49-F238E27FC236}">
              <a16:creationId xmlns:a16="http://schemas.microsoft.com/office/drawing/2014/main" id="{9C6DFAE0-548C-F788-0ED9-A403EA4539B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7" name="Text Box 1039" hidden="1">
          <a:extLst>
            <a:ext uri="{FF2B5EF4-FFF2-40B4-BE49-F238E27FC236}">
              <a16:creationId xmlns:a16="http://schemas.microsoft.com/office/drawing/2014/main" id="{7CC01126-0983-3B80-E11C-68C0283B949D}"/>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4" name="Text Box 28" hidden="1">
          <a:extLst>
            <a:ext uri="{FF2B5EF4-FFF2-40B4-BE49-F238E27FC236}">
              <a16:creationId xmlns:a16="http://schemas.microsoft.com/office/drawing/2014/main" id="{1C06E398-0A3B-C270-5BA5-0688DF2FA0E5}"/>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3" name="Text Box 27" hidden="1">
          <a:extLst>
            <a:ext uri="{FF2B5EF4-FFF2-40B4-BE49-F238E27FC236}">
              <a16:creationId xmlns:a16="http://schemas.microsoft.com/office/drawing/2014/main" id="{C03B09BE-0B14-6891-0D46-49970F1BF6C5}"/>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78">
      <pivotArea field="3" type="button" dataOnly="0" labelOnly="1" outline="0" axis="axisRow" fieldPosition="0"/>
    </format>
    <format dxfId="77">
      <pivotArea dataOnly="0" labelOnly="1" outline="0" axis="axisValues" fieldPosition="0"/>
    </format>
    <format dxfId="76">
      <pivotArea collapsedLevelsAreSubtotals="1" fieldPosition="0">
        <references count="2">
          <reference field="2" count="1">
            <x v="1"/>
          </reference>
          <reference field="3" count="1" selected="0">
            <x v="1"/>
          </reference>
        </references>
      </pivotArea>
    </format>
    <format dxfId="75">
      <pivotArea collapsedLevelsAreSubtotals="1" fieldPosition="0">
        <references count="2">
          <reference field="2" count="1">
            <x v="2"/>
          </reference>
          <reference field="3" count="1" selected="0">
            <x v="1"/>
          </reference>
        </references>
      </pivotArea>
    </format>
    <format dxfId="74">
      <pivotArea collapsedLevelsAreSubtotals="1" fieldPosition="0">
        <references count="2">
          <reference field="2" count="1">
            <x v="3"/>
          </reference>
          <reference field="3" count="1" selected="0">
            <x v="1"/>
          </reference>
        </references>
      </pivotArea>
    </format>
    <format dxfId="73">
      <pivotArea collapsedLevelsAreSubtotals="1" fieldPosition="0">
        <references count="2">
          <reference field="2" count="1">
            <x v="4"/>
          </reference>
          <reference field="3" count="1" selected="0">
            <x v="1"/>
          </reference>
        </references>
      </pivotArea>
    </format>
    <format dxfId="72">
      <pivotArea collapsedLevelsAreSubtotals="1" fieldPosition="0">
        <references count="1">
          <reference field="3" count="1">
            <x v="2"/>
          </reference>
        </references>
      </pivotArea>
    </format>
    <format dxfId="71">
      <pivotArea collapsedLevelsAreSubtotals="1" fieldPosition="0">
        <references count="2">
          <reference field="2" count="1">
            <x v="1"/>
          </reference>
          <reference field="3" count="1" selected="0">
            <x v="2"/>
          </reference>
        </references>
      </pivotArea>
    </format>
    <format dxfId="70">
      <pivotArea collapsedLevelsAreSubtotals="1" fieldPosition="0">
        <references count="2">
          <reference field="2" count="1">
            <x v="2"/>
          </reference>
          <reference field="3" count="1" selected="0">
            <x v="2"/>
          </reference>
        </references>
      </pivotArea>
    </format>
    <format dxfId="69">
      <pivotArea collapsedLevelsAreSubtotals="1" fieldPosition="0">
        <references count="2">
          <reference field="2" count="1">
            <x v="3"/>
          </reference>
          <reference field="3" count="1" selected="0">
            <x v="2"/>
          </reference>
        </references>
      </pivotArea>
    </format>
    <format dxfId="68">
      <pivotArea collapsedLevelsAreSubtotals="1" fieldPosition="0">
        <references count="2">
          <reference field="2" count="1">
            <x v="4"/>
          </reference>
          <reference field="3" count="1" selected="0">
            <x v="2"/>
          </reference>
        </references>
      </pivotArea>
    </format>
    <format dxfId="67">
      <pivotArea collapsedLevelsAreSubtotals="1" fieldPosition="0">
        <references count="1">
          <reference field="3" count="1">
            <x v="3"/>
          </reference>
        </references>
      </pivotArea>
    </format>
    <format dxfId="66">
      <pivotArea collapsedLevelsAreSubtotals="1" fieldPosition="0">
        <references count="2">
          <reference field="2" count="1">
            <x v="1"/>
          </reference>
          <reference field="3" count="1" selected="0">
            <x v="3"/>
          </reference>
        </references>
      </pivotArea>
    </format>
    <format dxfId="65">
      <pivotArea collapsedLevelsAreSubtotals="1" fieldPosition="0">
        <references count="2">
          <reference field="2" count="1">
            <x v="2"/>
          </reference>
          <reference field="3" count="1" selected="0">
            <x v="3"/>
          </reference>
        </references>
      </pivotArea>
    </format>
    <format dxfId="64">
      <pivotArea collapsedLevelsAreSubtotals="1" fieldPosition="0">
        <references count="2">
          <reference field="2" count="1">
            <x v="3"/>
          </reference>
          <reference field="3" count="1" selected="0">
            <x v="3"/>
          </reference>
        </references>
      </pivotArea>
    </format>
    <format dxfId="63">
      <pivotArea collapsedLevelsAreSubtotals="1" fieldPosition="0">
        <references count="2">
          <reference field="2" count="1">
            <x v="4"/>
          </reference>
          <reference field="3" count="1" selected="0">
            <x v="3"/>
          </reference>
        </references>
      </pivotArea>
    </format>
    <format dxfId="62">
      <pivotArea collapsedLevelsAreSubtotals="1" fieldPosition="0">
        <references count="1">
          <reference field="3" count="1">
            <x v="4"/>
          </reference>
        </references>
      </pivotArea>
    </format>
    <format dxfId="61">
      <pivotArea collapsedLevelsAreSubtotals="1" fieldPosition="0">
        <references count="2">
          <reference field="2" count="1">
            <x v="1"/>
          </reference>
          <reference field="3" count="1" selected="0">
            <x v="4"/>
          </reference>
        </references>
      </pivotArea>
    </format>
    <format dxfId="60">
      <pivotArea collapsedLevelsAreSubtotals="1" fieldPosition="0">
        <references count="2">
          <reference field="2" count="1">
            <x v="2"/>
          </reference>
          <reference field="3" count="1" selected="0">
            <x v="4"/>
          </reference>
        </references>
      </pivotArea>
    </format>
    <format dxfId="59">
      <pivotArea collapsedLevelsAreSubtotals="1" fieldPosition="0">
        <references count="2">
          <reference field="2" count="1">
            <x v="3"/>
          </reference>
          <reference field="3" count="1" selected="0">
            <x v="4"/>
          </reference>
        </references>
      </pivotArea>
    </format>
    <format dxfId="58">
      <pivotArea collapsedLevelsAreSubtotals="1" fieldPosition="0">
        <references count="2">
          <reference field="2" count="1">
            <x v="4"/>
          </reference>
          <reference field="3" count="1" selected="0">
            <x v="4"/>
          </reference>
        </references>
      </pivotArea>
    </format>
    <format dxfId="57">
      <pivotArea collapsedLevelsAreSubtotals="1" fieldPosition="0">
        <references count="1">
          <reference field="3" count="1">
            <x v="5"/>
          </reference>
        </references>
      </pivotArea>
    </format>
    <format dxfId="56">
      <pivotArea collapsedLevelsAreSubtotals="1" fieldPosition="0">
        <references count="2">
          <reference field="2" count="1">
            <x v="1"/>
          </reference>
          <reference field="3" count="1" selected="0">
            <x v="5"/>
          </reference>
        </references>
      </pivotArea>
    </format>
    <format dxfId="55">
      <pivotArea collapsedLevelsAreSubtotals="1" fieldPosition="0">
        <references count="2">
          <reference field="2" count="1">
            <x v="2"/>
          </reference>
          <reference field="3" count="1" selected="0">
            <x v="5"/>
          </reference>
        </references>
      </pivotArea>
    </format>
    <format dxfId="54">
      <pivotArea collapsedLevelsAreSubtotals="1" fieldPosition="0">
        <references count="2">
          <reference field="2" count="1">
            <x v="3"/>
          </reference>
          <reference field="3" count="1" selected="0">
            <x v="5"/>
          </reference>
        </references>
      </pivotArea>
    </format>
    <format dxfId="53">
      <pivotArea collapsedLevelsAreSubtotals="1" fieldPosition="0">
        <references count="2">
          <reference field="2" count="1">
            <x v="4"/>
          </reference>
          <reference field="3" count="1" selected="0">
            <x v="5"/>
          </reference>
        </references>
      </pivotArea>
    </format>
    <format dxfId="52">
      <pivotArea collapsedLevelsAreSubtotals="1" fieldPosition="0">
        <references count="1">
          <reference field="3" count="1">
            <x v="6"/>
          </reference>
        </references>
      </pivotArea>
    </format>
    <format dxfId="51">
      <pivotArea collapsedLevelsAreSubtotals="1" fieldPosition="0">
        <references count="2">
          <reference field="2" count="1">
            <x v="1"/>
          </reference>
          <reference field="3" count="1" selected="0">
            <x v="6"/>
          </reference>
        </references>
      </pivotArea>
    </format>
    <format dxfId="50">
      <pivotArea collapsedLevelsAreSubtotals="1" fieldPosition="0">
        <references count="2">
          <reference field="2" count="1">
            <x v="2"/>
          </reference>
          <reference field="3" count="1" selected="0">
            <x v="6"/>
          </reference>
        </references>
      </pivotArea>
    </format>
    <format dxfId="49">
      <pivotArea collapsedLevelsAreSubtotals="1" fieldPosition="0">
        <references count="2">
          <reference field="2" count="1">
            <x v="3"/>
          </reference>
          <reference field="3" count="1" selected="0">
            <x v="6"/>
          </reference>
        </references>
      </pivotArea>
    </format>
    <format dxfId="48">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7">
      <pivotArea field="3" type="button" dataOnly="0" labelOnly="1" outline="0" axis="axisRow" fieldPosition="0"/>
    </format>
    <format dxfId="46">
      <pivotArea dataOnly="0" labelOnly="1" outline="0" axis="axisValues" fieldPosition="0"/>
    </format>
    <format dxfId="45">
      <pivotArea collapsedLevelsAreSubtotals="1" fieldPosition="0">
        <references count="2">
          <reference field="2" count="1">
            <x v="1"/>
          </reference>
          <reference field="3" count="1" selected="0">
            <x v="1"/>
          </reference>
        </references>
      </pivotArea>
    </format>
    <format dxfId="44">
      <pivotArea collapsedLevelsAreSubtotals="1" fieldPosition="0">
        <references count="2">
          <reference field="2" count="1">
            <x v="2"/>
          </reference>
          <reference field="3" count="1" selected="0">
            <x v="1"/>
          </reference>
        </references>
      </pivotArea>
    </format>
    <format dxfId="43">
      <pivotArea collapsedLevelsAreSubtotals="1" fieldPosition="0">
        <references count="2">
          <reference field="2" count="1">
            <x v="3"/>
          </reference>
          <reference field="3" count="1" selected="0">
            <x v="1"/>
          </reference>
        </references>
      </pivotArea>
    </format>
    <format dxfId="42">
      <pivotArea collapsedLevelsAreSubtotals="1" fieldPosition="0">
        <references count="2">
          <reference field="2" count="1">
            <x v="4"/>
          </reference>
          <reference field="3" count="1" selected="0">
            <x v="1"/>
          </reference>
        </references>
      </pivotArea>
    </format>
    <format dxfId="41">
      <pivotArea collapsedLevelsAreSubtotals="1" fieldPosition="0">
        <references count="1">
          <reference field="3" count="1">
            <x v="2"/>
          </reference>
        </references>
      </pivotArea>
    </format>
    <format dxfId="40">
      <pivotArea collapsedLevelsAreSubtotals="1" fieldPosition="0">
        <references count="2">
          <reference field="2" count="1">
            <x v="1"/>
          </reference>
          <reference field="3" count="1" selected="0">
            <x v="2"/>
          </reference>
        </references>
      </pivotArea>
    </format>
    <format dxfId="39">
      <pivotArea collapsedLevelsAreSubtotals="1" fieldPosition="0">
        <references count="2">
          <reference field="2" count="1">
            <x v="2"/>
          </reference>
          <reference field="3" count="1" selected="0">
            <x v="2"/>
          </reference>
        </references>
      </pivotArea>
    </format>
    <format dxfId="38">
      <pivotArea collapsedLevelsAreSubtotals="1" fieldPosition="0">
        <references count="2">
          <reference field="2" count="1">
            <x v="3"/>
          </reference>
          <reference field="3" count="1" selected="0">
            <x v="2"/>
          </reference>
        </references>
      </pivotArea>
    </format>
    <format dxfId="37">
      <pivotArea collapsedLevelsAreSubtotals="1" fieldPosition="0">
        <references count="2">
          <reference field="2" count="1">
            <x v="4"/>
          </reference>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1">
            <x v="1"/>
          </reference>
          <reference field="3" count="1" selected="0">
            <x v="3"/>
          </reference>
        </references>
      </pivotArea>
    </format>
    <format dxfId="34">
      <pivotArea collapsedLevelsAreSubtotals="1" fieldPosition="0">
        <references count="2">
          <reference field="2" count="1">
            <x v="2"/>
          </reference>
          <reference field="3" count="1" selected="0">
            <x v="3"/>
          </reference>
        </references>
      </pivotArea>
    </format>
    <format dxfId="33">
      <pivotArea collapsedLevelsAreSubtotals="1" fieldPosition="0">
        <references count="2">
          <reference field="2" count="1">
            <x v="3"/>
          </reference>
          <reference field="3" count="1" selected="0">
            <x v="3"/>
          </reference>
        </references>
      </pivotArea>
    </format>
    <format dxfId="32">
      <pivotArea collapsedLevelsAreSubtotals="1" fieldPosition="0">
        <references count="2">
          <reference field="2" count="1">
            <x v="4"/>
          </reference>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1">
            <x v="1"/>
          </reference>
          <reference field="3" count="1" selected="0">
            <x v="4"/>
          </reference>
        </references>
      </pivotArea>
    </format>
    <format dxfId="29">
      <pivotArea collapsedLevelsAreSubtotals="1" fieldPosition="0">
        <references count="2">
          <reference field="2" count="1">
            <x v="2"/>
          </reference>
          <reference field="3" count="1" selected="0">
            <x v="4"/>
          </reference>
        </references>
      </pivotArea>
    </format>
    <format dxfId="28">
      <pivotArea collapsedLevelsAreSubtotals="1" fieldPosition="0">
        <references count="2">
          <reference field="2" count="1">
            <x v="3"/>
          </reference>
          <reference field="3" count="1" selected="0">
            <x v="4"/>
          </reference>
        </references>
      </pivotArea>
    </format>
    <format dxfId="27">
      <pivotArea collapsedLevelsAreSubtotals="1" fieldPosition="0">
        <references count="2">
          <reference field="2" count="1">
            <x v="4"/>
          </reference>
          <reference field="3" count="1" selected="0">
            <x v="4"/>
          </reference>
        </references>
      </pivotArea>
    </format>
    <format dxfId="26">
      <pivotArea collapsedLevelsAreSubtotals="1" fieldPosition="0">
        <references count="1">
          <reference field="3" count="1">
            <x v="5"/>
          </reference>
        </references>
      </pivotArea>
    </format>
    <format dxfId="25">
      <pivotArea collapsedLevelsAreSubtotals="1" fieldPosition="0">
        <references count="2">
          <reference field="2" count="1">
            <x v="1"/>
          </reference>
          <reference field="3" count="1" selected="0">
            <x v="5"/>
          </reference>
        </references>
      </pivotArea>
    </format>
    <format dxfId="24">
      <pivotArea collapsedLevelsAreSubtotals="1" fieldPosition="0">
        <references count="2">
          <reference field="2" count="1">
            <x v="2"/>
          </reference>
          <reference field="3" count="1" selected="0">
            <x v="5"/>
          </reference>
        </references>
      </pivotArea>
    </format>
    <format dxfId="23">
      <pivotArea collapsedLevelsAreSubtotals="1" fieldPosition="0">
        <references count="2">
          <reference field="2" count="1">
            <x v="3"/>
          </reference>
          <reference field="3" count="1" selected="0">
            <x v="5"/>
          </reference>
        </references>
      </pivotArea>
    </format>
    <format dxfId="22">
      <pivotArea collapsedLevelsAreSubtotals="1" fieldPosition="0">
        <references count="2">
          <reference field="2" count="1">
            <x v="4"/>
          </reference>
          <reference field="3" count="1" selected="0">
            <x v="5"/>
          </reference>
        </references>
      </pivotArea>
    </format>
    <format dxfId="21">
      <pivotArea collapsedLevelsAreSubtotals="1" fieldPosition="0">
        <references count="1">
          <reference field="3" count="1">
            <x v="6"/>
          </reference>
        </references>
      </pivotArea>
    </format>
    <format dxfId="20">
      <pivotArea collapsedLevelsAreSubtotals="1" fieldPosition="0">
        <references count="2">
          <reference field="2" count="1">
            <x v="1"/>
          </reference>
          <reference field="3" count="1" selected="0">
            <x v="6"/>
          </reference>
        </references>
      </pivotArea>
    </format>
    <format dxfId="19">
      <pivotArea collapsedLevelsAreSubtotals="1" fieldPosition="0">
        <references count="2">
          <reference field="2" count="1">
            <x v="2"/>
          </reference>
          <reference field="3" count="1" selected="0">
            <x v="6"/>
          </reference>
        </references>
      </pivotArea>
    </format>
    <format dxfId="18">
      <pivotArea collapsedLevelsAreSubtotals="1" fieldPosition="0">
        <references count="2">
          <reference field="2" count="1">
            <x v="3"/>
          </reference>
          <reference field="3" count="1" selected="0">
            <x v="6"/>
          </reference>
        </references>
      </pivotArea>
    </format>
    <format dxfId="1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6" dataDxfId="15">
  <autoFilter ref="A2:D50" xr:uid="{AFE7EBBA-0E52-684B-AE3F-DAE47002C36D}"/>
  <tableColumns count="4">
    <tableColumn id="1" xr3:uid="{1CBC7486-21F3-4D68-AEAB-B260D3DC1265}" name="Provision" dataDxfId="14"/>
    <tableColumn id="2" xr3:uid="{B72D09CC-D35A-4A45-8D8D-9C97129E01A1}" name="Ten year cost (annualized)" dataDxfId="13"/>
    <tableColumn id="4" xr3:uid="{A8BE311C-E3F6-4043-8119-413ED4A13011}" name="Column1" dataDxfId="12"/>
    <tableColumn id="5" xr3:uid="{A41ECCE3-5E03-45CB-9B64-5E91C95099AB}" name="Column2" dataDxfId="11"/>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33"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A16" dT="2024-11-26T20:16:42.98" personId="{09FAC3F1-DFDB-4CF8-9903-358701529E2B}" id="{AB1A14CA-DE5C-4A74-9649-E3C9566127ED}">
    <text xml:space="preserve">Drag this forward in February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AA25" dT="2024-11-26T20:16:59.30" personId="{09FAC3F1-DFDB-4CF8-9903-358701529E2B}" id="{D570B77E-B816-43C6-ACEF-79E4AFAEEA7C}">
    <text xml:space="preserve">Drag this forward in February. </text>
  </threadedComment>
  <threadedComment ref="K42" dT="2023-09-29T18:40:36.76" personId="{2C68A5A1-706F-4A3E-93A3-741BBABEC4EA}" id="{1065F4CB-52AB-4B92-B793-654578199E67}">
    <text>We adjusted these growth rates upward because CBO expected taxes to fall gradually but instead they fell quickly.</text>
  </threadedComment>
  <threadedComment ref="K46" dT="2024-02-29T21:02:38.53" personId="{4C0C5F85-AD1E-4C57-B372-003AF5B78A9F}" id="{6EA59173-A6A4-4520-BC55-CD373EBDD6E4}">
    <text>We reduced the CBO growth rate from 36% to 10% because it seemed anomolously high</text>
  </threadedComment>
  <threadedComment ref="L46" dT="2024-02-29T21:03:05.03" personId="{4C0C5F85-AD1E-4C57-B372-003AF5B78A9F}" id="{B7BB92B9-56AF-428A-90BE-8769E0F9A367}">
    <text>We increased the CBO growth rate to account for our large adjustment in the previous year</text>
  </threadedComment>
  <threadedComment ref="M46" dT="2024-05-30T19:58:14.22" personId="{2C68A5A1-706F-4A3E-93A3-741BBABEC4EA}" id="{F12C7BC9-1DAF-45BE-BFCA-781CDA4BC7CD}">
    <text>Another additional add factor, similar to comment to the left</text>
  </threadedComment>
  <threadedComment ref="D62" dT="2023-02-15T20:39:04.10" personId="{609654FB-393E-4954-B3A3-EDB231775774}" id="{54F6D9F3-8868-417E-999A-B95E2C1FC589}">
    <text>May 2023 CBO Budget Projections Table 1 Row 12</text>
  </threadedComment>
  <threadedComment ref="D62" dT="2024-02-22T14:31:10.89" personId="{09FAC3F1-DFDB-4CF8-9903-358701529E2B}" id="{5AD6BF73-9438-4F75-A02E-C3EAB6B7E7E0}" parentId="{54F6D9F3-8868-417E-999A-B95E2C1FC589}">
    <text>Feb 2024 CBO Budget Projections Table 1-1 Row 10</text>
  </threadedComment>
  <threadedComment ref="D62" dT="2024-06-27T14:27:47.87" personId="{2C68A5A1-706F-4A3E-93A3-741BBABEC4EA}" id="{B8639833-1036-486E-B271-B2B70A5F4327}" parentId="{54F6D9F3-8868-417E-999A-B95E2C1FC589}">
    <text>June 2024 CBO Budget Projections Table 1-1 Row 10</text>
  </threadedComment>
  <threadedComment ref="M62"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3" dT="2023-02-15T20:40:59.29" personId="{609654FB-393E-4954-B3A3-EDB231775774}" id="{1FB99C5A-E921-4C2B-94A6-469F8368DE8C}">
    <text>February 2023 Budget Projections Table 1 Row 13</text>
  </threadedComment>
  <threadedComment ref="D63" dT="2023-07-27T18:42:32.97" personId="{609654FB-393E-4954-B3A3-EDB231775774}" id="{6C707ADF-070D-4A54-B1A8-849B2DDA53F5}" parentId="{1FB99C5A-E921-4C2B-94A6-469F8368DE8C}">
    <text>These are now May 2023 Budget Projections Table 1 row 13</text>
  </threadedComment>
  <threadedComment ref="D63" dT="2024-02-22T14:36:16.32" personId="{09FAC3F1-DFDB-4CF8-9903-358701529E2B}" id="{9F895A21-C5E6-4F14-982E-DE530E6FCE79}" parentId="{1FB99C5A-E921-4C2B-94A6-469F8368DE8C}">
    <text>February 2024 CBO Budget Projections Table 1-1 Row 11</text>
  </threadedComment>
  <threadedComment ref="D63" dT="2024-06-27T14:28:28.14" personId="{2C68A5A1-706F-4A3E-93A3-741BBABEC4EA}" id="{AAC1A7F3-5101-4D77-A002-FBE231A1A27C}" parentId="{1FB99C5A-E921-4C2B-94A6-469F8368DE8C}">
    <text>June 2024 CBO Budget Projections Table 1-1 Row 11</text>
  </threadedComment>
  <threadedComment ref="D64" dT="2024-06-27T14:31:36.26" personId="{2C68A5A1-706F-4A3E-93A3-741BBABEC4EA}" id="{71B63C0C-A14A-4CAA-AD37-D99BE7060ACF}">
    <text>Not updated June 2024. I could not find in the budget projections.</text>
  </threadedComment>
  <threadedComment ref="D65" dT="2023-02-15T20:49:24.23" personId="{609654FB-393E-4954-B3A3-EDB231775774}" id="{CE0F5DCB-3CCE-4E3D-A6E4-2AC8A4A5F19D}">
    <text>February 2023 CBO Budget Projections Table 1-6 Row 14</text>
  </threadedComment>
  <threadedComment ref="D65" dT="2024-02-22T14:44:59.03" personId="{09FAC3F1-DFDB-4CF8-9903-358701529E2B}" id="{570B49A8-6692-4986-87A6-4A3AB8B43DB9}" parentId="{CE0F5DCB-3CCE-4E3D-A6E4-2AC8A4A5F19D}">
    <text>February 2024 CBO Budget Projections Table 1-7 Row 14</text>
  </threadedComment>
  <threadedComment ref="D65" dT="2024-06-27T21:11:02.98" personId="{09FAC3F1-DFDB-4CF8-9903-358701529E2B}" id="{987C1579-7615-47DB-BE54-85464A342721}" parentId="{CE0F5DCB-3CCE-4E3D-A6E4-2AC8A4A5F19D}">
    <text>June 2024 CBO Revenue Projections by Category, Revenue Projections, Row 14</text>
  </threadedComment>
  <threadedComment ref="D66" dT="2023-02-15T20:50:01.14" personId="{609654FB-393E-4954-B3A3-EDB231775774}" id="{B0E96582-484F-445D-8FF5-3592B5A172FA}">
    <text>February 2023 CBO Budget Projections Table 1-6 Row 16</text>
  </threadedComment>
  <threadedComment ref="D66" dT="2024-02-22T14:45:22.24" personId="{09FAC3F1-DFDB-4CF8-9903-358701529E2B}" id="{4F586962-5804-4FED-852B-7ABCF3DF98B2}" parentId="{B0E96582-484F-445D-8FF5-3592B5A172FA}">
    <text>February 2024 CBO Budget Projections Table 1-7, row 16</text>
  </threadedComment>
  <threadedComment ref="D66" dT="2024-06-27T21:11:21.66" personId="{09FAC3F1-DFDB-4CF8-9903-358701529E2B}" id="{86CF1027-BCEB-4550-AD6D-A909A0CEF61D}" parentId="{B0E96582-484F-445D-8FF5-3592B5A172FA}">
    <text>June 2024 CBO Revenue Projections, Revenue Projections Sheet, Row 16</text>
  </threadedComment>
  <threadedComment ref="D67" dT="2023-02-15T20:51:09.94" personId="{609654FB-393E-4954-B3A3-EDB231775774}" id="{E6B5A35A-07FA-4F2B-9A9E-866D21A47917}">
    <text>May 2023 CBO Budget Projections Table 1 Row 14</text>
  </threadedComment>
  <threadedComment ref="D67" dT="2024-02-22T14:47:44.47" personId="{09FAC3F1-DFDB-4CF8-9903-358701529E2B}" id="{E777AE82-BE55-4B42-9F51-8E1C71456A8B}" parentId="{E6B5A35A-07FA-4F2B-9A9E-866D21A47917}">
    <text>February 2023 CBO Budget Projections Table 1-1, row 12</text>
  </threadedComment>
  <threadedComment ref="D67" dT="2024-06-27T14:32:38.18" personId="{2C68A5A1-706F-4A3E-93A3-741BBABEC4EA}" id="{0FB34D58-0EA7-45D9-9687-C1C4AAD9A17B}" parentId="{E6B5A35A-07FA-4F2B-9A9E-866D21A47917}">
    <text>June 2024 CBO Budget projections table 1-1 row 12</text>
  </threadedComment>
  <threadedComment ref="M67" dT="2024-05-30T19:35:19.75" personId="{2C68A5A1-706F-4A3E-93A3-741BBABEC4EA}" id="{4A8F6F92-75ED-4D7D-9EAC-6799BA8D11ED}">
    <text xml:space="preserve">See comment in M56 on using CBO estimate of TCJA not expiring
</text>
  </threadedComment>
  <threadedComment ref="D85" dT="2023-02-15T20:53:24.39" personId="{609654FB-393E-4954-B3A3-EDB231775774}" id="{BAC4C9C5-057D-4522-9D5B-345501733B13}">
    <text>February 2023 CBO Economic Projections Fiscal Year Table row 92</text>
  </threadedComment>
  <threadedComment ref="D85" dT="2023-07-27T18:46:48.63" personId="{609654FB-393E-4954-B3A3-EDB231775774}" id="{64D40D74-2A66-4530-BD07-3D55C243D880}" parentId="{BAC4C9C5-057D-4522-9D5B-345501733B13}">
    <text>July 2023 now</text>
  </threadedComment>
  <threadedComment ref="D85" dT="2024-02-22T15:10:21.02" personId="{09FAC3F1-DFDB-4CF8-9903-358701529E2B}" id="{9188F4B5-7FFF-4AD3-B884-A6BD992DF509}" parentId="{BAC4C9C5-057D-4522-9D5B-345501733B13}">
    <text>This is now February 2024 CBO Economic Projections Fiscal Year Sheet, row 94</text>
  </threadedComment>
  <threadedComment ref="D85" dT="2024-06-27T14:34:45.71" personId="{2C68A5A1-706F-4A3E-93A3-741BBABEC4EA}" id="{87A09169-659E-458F-A9F3-D0AB63E74083}" parentId="{BAC4C9C5-057D-4522-9D5B-345501733B13}">
    <text>June 2024 Econ projections Fiscal Year sheet row 94. Pasted for 2021 onward</text>
  </threadedComment>
  <threadedComment ref="D86" dT="2023-02-15T20:55:16.88" personId="{609654FB-393E-4954-B3A3-EDB231775774}" id="{903D683D-E956-41A0-87A0-4A0ACF2A3EC0}">
    <text>February 2023 CBO Economic Projections Fiscal Year Table row 96</text>
  </threadedComment>
  <threadedComment ref="D86" dT="2023-07-27T18:46:54.82" personId="{609654FB-393E-4954-B3A3-EDB231775774}" id="{D9697230-6007-4D86-9D27-2784C2D59C94}" parentId="{903D683D-E956-41A0-87A0-4A0ACF2A3EC0}">
    <text>July 2023 now</text>
  </threadedComment>
  <threadedComment ref="D86" dT="2024-02-22T15:12:46.20" personId="{09FAC3F1-DFDB-4CF8-9903-358701529E2B}" id="{5EB79390-D49F-4610-A389-9A566FE7B07F}" parentId="{903D683D-E956-41A0-87A0-4A0ACF2A3EC0}">
    <text>This is now February 2024 CBO Economic Projections Fiscal Year Table row, row 98</text>
  </threadedComment>
  <threadedComment ref="D86" dT="2024-06-27T14:35:02.92" personId="{2C68A5A1-706F-4A3E-93A3-741BBABEC4EA}" id="{7727E27A-5B75-4F93-BBAF-2B2028A6DBD6}" parentId="{903D683D-E956-41A0-87A0-4A0ACF2A3EC0}">
    <text>June 2024 Econ projections Fiscal Year sheet row 98. Pasted for 2021 onward</text>
  </threadedComment>
  <threadedComment ref="D87" dT="2023-02-15T20:56:03.85" personId="{609654FB-393E-4954-B3A3-EDB231775774}" id="{3EBCE0D2-6A48-4CE9-BC8C-5855F5261D1F}">
    <text>February 2023 CBO Economic Projections, Fiscal Year Table row 116</text>
  </threadedComment>
  <threadedComment ref="D87" dT="2023-07-27T18:47:32.66" personId="{609654FB-393E-4954-B3A3-EDB231775774}" id="{A6D061A0-2D6B-4586-A606-81C5A9C89977}" parentId="{3EBCE0D2-6A48-4CE9-BC8C-5855F5261D1F}">
    <text>July now</text>
  </threadedComment>
  <threadedComment ref="D87" dT="2024-02-22T15:13:36.88" personId="{09FAC3F1-DFDB-4CF8-9903-358701529E2B}" id="{5B0E85F2-3E88-4DE5-B75D-A1DFDE5E2251}" parentId="{3EBCE0D2-6A48-4CE9-BC8C-5855F5261D1F}">
    <text>February 2024 CBO Economic Projections, Fiscal Year Table, row 118</text>
  </threadedComment>
  <threadedComment ref="D87" dT="2024-06-27T14:36:46.17" personId="{2C68A5A1-706F-4A3E-93A3-741BBABEC4EA}" id="{742D0AD1-132D-49B8-ACB8-D7A00789C5CC}" parentId="{3EBCE0D2-6A48-4CE9-BC8C-5855F5261D1F}">
    <text>June 2024 CBO Economic Projections, Fiscal Year Table, row 118 pasted from 2021 onward</text>
  </threadedComment>
  <threadedComment ref="D88" dT="2023-02-15T20:57:01.88" personId="{609654FB-393E-4954-B3A3-EDB231775774}" id="{48184811-5BD0-438A-8E38-4FDE0C8DFA8F}">
    <text>February 2023 CBO Economic Projections Fiscal Year Table row 110</text>
  </threadedComment>
  <threadedComment ref="D88" dT="2023-07-27T18:47:56.03" personId="{609654FB-393E-4954-B3A3-EDB231775774}" id="{42694EC8-B4D2-4CD1-BAD5-30DE831C4BF2}" parentId="{48184811-5BD0-438A-8E38-4FDE0C8DFA8F}">
    <text>July now</text>
  </threadedComment>
  <threadedComment ref="D88" dT="2024-02-22T15:15:43.17" personId="{09FAC3F1-DFDB-4CF8-9903-358701529E2B}" id="{7286570C-B0B2-4C53-B491-EBC2A429EFF9}" parentId="{48184811-5BD0-438A-8E38-4FDE0C8DFA8F}">
    <text>This is now February 2024 CBO Economic Projections Fiscal Year Table, row 112</text>
  </threadedComment>
  <threadedComment ref="D88" dT="2024-06-27T14:37:42.80" personId="{2C68A5A1-706F-4A3E-93A3-741BBABEC4EA}" id="{BDF2F21B-F60E-4F9C-A5EF-0E83248D90F2}" parentId="{48184811-5BD0-438A-8E38-4FDE0C8DFA8F}">
    <text>June 2024 CBO Economic Projections Fiscal Year Table, row 112 from 2021 onward</text>
  </threadedComment>
  <threadedComment ref="D109" dT="2023-02-15T21:14:11.24" personId="{609654FB-393E-4954-B3A3-EDB231775774}" id="{D2748782-D0E6-49AC-8A19-1F2FBF9255CC}">
    <text>February 2023 CBO Economic Projections Quarterly Table, row 96</text>
  </threadedComment>
  <threadedComment ref="D109" dT="2023-07-27T18:51:44.27" personId="{609654FB-393E-4954-B3A3-EDB231775774}" id="{7967E3A9-28DA-40F3-87FB-C23201CBC514}" parentId="{D2748782-D0E6-49AC-8A19-1F2FBF9255CC}">
    <text>Same table and row, July 2023</text>
  </threadedComment>
  <threadedComment ref="D109" dT="2024-02-22T15:28:26.88" personId="{09FAC3F1-DFDB-4CF8-9903-358701529E2B}" id="{3C76C544-F68F-455F-86CF-8627D74B7C59}" parentId="{D2748782-D0E6-49AC-8A19-1F2FBF9255CC}">
    <text>February 2024 CBO Economic Projections Quarterly Table, row 98</text>
  </threadedComment>
  <threadedComment ref="D109" dT="2024-06-27T14:40:11.35" personId="{2C68A5A1-706F-4A3E-93A3-741BBABEC4EA}" id="{A345901C-E565-4819-91C3-A4DED1F11875}" parentId="{D2748782-D0E6-49AC-8A19-1F2FBF9255CC}">
    <text>Ju 2024 economic projections quarterly table row 98 pasted from 2021 Q1 onward</text>
  </threadedComment>
  <threadedComment ref="D110" dT="2023-02-15T21:14:52.42" personId="{609654FB-393E-4954-B3A3-EDB231775774}" id="{A46F7C4F-6912-4219-A6BF-9B291D29572E}">
    <text>February 2023 CBO Economic Projections quarterly tables, row 98</text>
  </threadedComment>
  <threadedComment ref="D110" dT="2023-07-27T18:51:58.38" personId="{609654FB-393E-4954-B3A3-EDB231775774}" id="{7A0F03B6-E33D-4474-9555-B84E69B17617}" parentId="{A46F7C4F-6912-4219-A6BF-9B291D29572E}">
    <text>Same table and row, July 2023</text>
  </threadedComment>
  <threadedComment ref="D110" dT="2024-02-22T15:30:49.62" personId="{09FAC3F1-DFDB-4CF8-9903-358701529E2B}" id="{8B50D8B1-7987-47E1-B1DC-D2F70DCC216E}" parentId="{A46F7C4F-6912-4219-A6BF-9B291D29572E}">
    <text>February 2024 CBO Economic Projections quarterly tables, row 100</text>
  </threadedComment>
  <threadedComment ref="D110" dT="2024-06-27T14:41:16.43" personId="{2C68A5A1-706F-4A3E-93A3-741BBABEC4EA}" id="{6425957B-D42C-489A-A538-4AA95EC109FD}" parentId="{A46F7C4F-6912-4219-A6BF-9B291D29572E}">
    <text>June 2024 CBO Economic Projections Quarterly table row 100 from 2021 Q1 onward</text>
  </threadedComment>
  <threadedComment ref="D111" dT="2023-02-15T21:15:38.27" personId="{609654FB-393E-4954-B3A3-EDB231775774}" id="{76E953CB-BD49-43CF-8F2D-8BFB47D725D7}">
    <text>February 2023 CBO Economic Projections quarterly table, row 116</text>
  </threadedComment>
  <threadedComment ref="D111" dT="2023-07-27T18:51:50.61" personId="{609654FB-393E-4954-B3A3-EDB231775774}" id="{5483793C-0C25-47A5-BAF9-EF712CAD7D04}" parentId="{76E953CB-BD49-43CF-8F2D-8BFB47D725D7}">
    <text>Same table and row, July 2023</text>
  </threadedComment>
  <threadedComment ref="D111" dT="2024-02-22T15:37:14.65" personId="{09FAC3F1-DFDB-4CF8-9903-358701529E2B}" id="{385DCECF-44A3-4344-9011-2A6CE78C506F}" parentId="{76E953CB-BD49-43CF-8F2D-8BFB47D725D7}">
    <text>This is now February 2024 CBO Economic Projections Quarterly Table, row 118</text>
  </threadedComment>
  <threadedComment ref="D111"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12" dT="2023-02-15T21:16:25.78" personId="{609654FB-393E-4954-B3A3-EDB231775774}" id="{8FB584A5-2B54-4AD8-94A1-F46A717E4FE5}">
    <text>February 2023 CBO Economic Projections quarterly table row 112</text>
  </threadedComment>
  <threadedComment ref="D112" dT="2023-07-27T18:52:05.52" personId="{609654FB-393E-4954-B3A3-EDB231775774}" id="{0C631DB7-7EAD-4CD2-978E-4DD9468CD3B1}" parentId="{8FB584A5-2B54-4AD8-94A1-F46A717E4FE5}">
    <text>Same table and row, July 2023</text>
  </threadedComment>
  <threadedComment ref="D112" dT="2024-02-22T15:42:56.34" personId="{09FAC3F1-DFDB-4CF8-9903-358701529E2B}" id="{19BF4626-D0E8-42B5-BD70-3452F9A463CA}" parentId="{8FB584A5-2B54-4AD8-94A1-F46A717E4FE5}">
    <text>February 2024 CBO Economic Projections quarterly table row 114 corporate profits domestic</text>
  </threadedComment>
  <threadedComment ref="D112"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5" dT="2023-04-27T03:02:33.18" personId="{2C68A5A1-706F-4A3E-93A3-741BBABEC4EA}" id="{65B2F617-D738-4757-983D-98D9DB3870FB}">
    <text>I can't drag these over because of circular references.</text>
  </threadedComment>
  <threadedComment ref="V138" dT="2023-07-27T14:08:57.55" personId="{2C68A5A1-706F-4A3E-93A3-741BBABEC4EA}" id="{0AC09EFD-8A54-444C-A82D-77111C533292}">
    <text>Drag my predecessor forward in August 2023!! (Corporate taxes come in late, and we couldn't update in July!)</text>
  </threadedComment>
  <threadedComment ref="W138" dT="2023-10-26T13:42:51.37" personId="{609654FB-393E-4954-B3A3-EDB231775774}" id="{1B45073C-05DE-4E50-B57C-9DA43CA3E5DB}">
    <text>Drag forward in November by same logic as in previous cell.</text>
  </threadedComment>
  <threadedComment ref="X138" dT="2024-01-24T19:09:22.97" personId="{09FAC3F1-DFDB-4CF8-9903-358701529E2B}" id="{1EFE3D94-A914-4335-ADA0-94B1C8F72E64}">
    <text>Drag forward in February because we get Q4 Data 1 month late.</text>
  </threadedComment>
  <threadedComment ref="Y138" dT="2024-07-25T15:51:05.68" personId="{09FAC3F1-DFDB-4CF8-9903-358701529E2B}" id="{C31DCF28-75B2-4DBC-B036-BE5C96FD6331}">
    <text xml:space="preserve">Drag forward in August because we get the data a month late. </text>
  </threadedComment>
  <threadedComment ref="Z138"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90625" defaultRowHeight="14.5" x14ac:dyDescent="0.35"/>
  <cols>
    <col min="2" max="2" width="34.1796875" customWidth="1"/>
    <col min="17" max="17" width="38.453125" customWidth="1"/>
  </cols>
  <sheetData>
    <row r="10" spans="2:17" x14ac:dyDescent="0.35">
      <c r="B10" s="1220" t="s">
        <v>0</v>
      </c>
      <c r="C10" s="1221"/>
      <c r="D10" s="1221"/>
      <c r="E10" s="1221"/>
      <c r="F10" s="1221"/>
      <c r="G10" s="1221"/>
      <c r="H10" s="1221"/>
      <c r="I10" s="1221"/>
      <c r="J10" s="1221"/>
      <c r="K10" s="1221"/>
      <c r="L10" s="1221"/>
      <c r="M10" s="1221"/>
      <c r="N10" s="1221"/>
      <c r="O10" s="1221"/>
      <c r="P10" s="1221"/>
      <c r="Q10" s="1222"/>
    </row>
    <row r="11" spans="2:17" x14ac:dyDescent="0.35">
      <c r="B11" s="1223"/>
      <c r="C11" s="1224"/>
      <c r="D11" s="1224"/>
      <c r="E11" s="1224"/>
      <c r="F11" s="1224"/>
      <c r="G11" s="1224"/>
      <c r="H11" s="1224"/>
      <c r="I11" s="1224"/>
      <c r="J11" s="1224"/>
      <c r="K11" s="1224"/>
      <c r="L11" s="1224"/>
      <c r="M11" s="1224"/>
      <c r="N11" s="1224"/>
      <c r="O11" s="1224"/>
      <c r="P11" s="1224"/>
      <c r="Q11" s="1225"/>
    </row>
    <row r="12" spans="2:17" x14ac:dyDescent="0.35">
      <c r="B12" s="10" t="s">
        <v>1</v>
      </c>
      <c r="C12" s="7"/>
      <c r="D12" s="7"/>
      <c r="E12" s="7"/>
      <c r="F12" s="7"/>
      <c r="G12" s="7"/>
      <c r="H12" s="7"/>
      <c r="I12" s="7"/>
      <c r="J12" s="7"/>
      <c r="K12" s="7"/>
      <c r="L12" s="7"/>
      <c r="M12" s="7"/>
      <c r="N12" s="7"/>
      <c r="O12" s="7"/>
      <c r="P12" s="7"/>
      <c r="Q12" s="5"/>
    </row>
    <row r="13" spans="2:17" x14ac:dyDescent="0.35">
      <c r="B13" s="9" t="s">
        <v>2</v>
      </c>
      <c r="C13" s="1226" t="s">
        <v>3</v>
      </c>
      <c r="D13" s="1226"/>
      <c r="E13" s="1226"/>
      <c r="F13" s="1226"/>
      <c r="G13" s="1226"/>
      <c r="H13" s="1226"/>
      <c r="I13" s="1226"/>
      <c r="J13" s="1226"/>
      <c r="K13" s="1226"/>
      <c r="L13" s="1226"/>
      <c r="M13" s="1226"/>
      <c r="N13" s="1226"/>
      <c r="O13" s="1226"/>
      <c r="P13" s="1226"/>
      <c r="Q13" s="1227"/>
    </row>
    <row r="14" spans="2:17" x14ac:dyDescent="0.35">
      <c r="B14" s="9" t="s">
        <v>4</v>
      </c>
      <c r="C14" s="6" t="s">
        <v>5</v>
      </c>
      <c r="D14" s="6"/>
      <c r="E14" s="6"/>
      <c r="F14" s="6"/>
      <c r="G14" s="6"/>
      <c r="H14" s="6"/>
      <c r="I14" s="6"/>
      <c r="J14" s="6"/>
      <c r="K14" s="6"/>
      <c r="L14" s="6"/>
      <c r="M14" s="6"/>
      <c r="N14" s="6"/>
      <c r="O14" s="6"/>
      <c r="P14" s="6"/>
      <c r="Q14" s="13"/>
    </row>
    <row r="15" spans="2:17" x14ac:dyDescent="0.35">
      <c r="B15" s="9" t="s">
        <v>6</v>
      </c>
      <c r="C15" s="6" t="s">
        <v>7</v>
      </c>
      <c r="D15" s="6"/>
      <c r="E15" s="6"/>
      <c r="F15" s="6"/>
      <c r="G15" s="6"/>
      <c r="H15" s="6"/>
      <c r="I15" s="6"/>
      <c r="J15" s="6"/>
      <c r="K15" s="6"/>
      <c r="L15" s="6"/>
      <c r="M15" s="6"/>
      <c r="N15" s="6"/>
      <c r="O15" s="6"/>
      <c r="P15" s="6"/>
      <c r="Q15" s="13"/>
    </row>
    <row r="16" spans="2:17" x14ac:dyDescent="0.35">
      <c r="B16" s="9" t="s">
        <v>8</v>
      </c>
      <c r="C16" s="6" t="s">
        <v>830</v>
      </c>
      <c r="D16" s="6"/>
      <c r="E16" s="6"/>
      <c r="F16" s="6"/>
      <c r="G16" s="6"/>
      <c r="H16" s="6"/>
      <c r="I16" s="6"/>
      <c r="J16" s="6"/>
      <c r="K16" s="6"/>
      <c r="L16" s="6"/>
      <c r="M16" s="6"/>
      <c r="N16" s="6"/>
      <c r="O16" s="6"/>
      <c r="P16" s="6"/>
      <c r="Q16" s="13"/>
    </row>
    <row r="17" spans="2:17" x14ac:dyDescent="0.35">
      <c r="B17" s="9" t="s">
        <v>9</v>
      </c>
      <c r="C17" s="6" t="s">
        <v>10</v>
      </c>
      <c r="D17" s="6"/>
      <c r="E17" s="6"/>
      <c r="F17" s="6"/>
      <c r="G17" s="6"/>
      <c r="H17" s="6"/>
      <c r="I17" s="6"/>
      <c r="J17" s="6"/>
      <c r="K17" s="6"/>
      <c r="L17" s="6"/>
      <c r="M17" s="6"/>
      <c r="N17" s="6"/>
      <c r="O17" s="6"/>
      <c r="P17" s="6"/>
      <c r="Q17" s="13"/>
    </row>
    <row r="18" spans="2:17" x14ac:dyDescent="0.35">
      <c r="B18" s="9" t="s">
        <v>831</v>
      </c>
      <c r="C18" s="6" t="s">
        <v>11</v>
      </c>
      <c r="D18" s="6"/>
      <c r="E18" s="6"/>
      <c r="F18" s="6"/>
      <c r="G18" s="6"/>
      <c r="H18" s="6"/>
      <c r="I18" s="6"/>
      <c r="J18" s="6"/>
      <c r="K18" s="6"/>
      <c r="L18" s="6"/>
      <c r="M18" s="6"/>
      <c r="N18" s="6"/>
      <c r="O18" s="6"/>
      <c r="P18" s="6"/>
      <c r="Q18" s="13"/>
    </row>
    <row r="19" spans="2:17" x14ac:dyDescent="0.35">
      <c r="B19" s="9" t="s">
        <v>12</v>
      </c>
      <c r="C19" s="6" t="s">
        <v>832</v>
      </c>
      <c r="D19" s="6"/>
      <c r="E19" s="6"/>
      <c r="F19" s="6"/>
      <c r="G19" s="6"/>
      <c r="H19" s="6"/>
      <c r="I19" s="6"/>
      <c r="J19" s="6"/>
      <c r="K19" s="6"/>
      <c r="L19" s="6"/>
      <c r="M19" s="6"/>
      <c r="N19" s="6"/>
      <c r="O19" s="6"/>
      <c r="P19" s="6"/>
      <c r="Q19" s="13"/>
    </row>
    <row r="20" spans="2:17" ht="30.75" customHeight="1" x14ac:dyDescent="0.35">
      <c r="B20" s="9" t="s">
        <v>13</v>
      </c>
      <c r="C20" s="1218" t="s">
        <v>14</v>
      </c>
      <c r="D20" s="1218"/>
      <c r="E20" s="1218"/>
      <c r="F20" s="1218"/>
      <c r="G20" s="1218"/>
      <c r="H20" s="1218"/>
      <c r="I20" s="1218"/>
      <c r="J20" s="1218"/>
      <c r="K20" s="1218"/>
      <c r="L20" s="1218"/>
      <c r="M20" s="1218"/>
      <c r="N20" s="1218"/>
      <c r="O20" s="1218"/>
      <c r="P20" s="1218"/>
      <c r="Q20" s="1219"/>
    </row>
    <row r="21" spans="2:17" x14ac:dyDescent="0.35">
      <c r="B21" s="9" t="s">
        <v>15</v>
      </c>
      <c r="C21" s="6" t="s">
        <v>16</v>
      </c>
      <c r="D21" s="6"/>
      <c r="E21" s="6"/>
      <c r="F21" s="6"/>
      <c r="G21" s="6"/>
      <c r="H21" s="6"/>
      <c r="I21" s="6"/>
      <c r="J21" s="6"/>
      <c r="K21" s="6"/>
      <c r="L21" s="6"/>
      <c r="M21" s="6"/>
      <c r="N21" s="6"/>
      <c r="O21" s="6"/>
      <c r="P21" s="6"/>
      <c r="Q21" s="13"/>
    </row>
    <row r="22" spans="2:17" ht="32.25" customHeight="1" x14ac:dyDescent="0.35">
      <c r="B22" s="1" t="s">
        <v>834</v>
      </c>
      <c r="C22" s="1218" t="s">
        <v>833</v>
      </c>
      <c r="D22" s="1218"/>
      <c r="E22" s="1218"/>
      <c r="F22" s="1218"/>
      <c r="G22" s="1218"/>
      <c r="H22" s="1218"/>
      <c r="I22" s="1218"/>
      <c r="J22" s="1218"/>
      <c r="K22" s="1218"/>
      <c r="L22" s="1218"/>
      <c r="M22" s="1218"/>
      <c r="N22" s="1218"/>
      <c r="O22" s="1218"/>
      <c r="P22" s="1218"/>
      <c r="Q22" s="1219"/>
    </row>
    <row r="23" spans="2:17" ht="31.4" customHeight="1" x14ac:dyDescent="0.35">
      <c r="B23" s="9" t="s">
        <v>17</v>
      </c>
      <c r="C23" s="1218" t="s">
        <v>835</v>
      </c>
      <c r="D23" s="1218"/>
      <c r="E23" s="1218"/>
      <c r="F23" s="1218"/>
      <c r="G23" s="1218"/>
      <c r="H23" s="1218"/>
      <c r="I23" s="1218"/>
      <c r="J23" s="1218"/>
      <c r="K23" s="1218"/>
      <c r="L23" s="1218"/>
      <c r="M23" s="1218"/>
      <c r="N23" s="1218"/>
      <c r="O23" s="1218"/>
      <c r="P23" s="1218"/>
      <c r="Q23" s="1219"/>
    </row>
    <row r="24" spans="2:17" x14ac:dyDescent="0.35">
      <c r="B24" s="9" t="s">
        <v>18</v>
      </c>
      <c r="C24" s="6" t="s">
        <v>19</v>
      </c>
      <c r="D24" s="6"/>
      <c r="E24" s="6"/>
      <c r="F24" s="6"/>
      <c r="G24" s="6"/>
      <c r="H24" s="6"/>
      <c r="I24" s="6"/>
      <c r="J24" s="6"/>
      <c r="K24" s="6"/>
      <c r="L24" s="6"/>
      <c r="M24" s="6"/>
      <c r="N24" s="6"/>
      <c r="O24" s="6"/>
      <c r="P24" s="6"/>
      <c r="Q24" s="13"/>
    </row>
    <row r="25" spans="2:17" x14ac:dyDescent="0.35">
      <c r="B25" s="9" t="s">
        <v>20</v>
      </c>
      <c r="C25" s="6" t="s">
        <v>21</v>
      </c>
      <c r="D25" s="6"/>
      <c r="E25" s="6"/>
      <c r="F25" s="6"/>
      <c r="G25" s="6"/>
      <c r="H25" s="6"/>
      <c r="I25" s="6"/>
      <c r="J25" s="6"/>
      <c r="K25" s="6"/>
      <c r="L25" s="6"/>
      <c r="M25" s="6"/>
      <c r="N25" s="6"/>
      <c r="O25" s="6"/>
      <c r="P25" s="6"/>
      <c r="Q25" s="13"/>
    </row>
    <row r="26" spans="2:17" x14ac:dyDescent="0.35">
      <c r="B26" s="9" t="s">
        <v>22</v>
      </c>
      <c r="C26" s="6" t="s">
        <v>23</v>
      </c>
      <c r="D26" s="6"/>
      <c r="E26" s="6"/>
      <c r="F26" s="6"/>
      <c r="G26" s="6"/>
      <c r="H26" s="6"/>
      <c r="I26" s="6"/>
      <c r="J26" s="6"/>
      <c r="K26" s="6"/>
      <c r="L26" s="6"/>
      <c r="M26" s="6"/>
      <c r="N26" s="6"/>
      <c r="O26" s="6"/>
      <c r="P26" s="6"/>
      <c r="Q26" s="13"/>
    </row>
    <row r="27" spans="2:17" x14ac:dyDescent="0.35">
      <c r="B27" s="9" t="s">
        <v>24</v>
      </c>
      <c r="C27" s="6" t="s">
        <v>836</v>
      </c>
      <c r="D27" s="6"/>
      <c r="E27" s="6"/>
      <c r="F27" s="6"/>
      <c r="G27" s="6"/>
      <c r="H27" s="6"/>
      <c r="I27" s="6"/>
      <c r="J27" s="6"/>
      <c r="K27" s="6"/>
      <c r="L27" s="6"/>
      <c r="M27" s="6"/>
      <c r="N27" s="6"/>
      <c r="O27" s="6"/>
      <c r="P27" s="6"/>
      <c r="Q27" s="13"/>
    </row>
    <row r="28" spans="2:17" x14ac:dyDescent="0.35">
      <c r="B28" s="9" t="s">
        <v>25</v>
      </c>
      <c r="C28" s="6" t="s">
        <v>837</v>
      </c>
      <c r="D28" s="6"/>
      <c r="E28" s="6"/>
      <c r="F28" s="6"/>
      <c r="G28" s="6"/>
      <c r="H28" s="6"/>
      <c r="I28" s="6"/>
      <c r="J28" s="6"/>
      <c r="K28" s="6"/>
      <c r="L28" s="6"/>
      <c r="M28" s="6"/>
      <c r="N28" s="6"/>
      <c r="O28" s="6"/>
      <c r="P28" s="6"/>
      <c r="Q28" s="13"/>
    </row>
    <row r="29" spans="2:17" x14ac:dyDescent="0.35">
      <c r="B29" s="9" t="s">
        <v>26</v>
      </c>
      <c r="C29" s="6" t="s">
        <v>27</v>
      </c>
      <c r="D29" s="6"/>
      <c r="E29" s="6"/>
      <c r="F29" s="6"/>
      <c r="G29" s="6"/>
      <c r="H29" s="6"/>
      <c r="I29" s="6"/>
      <c r="J29" s="6"/>
      <c r="K29" s="6"/>
      <c r="L29" s="6"/>
      <c r="M29" s="6"/>
      <c r="N29" s="6"/>
      <c r="O29" s="6"/>
      <c r="P29" s="6"/>
      <c r="Q29" s="13"/>
    </row>
    <row r="30" spans="2:17" x14ac:dyDescent="0.35">
      <c r="B30" s="9"/>
      <c r="C30" s="6"/>
      <c r="D30" s="6"/>
      <c r="E30" s="6"/>
      <c r="F30" s="6"/>
      <c r="G30" s="6"/>
      <c r="H30" s="6"/>
      <c r="I30" s="6"/>
      <c r="J30" s="6"/>
      <c r="K30" s="6"/>
      <c r="L30" s="6"/>
      <c r="M30" s="6"/>
      <c r="N30" s="6"/>
      <c r="O30" s="6"/>
      <c r="P30" s="6"/>
      <c r="Q30" s="13"/>
    </row>
    <row r="31" spans="2:17" x14ac:dyDescent="0.35">
      <c r="B31" s="11" t="s">
        <v>28</v>
      </c>
      <c r="C31" s="6"/>
      <c r="D31" s="6"/>
      <c r="E31" s="6"/>
      <c r="F31" s="6"/>
      <c r="G31" s="6"/>
      <c r="H31" s="6"/>
      <c r="I31" s="6"/>
      <c r="J31" s="6"/>
      <c r="K31" s="6"/>
      <c r="L31" s="6"/>
      <c r="M31" s="6"/>
      <c r="N31" s="6"/>
      <c r="O31" s="6"/>
      <c r="P31" s="6"/>
      <c r="Q31" s="13"/>
    </row>
    <row r="32" spans="2:17" x14ac:dyDescent="0.35">
      <c r="B32" s="9" t="s">
        <v>29</v>
      </c>
      <c r="C32" s="6"/>
      <c r="D32" s="6"/>
      <c r="E32" s="6"/>
      <c r="F32" s="6"/>
      <c r="G32" s="6"/>
      <c r="H32" s="6"/>
      <c r="I32" s="6"/>
      <c r="J32" s="6"/>
      <c r="K32" s="6"/>
      <c r="L32" s="6"/>
      <c r="M32" s="6"/>
      <c r="N32" s="6"/>
      <c r="O32" s="6"/>
      <c r="P32" s="6"/>
      <c r="Q32" s="13"/>
    </row>
    <row r="33" spans="2:17" ht="30.75" customHeight="1" x14ac:dyDescent="0.35">
      <c r="B33" s="1217" t="s">
        <v>838</v>
      </c>
      <c r="C33" s="1218"/>
      <c r="D33" s="1218"/>
      <c r="E33" s="1218"/>
      <c r="F33" s="1218"/>
      <c r="G33" s="1218"/>
      <c r="H33" s="1218"/>
      <c r="I33" s="1218"/>
      <c r="J33" s="1218"/>
      <c r="K33" s="1218"/>
      <c r="L33" s="1218"/>
      <c r="M33" s="1218"/>
      <c r="N33" s="1218"/>
      <c r="O33" s="1218"/>
      <c r="P33" s="1218"/>
      <c r="Q33" s="1219"/>
    </row>
    <row r="34" spans="2:17" x14ac:dyDescent="0.35">
      <c r="B34" s="3" t="s">
        <v>30</v>
      </c>
      <c r="C34" s="6"/>
      <c r="D34" s="6"/>
      <c r="E34" s="6"/>
      <c r="F34" s="6"/>
      <c r="G34" s="6"/>
      <c r="H34" s="6"/>
      <c r="I34" s="6"/>
      <c r="J34" s="6"/>
      <c r="K34" s="6"/>
      <c r="L34" s="6"/>
      <c r="M34" s="6"/>
      <c r="N34" s="6"/>
      <c r="O34" s="6"/>
      <c r="P34" s="6"/>
      <c r="Q34" s="13"/>
    </row>
    <row r="35" spans="2:17" x14ac:dyDescent="0.35">
      <c r="B35" s="9" t="s">
        <v>31</v>
      </c>
      <c r="C35" s="6"/>
      <c r="D35" s="6"/>
      <c r="E35" s="6"/>
      <c r="F35" s="6"/>
      <c r="G35" s="6"/>
      <c r="H35" s="6"/>
      <c r="I35" s="6"/>
      <c r="J35" s="6"/>
      <c r="K35" s="6"/>
      <c r="L35" s="6"/>
      <c r="M35" s="6"/>
      <c r="N35" s="6"/>
      <c r="O35" s="6"/>
      <c r="P35" s="6"/>
      <c r="Q35" s="13"/>
    </row>
    <row r="36" spans="2:17" x14ac:dyDescent="0.35">
      <c r="B36" s="8" t="s">
        <v>32</v>
      </c>
      <c r="C36" s="12"/>
      <c r="D36" s="12"/>
      <c r="E36" s="12"/>
      <c r="F36" s="12"/>
      <c r="G36" s="12"/>
      <c r="H36" s="12"/>
      <c r="I36" s="12"/>
      <c r="J36" s="12"/>
      <c r="K36" s="12"/>
      <c r="L36" s="12"/>
      <c r="M36" s="12"/>
      <c r="N36" s="12"/>
      <c r="O36" s="12"/>
      <c r="P36" s="12"/>
      <c r="Q36" s="2"/>
    </row>
    <row r="39" spans="2:17" x14ac:dyDescent="0.35">
      <c r="B39" s="4"/>
      <c r="C39" s="4"/>
      <c r="D39" s="4"/>
      <c r="E39" s="4"/>
      <c r="F39" s="4"/>
      <c r="G39" s="4"/>
      <c r="H39" s="4"/>
      <c r="I39" s="4"/>
      <c r="J39" s="4"/>
      <c r="K39" s="4"/>
      <c r="L39" s="4"/>
      <c r="M39" s="4"/>
      <c r="N39" s="4"/>
      <c r="O39" s="4"/>
      <c r="P39" s="4"/>
      <c r="Q39" s="4"/>
    </row>
    <row r="40" spans="2:17" x14ac:dyDescent="0.35">
      <c r="B40" s="4"/>
      <c r="C40" s="4"/>
      <c r="D40" s="4"/>
      <c r="E40" s="4"/>
      <c r="F40" s="4"/>
      <c r="G40" s="4"/>
      <c r="H40" s="4"/>
      <c r="I40" s="4"/>
      <c r="J40" s="4"/>
      <c r="K40" s="4"/>
      <c r="L40" s="4"/>
      <c r="M40" s="4"/>
      <c r="N40" s="4"/>
      <c r="O40" s="4"/>
      <c r="P40" s="4"/>
      <c r="Q40" s="4"/>
    </row>
    <row r="41" spans="2:17" x14ac:dyDescent="0.35">
      <c r="B41" s="4"/>
      <c r="C41" s="4"/>
      <c r="D41" s="4"/>
      <c r="E41" s="4"/>
      <c r="F41" s="4"/>
      <c r="G41" s="4"/>
      <c r="H41" s="4"/>
      <c r="I41" s="4"/>
      <c r="J41" s="4"/>
      <c r="K41" s="4"/>
      <c r="L41" s="4"/>
      <c r="M41" s="4"/>
      <c r="N41" s="4"/>
      <c r="O41" s="4"/>
      <c r="P41" s="4"/>
      <c r="Q41" s="4"/>
    </row>
    <row r="42" spans="2:17" x14ac:dyDescent="0.35">
      <c r="B42" s="4"/>
      <c r="C42" s="4"/>
      <c r="D42" s="4"/>
      <c r="E42" s="4"/>
      <c r="F42" s="4"/>
      <c r="G42" s="4"/>
      <c r="H42" s="4"/>
      <c r="I42" s="4"/>
      <c r="J42" s="4"/>
      <c r="K42" s="4"/>
      <c r="L42" s="4"/>
      <c r="M42" s="4"/>
      <c r="N42" s="4"/>
      <c r="O42" s="4"/>
      <c r="P42" s="4"/>
      <c r="Q42" s="4"/>
    </row>
    <row r="43" spans="2:17" x14ac:dyDescent="0.35">
      <c r="B43" s="4"/>
      <c r="C43" s="4"/>
      <c r="D43" s="4"/>
      <c r="E43" s="4"/>
      <c r="F43" s="4"/>
      <c r="G43" s="4"/>
      <c r="H43" s="4"/>
      <c r="I43" s="4"/>
      <c r="J43" s="4"/>
      <c r="K43" s="4"/>
      <c r="L43" s="4"/>
      <c r="M43" s="4"/>
      <c r="N43" s="4"/>
      <c r="O43" s="4"/>
      <c r="P43" s="4"/>
      <c r="Q43" s="4"/>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D10" sqref="D10"/>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30" t="s">
        <v>37</v>
      </c>
      <c r="B2" s="1231"/>
      <c r="C2" s="1231"/>
      <c r="D2" s="1232"/>
      <c r="E2" s="16"/>
      <c r="F2" s="16"/>
    </row>
    <row r="3" spans="1:7" ht="148.4" customHeight="1" x14ac:dyDescent="0.35">
      <c r="A3" s="19" t="s">
        <v>851</v>
      </c>
      <c r="B3" s="14" t="s">
        <v>1748</v>
      </c>
      <c r="C3" s="14" t="s">
        <v>849</v>
      </c>
      <c r="D3" s="23" t="s">
        <v>918</v>
      </c>
    </row>
    <row r="4" spans="1:7" ht="85.5" customHeight="1" x14ac:dyDescent="0.35">
      <c r="A4" s="19" t="s">
        <v>1824</v>
      </c>
      <c r="B4" s="14" t="s">
        <v>1825</v>
      </c>
      <c r="C4" s="14" t="s">
        <v>920</v>
      </c>
      <c r="D4" s="23" t="s">
        <v>921</v>
      </c>
      <c r="E4" s="14"/>
      <c r="F4" s="14"/>
    </row>
    <row r="5" spans="1:7" ht="168" customHeight="1" x14ac:dyDescent="0.35">
      <c r="A5" s="19" t="s">
        <v>839</v>
      </c>
      <c r="B5" s="14" t="s">
        <v>840</v>
      </c>
      <c r="C5" s="14" t="s">
        <v>862</v>
      </c>
      <c r="D5" s="23" t="s">
        <v>921</v>
      </c>
      <c r="E5" s="14"/>
      <c r="F5" s="14"/>
    </row>
    <row r="6" spans="1:7" ht="105" customHeight="1" x14ac:dyDescent="0.35">
      <c r="A6" s="19" t="s">
        <v>841</v>
      </c>
      <c r="B6" s="14" t="s">
        <v>38</v>
      </c>
      <c r="C6" s="14" t="s">
        <v>39</v>
      </c>
      <c r="D6" s="23" t="s">
        <v>918</v>
      </c>
      <c r="E6" s="14"/>
      <c r="F6" s="14"/>
    </row>
    <row r="7" spans="1:7" ht="61.5" customHeight="1" x14ac:dyDescent="0.35">
      <c r="A7" s="19" t="s">
        <v>1827</v>
      </c>
      <c r="B7" s="14" t="s">
        <v>1828</v>
      </c>
      <c r="C7" s="14" t="s">
        <v>1832</v>
      </c>
      <c r="D7" s="23" t="s">
        <v>921</v>
      </c>
      <c r="E7" s="14"/>
      <c r="F7" s="14"/>
    </row>
    <row r="8" spans="1:7" ht="100.4" customHeight="1" x14ac:dyDescent="0.35">
      <c r="A8" s="19" t="s">
        <v>42</v>
      </c>
      <c r="B8" s="14" t="s">
        <v>43</v>
      </c>
      <c r="C8" s="28" t="s">
        <v>44</v>
      </c>
      <c r="D8" s="23" t="s">
        <v>918</v>
      </c>
      <c r="E8" s="17"/>
      <c r="F8" s="14"/>
      <c r="G8" s="29"/>
    </row>
    <row r="9" spans="1:7" ht="78" customHeight="1" x14ac:dyDescent="0.35">
      <c r="A9" s="19" t="s">
        <v>45</v>
      </c>
      <c r="B9" s="14" t="s">
        <v>46</v>
      </c>
      <c r="C9" s="14" t="s">
        <v>868</v>
      </c>
      <c r="D9" s="23" t="s">
        <v>921</v>
      </c>
      <c r="E9" s="14"/>
      <c r="F9" s="14"/>
    </row>
    <row r="10" spans="1:7" ht="67.5" customHeight="1" x14ac:dyDescent="0.35">
      <c r="A10" s="19" t="s">
        <v>815</v>
      </c>
      <c r="B10" s="14" t="s">
        <v>825</v>
      </c>
      <c r="C10" s="14" t="s">
        <v>882</v>
      </c>
      <c r="D10" s="23" t="s">
        <v>918</v>
      </c>
      <c r="E10" s="14"/>
      <c r="F10" s="14"/>
    </row>
    <row r="11" spans="1:7" ht="63.65" customHeight="1" x14ac:dyDescent="0.35">
      <c r="A11" s="19" t="s">
        <v>47</v>
      </c>
      <c r="B11" s="14" t="s">
        <v>48</v>
      </c>
      <c r="C11" s="14" t="s">
        <v>842</v>
      </c>
      <c r="D11" s="15"/>
      <c r="E11" s="14"/>
      <c r="F11" s="14"/>
    </row>
    <row r="12" spans="1:7" ht="15" customHeight="1" x14ac:dyDescent="0.35">
      <c r="A12" s="1230" t="s">
        <v>843</v>
      </c>
      <c r="B12" s="1231"/>
      <c r="C12" s="1231"/>
      <c r="D12" s="1232"/>
      <c r="E12" s="16"/>
      <c r="F12" s="14"/>
    </row>
    <row r="13" spans="1:7" ht="29.9" customHeight="1" x14ac:dyDescent="0.35">
      <c r="A13" s="20" t="s">
        <v>9</v>
      </c>
      <c r="B13" s="1236" t="s">
        <v>845</v>
      </c>
      <c r="C13" s="1236"/>
      <c r="D13" s="24"/>
      <c r="E13" s="16"/>
      <c r="F13" s="14"/>
    </row>
    <row r="14" spans="1:7" ht="48.65" customHeight="1" x14ac:dyDescent="0.35">
      <c r="A14" s="18" t="s">
        <v>844</v>
      </c>
      <c r="B14" s="1236" t="s">
        <v>855</v>
      </c>
      <c r="C14" s="1236"/>
      <c r="D14" s="23"/>
      <c r="E14" s="16"/>
      <c r="F14" s="14"/>
    </row>
    <row r="15" spans="1:7" ht="48.65" customHeight="1" x14ac:dyDescent="0.35">
      <c r="A15" s="18" t="s">
        <v>846</v>
      </c>
      <c r="B15" s="1236" t="s">
        <v>847</v>
      </c>
      <c r="C15" s="1236"/>
      <c r="D15" s="15"/>
      <c r="E15" s="16"/>
      <c r="F15" s="14"/>
    </row>
    <row r="16" spans="1:7" x14ac:dyDescent="0.35">
      <c r="A16" s="1233" t="s">
        <v>59</v>
      </c>
      <c r="B16" s="1234"/>
      <c r="C16" s="1234"/>
      <c r="D16" s="1235"/>
      <c r="E16" s="14"/>
      <c r="F16" s="14"/>
    </row>
    <row r="17" spans="1:6" ht="36.65" customHeight="1" x14ac:dyDescent="0.35">
      <c r="A17" s="1228" t="s">
        <v>848</v>
      </c>
      <c r="B17" s="1229"/>
      <c r="C17" s="1229"/>
      <c r="D17" s="24"/>
      <c r="E17" s="14"/>
      <c r="F17" s="14"/>
    </row>
    <row r="18" spans="1:6" ht="145.5" customHeight="1" x14ac:dyDescent="0.35">
      <c r="A18" s="19" t="s">
        <v>60</v>
      </c>
      <c r="B18" s="14" t="s">
        <v>869</v>
      </c>
      <c r="C18" s="14" t="s">
        <v>876</v>
      </c>
      <c r="D18" s="23"/>
      <c r="E18" s="14"/>
      <c r="F18" s="14"/>
    </row>
    <row r="19" spans="1:6" ht="63.65" customHeight="1" x14ac:dyDescent="0.35">
      <c r="A19" s="19" t="s">
        <v>61</v>
      </c>
      <c r="B19" s="14" t="s">
        <v>870</v>
      </c>
      <c r="C19" s="14" t="s">
        <v>871</v>
      </c>
      <c r="D19" s="23"/>
      <c r="E19" s="14"/>
      <c r="F19" s="14"/>
    </row>
    <row r="20" spans="1:6" ht="63.65" customHeight="1" x14ac:dyDescent="0.35">
      <c r="A20" s="19" t="s">
        <v>872</v>
      </c>
      <c r="B20" s="14" t="s">
        <v>873</v>
      </c>
      <c r="C20" s="14" t="s">
        <v>874</v>
      </c>
      <c r="D20" s="23"/>
      <c r="E20" s="14"/>
      <c r="F20" s="14"/>
    </row>
    <row r="21" spans="1:6" ht="34.4" customHeight="1" x14ac:dyDescent="0.35">
      <c r="A21" s="1228" t="s">
        <v>822</v>
      </c>
      <c r="B21" s="1229"/>
      <c r="C21" s="1229"/>
      <c r="D21" s="15"/>
      <c r="E21" s="14"/>
      <c r="F21" s="14"/>
    </row>
    <row r="22" spans="1:6" x14ac:dyDescent="0.35">
      <c r="A22" s="1233" t="s">
        <v>62</v>
      </c>
      <c r="B22" s="1234"/>
      <c r="C22" s="1234"/>
      <c r="D22" s="1235"/>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861</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10" priority="1" operator="containsText" text="Yes">
      <formula>NOT(ISERROR(SEARCH("Yes",D3)))</formula>
    </cfRule>
  </conditionalFormatting>
  <conditionalFormatting sqref="D11 D13:D15">
    <cfRule type="containsText" dxfId="9" priority="6" operator="containsText" text="Yes">
      <formula>NOT(ISERROR(SEARCH("Yes",D11)))</formula>
    </cfRule>
  </conditionalFormatting>
  <conditionalFormatting sqref="D17:D21">
    <cfRule type="containsText" dxfId="8" priority="3" operator="containsText" text="Yes">
      <formula>NOT(ISERROR(SEARCH("Yes",D17)))</formula>
    </cfRule>
  </conditionalFormatting>
  <conditionalFormatting sqref="D23:D26">
    <cfRule type="containsText" dxfId="7"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5" activePane="bottomLeft" state="frozen"/>
      <selection pane="bottomLeft" activeCell="B12" sqref="B12:C12"/>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30" t="s">
        <v>37</v>
      </c>
      <c r="B2" s="1231"/>
      <c r="C2" s="1231"/>
      <c r="D2" s="1232"/>
      <c r="E2" s="30"/>
      <c r="F2" s="30"/>
    </row>
    <row r="3" spans="1:6" ht="148.4" customHeight="1" x14ac:dyDescent="0.35">
      <c r="A3" s="19" t="s">
        <v>851</v>
      </c>
      <c r="B3" s="14" t="s">
        <v>850</v>
      </c>
      <c r="C3" s="14" t="s">
        <v>849</v>
      </c>
      <c r="D3" s="23" t="s">
        <v>1949</v>
      </c>
    </row>
    <row r="4" spans="1:6" ht="148.4" customHeight="1" x14ac:dyDescent="0.35">
      <c r="A4" s="19" t="s">
        <v>79</v>
      </c>
      <c r="B4" s="14" t="s">
        <v>40</v>
      </c>
      <c r="C4" s="14" t="s">
        <v>905</v>
      </c>
      <c r="D4" s="23" t="s">
        <v>1949</v>
      </c>
      <c r="E4" s="14"/>
      <c r="F4" s="14"/>
    </row>
    <row r="5" spans="1:6" ht="61.5" customHeight="1" x14ac:dyDescent="0.35">
      <c r="A5" s="19" t="s">
        <v>73</v>
      </c>
      <c r="B5" s="14" t="s">
        <v>74</v>
      </c>
      <c r="C5" s="32" t="s">
        <v>44</v>
      </c>
      <c r="D5" s="23" t="s">
        <v>2286</v>
      </c>
    </row>
    <row r="6" spans="1:6" ht="78" customHeight="1" x14ac:dyDescent="0.35">
      <c r="A6" s="19" t="s">
        <v>45</v>
      </c>
      <c r="B6" s="14" t="s">
        <v>46</v>
      </c>
      <c r="C6" s="14" t="s">
        <v>868</v>
      </c>
      <c r="D6" s="23" t="s">
        <v>1949</v>
      </c>
      <c r="E6" s="14"/>
      <c r="F6" s="14"/>
    </row>
    <row r="7" spans="1:6" ht="50.9" customHeight="1" x14ac:dyDescent="0.35">
      <c r="A7" s="19" t="s">
        <v>815</v>
      </c>
      <c r="B7" s="14" t="s">
        <v>825</v>
      </c>
      <c r="C7" s="14" t="s">
        <v>1434</v>
      </c>
      <c r="D7" s="23" t="s">
        <v>1949</v>
      </c>
      <c r="E7" s="16"/>
      <c r="F7" s="14"/>
    </row>
    <row r="8" spans="1:6" ht="78.650000000000006" customHeight="1" x14ac:dyDescent="0.35">
      <c r="A8" s="19" t="s">
        <v>75</v>
      </c>
      <c r="B8" s="14" t="s">
        <v>76</v>
      </c>
      <c r="C8" s="14" t="s">
        <v>77</v>
      </c>
      <c r="D8" s="23" t="s">
        <v>918</v>
      </c>
      <c r="E8" s="16"/>
      <c r="F8" s="14"/>
    </row>
    <row r="9" spans="1:6" ht="96.65" customHeight="1" x14ac:dyDescent="0.35">
      <c r="A9" s="19" t="s">
        <v>47</v>
      </c>
      <c r="B9" s="14" t="s">
        <v>48</v>
      </c>
      <c r="C9" s="14" t="s">
        <v>842</v>
      </c>
      <c r="D9" s="23" t="s">
        <v>918</v>
      </c>
      <c r="E9" s="16"/>
      <c r="F9" s="14"/>
    </row>
    <row r="10" spans="1:6" ht="22.5" customHeight="1" x14ac:dyDescent="0.35">
      <c r="A10" s="1230" t="s">
        <v>843</v>
      </c>
      <c r="B10" s="1231"/>
      <c r="C10" s="1231"/>
      <c r="D10" s="1232"/>
      <c r="E10" s="16"/>
      <c r="F10" s="14"/>
    </row>
    <row r="11" spans="1:6" ht="22.5" customHeight="1" x14ac:dyDescent="0.35">
      <c r="A11" s="20" t="s">
        <v>75</v>
      </c>
      <c r="B11" s="1243" t="s">
        <v>853</v>
      </c>
      <c r="C11" s="1244"/>
      <c r="D11" s="31"/>
      <c r="E11" s="16"/>
      <c r="F11" s="14"/>
    </row>
    <row r="12" spans="1:6" ht="33" customHeight="1" x14ac:dyDescent="0.35">
      <c r="A12" s="20" t="s">
        <v>852</v>
      </c>
      <c r="B12" s="1236" t="s">
        <v>854</v>
      </c>
      <c r="C12" s="1236"/>
      <c r="D12" s="23"/>
      <c r="E12" s="14"/>
      <c r="F12" s="14"/>
    </row>
    <row r="13" spans="1:6" ht="39.65" customHeight="1" x14ac:dyDescent="0.35">
      <c r="A13" s="18" t="s">
        <v>844</v>
      </c>
      <c r="B13" s="1236" t="s">
        <v>855</v>
      </c>
      <c r="C13" s="1236"/>
      <c r="D13" s="23"/>
    </row>
    <row r="14" spans="1:6" ht="38.9" customHeight="1" x14ac:dyDescent="0.35">
      <c r="A14" s="18" t="s">
        <v>846</v>
      </c>
      <c r="B14" s="1236" t="s">
        <v>847</v>
      </c>
      <c r="C14" s="1236"/>
      <c r="D14" s="23"/>
    </row>
    <row r="15" spans="1:6" ht="20.149999999999999" customHeight="1" x14ac:dyDescent="0.35">
      <c r="A15" s="1233" t="s">
        <v>59</v>
      </c>
      <c r="B15" s="1234"/>
      <c r="C15" s="1234"/>
      <c r="D15" s="1235"/>
    </row>
    <row r="16" spans="1:6" ht="24.65" customHeight="1" x14ac:dyDescent="0.35">
      <c r="A16" s="1237" t="s">
        <v>823</v>
      </c>
      <c r="B16" s="1238"/>
      <c r="C16" s="1239"/>
      <c r="D16" s="23"/>
    </row>
    <row r="17" spans="1:7" ht="101.9" customHeight="1" x14ac:dyDescent="0.35">
      <c r="A17" s="18" t="s">
        <v>60</v>
      </c>
      <c r="B17" s="33" t="s">
        <v>869</v>
      </c>
      <c r="C17" s="33" t="s">
        <v>876</v>
      </c>
      <c r="D17" s="34"/>
      <c r="E17" s="33"/>
      <c r="F17" s="33"/>
      <c r="G17" s="33"/>
    </row>
    <row r="18" spans="1:7" ht="101.15" customHeight="1" x14ac:dyDescent="0.35">
      <c r="A18" s="18" t="s">
        <v>61</v>
      </c>
      <c r="B18" s="33" t="s">
        <v>870</v>
      </c>
      <c r="C18" s="33" t="s">
        <v>871</v>
      </c>
      <c r="D18" s="34"/>
      <c r="E18" s="33"/>
      <c r="F18" s="33"/>
      <c r="G18" s="33"/>
    </row>
    <row r="19" spans="1:7" ht="57.65" customHeight="1" x14ac:dyDescent="0.35">
      <c r="A19" s="18" t="s">
        <v>872</v>
      </c>
      <c r="B19" s="33" t="s">
        <v>873</v>
      </c>
      <c r="C19" s="33" t="s">
        <v>874</v>
      </c>
      <c r="D19" s="34"/>
      <c r="E19" s="33"/>
      <c r="F19" s="33"/>
      <c r="G19" s="33"/>
    </row>
    <row r="20" spans="1:7" ht="37.5" customHeight="1" x14ac:dyDescent="0.35">
      <c r="A20" s="1240" t="s">
        <v>822</v>
      </c>
      <c r="B20" s="1241"/>
      <c r="C20" s="1242"/>
      <c r="D20" s="23"/>
    </row>
    <row r="21" spans="1:7" x14ac:dyDescent="0.35">
      <c r="A21" s="1233" t="s">
        <v>62</v>
      </c>
      <c r="B21" s="1234"/>
      <c r="C21" s="1234"/>
      <c r="D21" s="1235"/>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861</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6" priority="6" operator="containsText" text="Yes">
      <formula>NOT(ISERROR(SEARCH("Yes",D3)))</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G31" sqref="G31"/>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1912</v>
      </c>
      <c r="E2" s="48" t="s">
        <v>1913</v>
      </c>
      <c r="F2" s="48" t="s">
        <v>1942</v>
      </c>
      <c r="G2" s="48" t="s">
        <v>1943</v>
      </c>
      <c r="H2" s="49"/>
    </row>
    <row r="3" spans="1:11" x14ac:dyDescent="0.35">
      <c r="B3" s="43" t="s">
        <v>91</v>
      </c>
      <c r="C3" s="43" t="str">
        <f>'Haver Pivoted'!A2</f>
        <v>gdp</v>
      </c>
      <c r="D3">
        <v>27610.1</v>
      </c>
      <c r="E3" s="43">
        <f>'Haver Pivoted'!HH2</f>
        <v>27967.7</v>
      </c>
      <c r="F3" s="43">
        <f>E3-D3</f>
        <v>357.60000000000218</v>
      </c>
      <c r="G3" s="50">
        <f>F3/D3</f>
        <v>1.2951782137696068E-2</v>
      </c>
      <c r="H3" s="51"/>
    </row>
    <row r="4" spans="1:11" x14ac:dyDescent="0.35">
      <c r="B4" s="43" t="s">
        <v>92</v>
      </c>
      <c r="C4" s="43" t="str">
        <f>'Haver Pivoted'!A3</f>
        <v>gdph</v>
      </c>
      <c r="D4">
        <v>22490.7</v>
      </c>
      <c r="E4" s="43">
        <f>'Haver Pivoted'!HH3</f>
        <v>22780.9</v>
      </c>
      <c r="F4" s="43">
        <f t="shared" ref="F4:F67" si="0">E4-D4</f>
        <v>290.20000000000073</v>
      </c>
      <c r="G4" s="50">
        <f t="shared" ref="G4:G67" si="1">F4/D4</f>
        <v>1.2903111063684133E-2</v>
      </c>
      <c r="H4" s="51"/>
    </row>
    <row r="5" spans="1:11" x14ac:dyDescent="0.35">
      <c r="B5" s="43" t="s">
        <v>93</v>
      </c>
      <c r="C5" s="43" t="str">
        <f>'Haver Pivoted'!A4</f>
        <v>jgdp</v>
      </c>
      <c r="D5">
        <v>122.792</v>
      </c>
      <c r="E5" s="43">
        <f>'Haver Pivoted'!HH4</f>
        <v>122.785</v>
      </c>
      <c r="F5" s="43">
        <f t="shared" si="0"/>
        <v>-7.0000000000050022E-3</v>
      </c>
      <c r="G5" s="50">
        <f t="shared" si="1"/>
        <v>-5.7006971138225632E-5</v>
      </c>
      <c r="H5" s="52"/>
    </row>
    <row r="6" spans="1:11" x14ac:dyDescent="0.35">
      <c r="B6" s="43" t="s">
        <v>94</v>
      </c>
      <c r="C6" s="43" t="str">
        <f>'Haver Pivoted'!A5</f>
        <v>c</v>
      </c>
      <c r="D6">
        <v>18679.5</v>
      </c>
      <c r="E6" s="43">
        <f>'Haver Pivoted'!HH5</f>
        <v>18929</v>
      </c>
      <c r="F6" s="43">
        <f t="shared" si="0"/>
        <v>249.5</v>
      </c>
      <c r="G6" s="50">
        <f t="shared" si="1"/>
        <v>1.3356888567681148E-2</v>
      </c>
    </row>
    <row r="7" spans="1:11" x14ac:dyDescent="0.35">
      <c r="B7" s="43" t="s">
        <v>95</v>
      </c>
      <c r="C7" s="43" t="str">
        <f>'Haver Pivoted'!A6</f>
        <v>ch</v>
      </c>
      <c r="D7">
        <v>15461.4</v>
      </c>
      <c r="E7" s="43">
        <f>'Haver Pivoted'!HH6</f>
        <v>15646.7</v>
      </c>
      <c r="F7" s="43">
        <f t="shared" si="0"/>
        <v>185.30000000000109</v>
      </c>
      <c r="G7" s="50">
        <f t="shared" si="1"/>
        <v>1.198468443996023E-2</v>
      </c>
      <c r="K7" s="52"/>
    </row>
    <row r="8" spans="1:11" x14ac:dyDescent="0.35">
      <c r="B8" s="43" t="s">
        <v>96</v>
      </c>
      <c r="C8" s="43" t="str">
        <f>'Haver Pivoted'!A7</f>
        <v>jc</v>
      </c>
      <c r="D8">
        <v>120.81399999999999</v>
      </c>
      <c r="E8" s="43">
        <f>'Haver Pivoted'!HH7</f>
        <v>120.983</v>
      </c>
      <c r="F8" s="43">
        <f t="shared" si="0"/>
        <v>0.16900000000001114</v>
      </c>
      <c r="G8" s="50">
        <f t="shared" si="1"/>
        <v>1.3988445047760289E-3</v>
      </c>
    </row>
    <row r="9" spans="1:11" x14ac:dyDescent="0.35">
      <c r="B9" s="43" t="s">
        <v>97</v>
      </c>
      <c r="C9" s="43" t="str">
        <f>'Haver Pivoted'!A8</f>
        <v>jgf</v>
      </c>
      <c r="D9">
        <v>120.09699999999999</v>
      </c>
      <c r="E9" s="43">
        <f>'Haver Pivoted'!HH8</f>
        <v>120.759</v>
      </c>
      <c r="F9" s="43">
        <f t="shared" si="0"/>
        <v>0.66200000000000614</v>
      </c>
      <c r="G9" s="50">
        <f t="shared" si="1"/>
        <v>5.5122109628051169E-3</v>
      </c>
    </row>
    <row r="10" spans="1:11" x14ac:dyDescent="0.35">
      <c r="B10" s="43" t="s">
        <v>98</v>
      </c>
      <c r="C10" s="43" t="str">
        <f>'Haver Pivoted'!A9</f>
        <v>jgs</v>
      </c>
      <c r="D10">
        <v>127.717</v>
      </c>
      <c r="E10" s="43">
        <f>'Haver Pivoted'!HH9</f>
        <v>126.041</v>
      </c>
      <c r="F10" s="43">
        <f t="shared" si="0"/>
        <v>-1.6760000000000019</v>
      </c>
      <c r="G10" s="50">
        <f t="shared" si="1"/>
        <v>-1.3122763610169374E-2</v>
      </c>
    </row>
    <row r="11" spans="1:11" x14ac:dyDescent="0.35">
      <c r="B11" s="43" t="s">
        <v>99</v>
      </c>
      <c r="C11" s="43" t="str">
        <f>'Haver Pivoted'!A10</f>
        <v>jgse</v>
      </c>
      <c r="D11">
        <v>127.176</v>
      </c>
      <c r="E11" s="43">
        <f>'Haver Pivoted'!HH10</f>
        <v>124.699</v>
      </c>
      <c r="F11" s="43">
        <f t="shared" si="0"/>
        <v>-2.4770000000000039</v>
      </c>
      <c r="G11" s="50">
        <f t="shared" si="1"/>
        <v>-1.9476945335597941E-2</v>
      </c>
    </row>
    <row r="12" spans="1:11" x14ac:dyDescent="0.35">
      <c r="B12" s="43" t="s">
        <v>100</v>
      </c>
      <c r="C12" s="43" t="str">
        <f>'Haver Pivoted'!A11</f>
        <v>jgsi</v>
      </c>
      <c r="D12">
        <v>130.56700000000001</v>
      </c>
      <c r="E12" s="43">
        <f>'Haver Pivoted'!HH11</f>
        <v>132.66800000000001</v>
      </c>
      <c r="F12" s="43">
        <f t="shared" si="0"/>
        <v>2.1009999999999991</v>
      </c>
      <c r="G12" s="50">
        <f t="shared" si="1"/>
        <v>1.6091355396080167E-2</v>
      </c>
      <c r="I12" s="35"/>
    </row>
    <row r="13" spans="1:11" x14ac:dyDescent="0.35">
      <c r="A13" s="43" t="s">
        <v>55</v>
      </c>
      <c r="B13" s="43" t="s">
        <v>55</v>
      </c>
      <c r="C13" s="43" t="str">
        <f>'Haver Pivoted'!A12</f>
        <v>yptmr</v>
      </c>
      <c r="D13">
        <v>946.3</v>
      </c>
      <c r="E13" s="43">
        <f>'Haver Pivoted'!HH12</f>
        <v>1019.9</v>
      </c>
      <c r="F13" s="43">
        <f t="shared" si="0"/>
        <v>73.600000000000023</v>
      </c>
      <c r="G13" s="50">
        <f t="shared" si="1"/>
        <v>7.7776603614075901E-2</v>
      </c>
      <c r="I13" s="53"/>
    </row>
    <row r="14" spans="1:11" x14ac:dyDescent="0.35">
      <c r="A14" s="43" t="s">
        <v>54</v>
      </c>
      <c r="B14" s="43" t="s">
        <v>101</v>
      </c>
      <c r="C14" s="43" t="str">
        <f>'Haver Pivoted'!A13</f>
        <v>yptmd</v>
      </c>
      <c r="D14">
        <v>880.6</v>
      </c>
      <c r="E14" s="43">
        <f>'Haver Pivoted'!HH13</f>
        <v>867.2</v>
      </c>
      <c r="F14" s="43">
        <f t="shared" si="0"/>
        <v>-13.399999999999977</v>
      </c>
      <c r="G14" s="50">
        <f t="shared" si="1"/>
        <v>-1.521689756983872E-2</v>
      </c>
    </row>
    <row r="15" spans="1:11" x14ac:dyDescent="0.35">
      <c r="A15" s="43" t="s">
        <v>53</v>
      </c>
      <c r="B15" s="43" t="s">
        <v>102</v>
      </c>
      <c r="C15" s="43" t="str">
        <f>'Haver Pivoted'!A14</f>
        <v>yptu</v>
      </c>
      <c r="D15">
        <v>21</v>
      </c>
      <c r="E15" s="43">
        <f>'Haver Pivoted'!HH14</f>
        <v>34.700000000000003</v>
      </c>
      <c r="F15" s="43">
        <f t="shared" si="0"/>
        <v>13.700000000000003</v>
      </c>
      <c r="G15" s="50">
        <f t="shared" si="1"/>
        <v>0.65238095238095251</v>
      </c>
    </row>
    <row r="16" spans="1:11" x14ac:dyDescent="0.35">
      <c r="B16" s="43" t="s">
        <v>57</v>
      </c>
      <c r="C16" s="43" t="str">
        <f>'Haver Pivoted'!A15</f>
        <v>gtfp</v>
      </c>
      <c r="D16">
        <v>3987.8</v>
      </c>
      <c r="E16" s="43">
        <f>'Haver Pivoted'!HH15</f>
        <v>4147.5</v>
      </c>
      <c r="F16" s="43">
        <f t="shared" si="0"/>
        <v>159.69999999999982</v>
      </c>
      <c r="G16" s="50">
        <f t="shared" si="1"/>
        <v>4.0047143788555048E-2</v>
      </c>
    </row>
    <row r="17" spans="1:7" x14ac:dyDescent="0.35">
      <c r="B17" s="43" t="s">
        <v>103</v>
      </c>
      <c r="C17" s="43" t="str">
        <f>'Haver Pivoted'!A16</f>
        <v>ypog</v>
      </c>
      <c r="D17">
        <v>131.19999999999999</v>
      </c>
      <c r="E17" s="43">
        <f>'Haver Pivoted'!HH16</f>
        <v>136</v>
      </c>
      <c r="F17" s="43">
        <f t="shared" si="0"/>
        <v>4.8000000000000114</v>
      </c>
      <c r="G17" s="50">
        <f t="shared" si="1"/>
        <v>3.6585365853658625E-2</v>
      </c>
    </row>
    <row r="18" spans="1:7" x14ac:dyDescent="0.35">
      <c r="B18" s="43" t="s">
        <v>104</v>
      </c>
      <c r="C18" s="43" t="str">
        <f>'Haver Pivoted'!A17</f>
        <v>yptx</v>
      </c>
      <c r="D18">
        <v>2765.3</v>
      </c>
      <c r="E18" s="43">
        <f>'Haver Pivoted'!HH17</f>
        <v>2866</v>
      </c>
      <c r="F18" s="43">
        <f t="shared" si="0"/>
        <v>100.69999999999982</v>
      </c>
      <c r="G18" s="50">
        <f t="shared" si="1"/>
        <v>3.6415578779879151E-2</v>
      </c>
    </row>
    <row r="19" spans="1:7" x14ac:dyDescent="0.35">
      <c r="B19" s="43" t="s">
        <v>105</v>
      </c>
      <c r="C19" s="43" t="str">
        <f>'Haver Pivoted'!A18</f>
        <v>ytpi</v>
      </c>
      <c r="D19">
        <v>1830.7</v>
      </c>
      <c r="E19" s="43">
        <f>'Haver Pivoted'!HH18</f>
        <v>1896.2</v>
      </c>
      <c r="F19" s="43">
        <f t="shared" si="0"/>
        <v>65.5</v>
      </c>
      <c r="G19" s="50">
        <f t="shared" si="1"/>
        <v>3.5778663899055006E-2</v>
      </c>
    </row>
    <row r="20" spans="1:7" x14ac:dyDescent="0.35">
      <c r="B20" s="43" t="s">
        <v>106</v>
      </c>
      <c r="C20" s="43" t="str">
        <f>'Haver Pivoted'!A19</f>
        <v>yctlg</v>
      </c>
      <c r="D20">
        <v>566.70000000000005</v>
      </c>
      <c r="E20" s="43">
        <f>'Haver Pivoted'!HH19</f>
        <v>617.79999999999995</v>
      </c>
      <c r="F20" s="43">
        <f t="shared" si="0"/>
        <v>51.099999999999909</v>
      </c>
      <c r="G20" s="50">
        <f t="shared" si="1"/>
        <v>9.0171166401976185E-2</v>
      </c>
    </row>
    <row r="21" spans="1:7" x14ac:dyDescent="0.35">
      <c r="B21" s="43" t="s">
        <v>107</v>
      </c>
      <c r="C21" s="43" t="str">
        <f>'Haver Pivoted'!A20</f>
        <v>g</v>
      </c>
      <c r="D21">
        <v>4794.8</v>
      </c>
      <c r="E21" s="43">
        <f>'Haver Pivoted'!HH20</f>
        <v>4756.3999999999996</v>
      </c>
      <c r="F21" s="43">
        <f t="shared" si="0"/>
        <v>-38.400000000000546</v>
      </c>
      <c r="G21" s="50">
        <f t="shared" si="1"/>
        <v>-8.0086760657379959E-3</v>
      </c>
    </row>
    <row r="22" spans="1:7" x14ac:dyDescent="0.35">
      <c r="B22" s="43" t="s">
        <v>108</v>
      </c>
      <c r="C22" s="43" t="str">
        <f>'Haver Pivoted'!A21</f>
        <v>grcsi</v>
      </c>
      <c r="D22">
        <v>1823.3</v>
      </c>
      <c r="E22" s="43">
        <f>'Haver Pivoted'!HH21</f>
        <v>1839.3</v>
      </c>
      <c r="F22" s="43">
        <f t="shared" si="0"/>
        <v>16</v>
      </c>
      <c r="G22" s="50">
        <f t="shared" si="1"/>
        <v>8.7752975374321279E-3</v>
      </c>
    </row>
    <row r="23" spans="1:7" x14ac:dyDescent="0.35">
      <c r="B23" s="43" t="s">
        <v>96</v>
      </c>
      <c r="C23" s="43" t="str">
        <f>'Haver Pivoted'!A22</f>
        <v>dc</v>
      </c>
      <c r="D23">
        <v>120.81399999999999</v>
      </c>
      <c r="E23" s="43">
        <f>'Haver Pivoted'!HH22</f>
        <v>120.97799999999999</v>
      </c>
      <c r="F23" s="43">
        <f t="shared" si="0"/>
        <v>0.16400000000000148</v>
      </c>
      <c r="G23" s="50">
        <f t="shared" si="1"/>
        <v>1.3574585726819862E-3</v>
      </c>
    </row>
    <row r="24" spans="1:7" x14ac:dyDescent="0.35">
      <c r="A24" s="43" t="s">
        <v>109</v>
      </c>
      <c r="B24" s="43" t="s">
        <v>110</v>
      </c>
      <c r="C24" s="43" t="str">
        <f>'Haver Pivoted'!A23</f>
        <v>gf</v>
      </c>
      <c r="D24">
        <v>1791.9</v>
      </c>
      <c r="E24" s="43">
        <f>'Haver Pivoted'!HH23</f>
        <v>1780.9</v>
      </c>
      <c r="F24" s="43">
        <f t="shared" si="0"/>
        <v>-11</v>
      </c>
      <c r="G24" s="50">
        <f t="shared" si="1"/>
        <v>-6.1387354205033762E-3</v>
      </c>
    </row>
    <row r="25" spans="1:7" x14ac:dyDescent="0.35">
      <c r="A25" s="43" t="s">
        <v>109</v>
      </c>
      <c r="B25" s="43" t="s">
        <v>111</v>
      </c>
      <c r="C25" s="43" t="str">
        <f>'Haver Pivoted'!A24</f>
        <v>gs</v>
      </c>
      <c r="D25">
        <v>3002.9</v>
      </c>
      <c r="E25" s="43">
        <f>'Haver Pivoted'!HH24</f>
        <v>2975.5</v>
      </c>
      <c r="F25" s="43">
        <f t="shared" si="0"/>
        <v>-27.400000000000091</v>
      </c>
      <c r="G25" s="50">
        <f t="shared" si="1"/>
        <v>-9.1245129707949284E-3</v>
      </c>
    </row>
    <row r="26" spans="1:7" x14ac:dyDescent="0.35">
      <c r="B26" s="43" t="s">
        <v>112</v>
      </c>
      <c r="C26" s="43" t="str">
        <f>'Haver Pivoted'!A25</f>
        <v>gfh</v>
      </c>
      <c r="D26">
        <v>1492.3</v>
      </c>
      <c r="E26" s="43">
        <f>'Haver Pivoted'!HH25</f>
        <v>1474.8</v>
      </c>
      <c r="F26" s="43">
        <f t="shared" si="0"/>
        <v>-17.5</v>
      </c>
      <c r="G26" s="50">
        <f t="shared" si="1"/>
        <v>-1.1726864571466863E-2</v>
      </c>
    </row>
    <row r="27" spans="1:7" x14ac:dyDescent="0.35">
      <c r="B27" s="43" t="s">
        <v>113</v>
      </c>
      <c r="C27" s="43" t="str">
        <f>'Haver Pivoted'!A26</f>
        <v>gsh</v>
      </c>
      <c r="D27">
        <v>2351.4</v>
      </c>
      <c r="E27" s="43">
        <f>'Haver Pivoted'!HH26</f>
        <v>2360.8000000000002</v>
      </c>
      <c r="F27" s="43">
        <f t="shared" si="0"/>
        <v>9.4000000000000909</v>
      </c>
      <c r="G27" s="50">
        <f t="shared" si="1"/>
        <v>3.9976184400782894E-3</v>
      </c>
    </row>
    <row r="28" spans="1:7" x14ac:dyDescent="0.35">
      <c r="A28" s="43" t="s">
        <v>58</v>
      </c>
      <c r="B28" s="43" t="s">
        <v>114</v>
      </c>
      <c r="C28" s="43" t="s">
        <v>115</v>
      </c>
      <c r="D28">
        <v>2188.6999999999998</v>
      </c>
      <c r="E28" s="43">
        <f>'Haver Pivoted'!HH27</f>
        <v>2260.5</v>
      </c>
      <c r="F28" s="43">
        <f t="shared" si="0"/>
        <v>71.800000000000182</v>
      </c>
      <c r="G28" s="50">
        <f t="shared" si="1"/>
        <v>3.2804861333211581E-2</v>
      </c>
    </row>
    <row r="29" spans="1:7" x14ac:dyDescent="0.35">
      <c r="A29" s="43" t="s">
        <v>58</v>
      </c>
      <c r="B29" s="43" t="s">
        <v>116</v>
      </c>
      <c r="C29" s="43" t="s">
        <v>117</v>
      </c>
      <c r="D29">
        <v>171.6</v>
      </c>
      <c r="E29" s="43">
        <f>'Haver Pivoted'!HH28</f>
        <v>172.2</v>
      </c>
      <c r="F29" s="43">
        <f t="shared" si="0"/>
        <v>0.59999999999999432</v>
      </c>
      <c r="G29" s="50">
        <f t="shared" si="1"/>
        <v>3.4965034965034635E-3</v>
      </c>
    </row>
    <row r="30" spans="1:7" x14ac:dyDescent="0.35">
      <c r="A30" s="43" t="s">
        <v>58</v>
      </c>
      <c r="B30" s="43" t="s">
        <v>118</v>
      </c>
      <c r="C30" s="43" t="s">
        <v>119</v>
      </c>
      <c r="D30">
        <v>418</v>
      </c>
      <c r="E30" s="43">
        <f>'Haver Pivoted'!HH29</f>
        <v>451.9</v>
      </c>
      <c r="F30" s="43">
        <f t="shared" si="0"/>
        <v>33.899999999999977</v>
      </c>
      <c r="G30" s="50">
        <f t="shared" si="1"/>
        <v>8.1100478468899465E-2</v>
      </c>
    </row>
    <row r="31" spans="1:7" x14ac:dyDescent="0.35">
      <c r="A31" s="43" t="s">
        <v>58</v>
      </c>
      <c r="B31" s="43" t="s">
        <v>120</v>
      </c>
      <c r="C31" s="43" t="s">
        <v>121</v>
      </c>
      <c r="D31">
        <v>1801.4</v>
      </c>
      <c r="E31" s="43">
        <f>'Haver Pivoted'!HH30</f>
        <v>1818</v>
      </c>
      <c r="F31" s="43">
        <f t="shared" si="0"/>
        <v>16.599999999999909</v>
      </c>
      <c r="G31" s="50">
        <f t="shared" si="1"/>
        <v>9.2150549572554176E-3</v>
      </c>
    </row>
    <row r="32" spans="1:7" x14ac:dyDescent="0.35">
      <c r="A32" s="43" t="s">
        <v>122</v>
      </c>
      <c r="B32" s="43" t="s">
        <v>123</v>
      </c>
      <c r="C32" s="43" t="str">
        <f>'Haver Pivoted'!A31</f>
        <v>gftfp</v>
      </c>
      <c r="D32">
        <v>2930.1</v>
      </c>
      <c r="E32" s="43">
        <f>'Haver Pivoted'!HH31</f>
        <v>3078</v>
      </c>
      <c r="F32" s="43">
        <f t="shared" si="0"/>
        <v>147.90000000000009</v>
      </c>
      <c r="G32" s="50">
        <f t="shared" si="1"/>
        <v>5.0476092966110407E-2</v>
      </c>
    </row>
    <row r="33" spans="1:10" x14ac:dyDescent="0.35">
      <c r="A33" s="43" t="s">
        <v>51</v>
      </c>
      <c r="B33" s="42" t="s">
        <v>124</v>
      </c>
      <c r="C33" s="43" t="str">
        <f>'Haver Pivoted'!A32</f>
        <v>gfeg</v>
      </c>
      <c r="D33">
        <v>918.5</v>
      </c>
      <c r="E33" s="43">
        <f>'Haver Pivoted'!HH32</f>
        <v>915.6</v>
      </c>
      <c r="F33" s="43">
        <f t="shared" si="0"/>
        <v>-2.8999999999999773</v>
      </c>
      <c r="G33" s="50">
        <f t="shared" si="1"/>
        <v>-3.157321720195947E-3</v>
      </c>
    </row>
    <row r="34" spans="1:10" x14ac:dyDescent="0.35">
      <c r="A34" s="43" t="s">
        <v>58</v>
      </c>
      <c r="B34" s="43" t="s">
        <v>125</v>
      </c>
      <c r="C34" s="43" t="str">
        <f>'Haver Pivoted'!A33</f>
        <v>gsrpt</v>
      </c>
      <c r="D34">
        <v>576.6</v>
      </c>
      <c r="E34" s="43">
        <f>'Haver Pivoted'!HH33</f>
        <v>605.5</v>
      </c>
      <c r="F34" s="43">
        <f t="shared" si="0"/>
        <v>28.899999999999977</v>
      </c>
      <c r="G34" s="50">
        <f t="shared" si="1"/>
        <v>5.0121401318071412E-2</v>
      </c>
    </row>
    <row r="35" spans="1:10" x14ac:dyDescent="0.35">
      <c r="A35" s="43" t="s">
        <v>58</v>
      </c>
      <c r="B35" s="43" t="s">
        <v>126</v>
      </c>
      <c r="C35" s="43" t="str">
        <f>'Haver Pivoted'!A34</f>
        <v>gsrpri</v>
      </c>
      <c r="D35">
        <v>1659.2</v>
      </c>
      <c r="E35" s="43">
        <f>'Haver Pivoted'!HH34</f>
        <v>1724</v>
      </c>
      <c r="F35" s="43">
        <f t="shared" si="0"/>
        <v>64.799999999999955</v>
      </c>
      <c r="G35" s="50">
        <f t="shared" si="1"/>
        <v>3.9054966248794572E-2</v>
      </c>
    </row>
    <row r="36" spans="1:10" x14ac:dyDescent="0.35">
      <c r="A36" s="43" t="s">
        <v>58</v>
      </c>
      <c r="B36" s="43" t="s">
        <v>127</v>
      </c>
      <c r="C36" s="43" t="str">
        <f>'Haver Pivoted'!A35</f>
        <v>gsrcp</v>
      </c>
      <c r="D36">
        <v>148.69999999999999</v>
      </c>
      <c r="E36" s="43">
        <f>'Haver Pivoted'!HH35</f>
        <v>165.9</v>
      </c>
      <c r="F36" s="43">
        <f t="shared" si="0"/>
        <v>17.200000000000017</v>
      </c>
      <c r="G36" s="50">
        <f t="shared" si="1"/>
        <v>0.11566913248150651</v>
      </c>
    </row>
    <row r="37" spans="1:10" x14ac:dyDescent="0.35">
      <c r="A37" s="43" t="s">
        <v>58</v>
      </c>
      <c r="B37" s="43" t="s">
        <v>128</v>
      </c>
      <c r="C37" s="43" t="str">
        <f>'Haver Pivoted'!A36</f>
        <v>gsrs</v>
      </c>
      <c r="D37">
        <v>21.9</v>
      </c>
      <c r="E37" s="43">
        <f>'Haver Pivoted'!HH36</f>
        <v>21.2</v>
      </c>
      <c r="F37" s="43">
        <f t="shared" si="0"/>
        <v>-0.69999999999999929</v>
      </c>
      <c r="G37" s="50">
        <f t="shared" si="1"/>
        <v>-3.1963470319634674E-2</v>
      </c>
    </row>
    <row r="38" spans="1:10" x14ac:dyDescent="0.35">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x14ac:dyDescent="0.35">
      <c r="B39" s="43" t="s">
        <v>130</v>
      </c>
      <c r="C39" s="43" t="str">
        <f>'Haver Pivoted'!A38</f>
        <v>gset</v>
      </c>
      <c r="D39">
        <v>3985.3</v>
      </c>
      <c r="E39" s="43">
        <f>'Haver Pivoted'!HH38</f>
        <v>3944.8</v>
      </c>
      <c r="F39" s="43">
        <f t="shared" si="0"/>
        <v>-40.5</v>
      </c>
      <c r="G39" s="50">
        <f t="shared" si="1"/>
        <v>-1.0162346623842621E-2</v>
      </c>
    </row>
    <row r="40" spans="1:10" x14ac:dyDescent="0.35">
      <c r="B40" s="43" t="s">
        <v>131</v>
      </c>
      <c r="C40" s="43" t="str">
        <f>'Haver Pivoted'!A39</f>
        <v>gfeghhx</v>
      </c>
      <c r="D40">
        <v>622.95699999999999</v>
      </c>
      <c r="E40" s="43">
        <f>'Haver Pivoted'!HH39</f>
        <v>617.13900000000001</v>
      </c>
      <c r="F40" s="43">
        <f t="shared" si="0"/>
        <v>-5.8179999999999836</v>
      </c>
      <c r="G40" s="50">
        <f t="shared" si="1"/>
        <v>-9.3393283966629864E-3</v>
      </c>
    </row>
    <row r="41" spans="1:10" x14ac:dyDescent="0.35">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x14ac:dyDescent="0.35">
      <c r="A42" s="43" t="s">
        <v>51</v>
      </c>
      <c r="B42" s="43" t="s">
        <v>134</v>
      </c>
      <c r="C42" s="43" t="str">
        <f>'Haver Pivoted'!A41</f>
        <v>gfeigx</v>
      </c>
      <c r="D42">
        <v>90.495000000000005</v>
      </c>
      <c r="E42" s="43">
        <f>'Haver Pivoted'!HH41</f>
        <v>92.77</v>
      </c>
      <c r="F42" s="43">
        <f t="shared" si="0"/>
        <v>2.2749999999999915</v>
      </c>
      <c r="G42" s="50">
        <f t="shared" si="1"/>
        <v>2.5139510470191629E-2</v>
      </c>
    </row>
    <row r="43" spans="1:10" x14ac:dyDescent="0.35">
      <c r="B43" s="43" t="s">
        <v>135</v>
      </c>
      <c r="C43" s="43" t="str">
        <f>'Haver Pivoted'!A42</f>
        <v>gfsub</v>
      </c>
      <c r="D43">
        <v>102.4</v>
      </c>
      <c r="E43" s="43">
        <f>'Haver Pivoted'!HH42</f>
        <v>104</v>
      </c>
      <c r="F43" s="43">
        <f t="shared" si="0"/>
        <v>1.5999999999999943</v>
      </c>
      <c r="G43" s="50">
        <f t="shared" si="1"/>
        <v>1.5624999999999944E-2</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104.7</v>
      </c>
      <c r="F45" s="43">
        <f t="shared" si="0"/>
        <v>1.6000000000000085</v>
      </c>
      <c r="G45" s="50">
        <f t="shared" si="1"/>
        <v>1.551891367604276E-2</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343</v>
      </c>
      <c r="F66" s="43">
        <f t="shared" si="0"/>
        <v>-218.29999999999995</v>
      </c>
      <c r="G66" s="50">
        <f t="shared" si="1"/>
        <v>-0.38891858186353107</v>
      </c>
      <c r="H66" s="42"/>
      <c r="I66" s="42"/>
    </row>
    <row r="67" spans="1:9" x14ac:dyDescent="0.35">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8.0125442290799303E-3</v>
      </c>
      <c r="F76" s="38">
        <f t="shared" si="2"/>
        <v>-2.2301070609475997E-4</v>
      </c>
      <c r="G76" s="50">
        <f t="shared" si="3"/>
        <v>-2.7079013843045844E-2</v>
      </c>
    </row>
    <row r="77" spans="1:9" x14ac:dyDescent="0.35">
      <c r="B77" s="43" t="s">
        <v>170</v>
      </c>
      <c r="C77" s="43" t="str">
        <f>'Haver Pivoted'!A76</f>
        <v>jc_growth</v>
      </c>
      <c r="D77">
        <v>6.4143147512578701E-3</v>
      </c>
      <c r="E77" s="43">
        <f>'Haver Pivoted'!HH76</f>
        <v>6.6648915811020597E-3</v>
      </c>
      <c r="F77" s="38">
        <f t="shared" si="2"/>
        <v>2.5057682984418964E-4</v>
      </c>
      <c r="G77" s="50">
        <f t="shared" si="3"/>
        <v>3.9065253197163523E-2</v>
      </c>
    </row>
    <row r="78" spans="1:9" x14ac:dyDescent="0.35">
      <c r="B78" s="43" t="s">
        <v>171</v>
      </c>
      <c r="C78" s="43" t="str">
        <f>'Haver Pivoted'!A77</f>
        <v>jgf_growth</v>
      </c>
      <c r="D78">
        <v>9.7870229456919998E-3</v>
      </c>
      <c r="E78" s="43">
        <f>'Haver Pivoted'!HH77</f>
        <v>9.3952438667612697E-3</v>
      </c>
      <c r="F78" s="38">
        <f t="shared" si="2"/>
        <v>-3.9177907893073009E-4</v>
      </c>
      <c r="G78" s="50">
        <f t="shared" si="3"/>
        <v>-4.0030464943701938E-2</v>
      </c>
    </row>
    <row r="79" spans="1:9" x14ac:dyDescent="0.35">
      <c r="B79" s="43" t="s">
        <v>172</v>
      </c>
      <c r="C79" s="43" t="str">
        <f>'Haver Pivoted'!A78</f>
        <v>jgs_growth</v>
      </c>
      <c r="D79">
        <v>1.4053530453285799E-2</v>
      </c>
      <c r="E79" s="43">
        <f>'Haver Pivoted'!HH78</f>
        <v>9.9439102564102804E-3</v>
      </c>
      <c r="F79" s="38">
        <f>E79/D79-1</f>
        <v>-0.29242617792987846</v>
      </c>
      <c r="G79" s="50">
        <f t="shared" si="3"/>
        <v>-20.808022503804906</v>
      </c>
    </row>
    <row r="80" spans="1:9" x14ac:dyDescent="0.35">
      <c r="B80" s="43" t="s">
        <v>173</v>
      </c>
      <c r="C80" s="43" t="str">
        <f>'Haver Pivoted'!A79</f>
        <v>jgse_growth</v>
      </c>
      <c r="D80">
        <v>1.6627230287139499E-2</v>
      </c>
      <c r="E80" s="43">
        <f>'Haver Pivoted'!HH79</f>
        <v>1.1822268382531999E-2</v>
      </c>
      <c r="F80" s="38">
        <f t="shared" si="2"/>
        <v>-4.8049619046075E-3</v>
      </c>
      <c r="G80" s="50">
        <f t="shared" si="3"/>
        <v>-0.28898149731672068</v>
      </c>
    </row>
    <row r="81" spans="2:7" x14ac:dyDescent="0.35">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5" t="s">
        <v>33</v>
      </c>
      <c r="B1" s="66" t="s">
        <v>34</v>
      </c>
      <c r="C1" s="66" t="s">
        <v>35</v>
      </c>
      <c r="D1" s="67" t="s">
        <v>36</v>
      </c>
    </row>
    <row r="2" spans="1:4" ht="116.15" customHeight="1" x14ac:dyDescent="0.35">
      <c r="A2" s="62" t="s">
        <v>875</v>
      </c>
      <c r="B2" s="63" t="s">
        <v>903</v>
      </c>
      <c r="C2" s="63" t="s">
        <v>904</v>
      </c>
      <c r="D2" s="59" t="s">
        <v>918</v>
      </c>
    </row>
    <row r="3" spans="1:4" ht="63.75" customHeight="1" x14ac:dyDescent="0.35">
      <c r="A3" s="19" t="s">
        <v>79</v>
      </c>
      <c r="B3" s="58" t="s">
        <v>40</v>
      </c>
      <c r="C3" s="58" t="s">
        <v>41</v>
      </c>
      <c r="D3" s="60" t="s">
        <v>921</v>
      </c>
    </row>
    <row r="4" spans="1:4" ht="137.25" customHeight="1" x14ac:dyDescent="0.35">
      <c r="A4" s="68" t="s">
        <v>80</v>
      </c>
      <c r="B4" s="58" t="s">
        <v>902</v>
      </c>
      <c r="C4" s="14" t="s">
        <v>877</v>
      </c>
      <c r="D4" s="60"/>
    </row>
    <row r="5" spans="1:4" ht="29.25" customHeight="1" x14ac:dyDescent="0.35">
      <c r="A5" s="68" t="s">
        <v>81</v>
      </c>
      <c r="B5" s="69" t="s">
        <v>82</v>
      </c>
      <c r="C5" s="57" t="s">
        <v>83</v>
      </c>
      <c r="D5" s="60"/>
    </row>
    <row r="6" spans="1:4" ht="43.4" customHeight="1" x14ac:dyDescent="0.35">
      <c r="A6" s="21" t="s">
        <v>84</v>
      </c>
      <c r="B6" s="64" t="s">
        <v>879</v>
      </c>
      <c r="C6" s="35" t="s">
        <v>878</v>
      </c>
      <c r="D6" s="61"/>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L89"/>
  <sheetViews>
    <sheetView zoomScaleNormal="100" workbookViewId="0">
      <pane xSplit="1" ySplit="1" topLeftCell="GS23" activePane="bottomRight" state="frozen"/>
      <selection pane="topRight" activeCell="B1" sqref="B1"/>
      <selection pane="bottomLeft" activeCell="A2" sqref="A2"/>
      <selection pane="bottomRight" activeCell="HK35" sqref="HK35"/>
    </sheetView>
  </sheetViews>
  <sheetFormatPr defaultColWidth="10.90625" defaultRowHeight="14.5" x14ac:dyDescent="0.35"/>
  <cols>
    <col min="1" max="220" width="11.7265625" customWidth="1"/>
  </cols>
  <sheetData>
    <row r="1" spans="1:220" x14ac:dyDescent="0.35">
      <c r="A1" s="76" t="s">
        <v>1978</v>
      </c>
      <c r="B1" s="76" t="s">
        <v>1979</v>
      </c>
      <c r="C1" s="76" t="s">
        <v>1980</v>
      </c>
      <c r="D1" s="76" t="s">
        <v>1981</v>
      </c>
      <c r="E1" s="76" t="s">
        <v>1982</v>
      </c>
      <c r="F1" s="76" t="s">
        <v>1983</v>
      </c>
      <c r="G1" s="76" t="s">
        <v>1984</v>
      </c>
      <c r="H1" s="76" t="s">
        <v>1985</v>
      </c>
      <c r="I1" s="76" t="s">
        <v>1986</v>
      </c>
      <c r="J1" s="76" t="s">
        <v>1987</v>
      </c>
      <c r="K1" s="76" t="s">
        <v>1988</v>
      </c>
      <c r="L1" s="76" t="s">
        <v>1989</v>
      </c>
      <c r="M1" s="76" t="s">
        <v>1990</v>
      </c>
      <c r="N1" s="76" t="s">
        <v>1991</v>
      </c>
      <c r="O1" s="76" t="s">
        <v>1992</v>
      </c>
      <c r="P1" s="76" t="s">
        <v>1993</v>
      </c>
      <c r="Q1" s="76" t="s">
        <v>1994</v>
      </c>
      <c r="R1" s="76" t="s">
        <v>1995</v>
      </c>
      <c r="S1" s="76" t="s">
        <v>1996</v>
      </c>
      <c r="T1" s="76" t="s">
        <v>1997</v>
      </c>
      <c r="U1" s="76" t="s">
        <v>1998</v>
      </c>
      <c r="V1" s="76" t="s">
        <v>1999</v>
      </c>
      <c r="W1" s="76" t="s">
        <v>2000</v>
      </c>
      <c r="X1" s="76" t="s">
        <v>2001</v>
      </c>
      <c r="Y1" s="76" t="s">
        <v>2002</v>
      </c>
      <c r="Z1" s="76" t="s">
        <v>2003</v>
      </c>
      <c r="AA1" s="76" t="s">
        <v>2004</v>
      </c>
      <c r="AB1" s="76" t="s">
        <v>2005</v>
      </c>
      <c r="AC1" s="76" t="s">
        <v>2006</v>
      </c>
      <c r="AD1" s="76" t="s">
        <v>2007</v>
      </c>
      <c r="AE1" s="76" t="s">
        <v>2008</v>
      </c>
      <c r="AF1" s="76" t="s">
        <v>2009</v>
      </c>
      <c r="AG1" s="76" t="s">
        <v>2010</v>
      </c>
      <c r="AH1" s="76" t="s">
        <v>2011</v>
      </c>
      <c r="AI1" s="76" t="s">
        <v>2012</v>
      </c>
      <c r="AJ1" s="76" t="s">
        <v>2013</v>
      </c>
      <c r="AK1" s="76" t="s">
        <v>2014</v>
      </c>
      <c r="AL1" s="76" t="s">
        <v>2015</v>
      </c>
      <c r="AM1" s="76" t="s">
        <v>2016</v>
      </c>
      <c r="AN1" s="76" t="s">
        <v>2017</v>
      </c>
      <c r="AO1" s="76" t="s">
        <v>2018</v>
      </c>
      <c r="AP1" s="76" t="s">
        <v>2019</v>
      </c>
      <c r="AQ1" s="76" t="s">
        <v>2020</v>
      </c>
      <c r="AR1" s="76" t="s">
        <v>2021</v>
      </c>
      <c r="AS1" s="76" t="s">
        <v>2022</v>
      </c>
      <c r="AT1" s="76" t="s">
        <v>2023</v>
      </c>
      <c r="AU1" s="76" t="s">
        <v>2024</v>
      </c>
      <c r="AV1" s="76" t="s">
        <v>2025</v>
      </c>
      <c r="AW1" s="76" t="s">
        <v>2026</v>
      </c>
      <c r="AX1" s="76" t="s">
        <v>2027</v>
      </c>
      <c r="AY1" s="76" t="s">
        <v>2028</v>
      </c>
      <c r="AZ1" s="76" t="s">
        <v>2029</v>
      </c>
      <c r="BA1" s="76" t="s">
        <v>2030</v>
      </c>
      <c r="BB1" s="76" t="s">
        <v>2031</v>
      </c>
      <c r="BC1" s="76" t="s">
        <v>2032</v>
      </c>
      <c r="BD1" s="76" t="s">
        <v>2033</v>
      </c>
      <c r="BE1" s="76" t="s">
        <v>2034</v>
      </c>
      <c r="BF1" s="76" t="s">
        <v>2035</v>
      </c>
      <c r="BG1" s="76" t="s">
        <v>2036</v>
      </c>
      <c r="BH1" s="76" t="s">
        <v>2037</v>
      </c>
      <c r="BI1" s="76" t="s">
        <v>2038</v>
      </c>
      <c r="BJ1" s="76" t="s">
        <v>2039</v>
      </c>
      <c r="BK1" s="76" t="s">
        <v>2040</v>
      </c>
      <c r="BL1" s="76" t="s">
        <v>2041</v>
      </c>
      <c r="BM1" s="76" t="s">
        <v>2042</v>
      </c>
      <c r="BN1" s="76" t="s">
        <v>2043</v>
      </c>
      <c r="BO1" s="76" t="s">
        <v>2044</v>
      </c>
      <c r="BP1" s="76" t="s">
        <v>2045</v>
      </c>
      <c r="BQ1" s="76" t="s">
        <v>2046</v>
      </c>
      <c r="BR1" s="76" t="s">
        <v>2047</v>
      </c>
      <c r="BS1" s="76" t="s">
        <v>2048</v>
      </c>
      <c r="BT1" s="76" t="s">
        <v>2049</v>
      </c>
      <c r="BU1" s="76" t="s">
        <v>2050</v>
      </c>
      <c r="BV1" s="76" t="s">
        <v>2051</v>
      </c>
      <c r="BW1" s="76" t="s">
        <v>2052</v>
      </c>
      <c r="BX1" s="76" t="s">
        <v>2053</v>
      </c>
      <c r="BY1" s="76" t="s">
        <v>2054</v>
      </c>
      <c r="BZ1" s="76" t="s">
        <v>2055</v>
      </c>
      <c r="CA1" s="76" t="s">
        <v>2056</v>
      </c>
      <c r="CB1" s="76" t="s">
        <v>2057</v>
      </c>
      <c r="CC1" s="76" t="s">
        <v>2058</v>
      </c>
      <c r="CD1" s="76" t="s">
        <v>2059</v>
      </c>
      <c r="CE1" s="76" t="s">
        <v>2060</v>
      </c>
      <c r="CF1" s="76" t="s">
        <v>2061</v>
      </c>
      <c r="CG1" s="76" t="s">
        <v>2062</v>
      </c>
      <c r="CH1" s="76" t="s">
        <v>2063</v>
      </c>
      <c r="CI1" s="76" t="s">
        <v>2064</v>
      </c>
      <c r="CJ1" s="76" t="s">
        <v>2065</v>
      </c>
      <c r="CK1" s="76" t="s">
        <v>2066</v>
      </c>
      <c r="CL1" s="76" t="s">
        <v>2067</v>
      </c>
      <c r="CM1" s="76" t="s">
        <v>2068</v>
      </c>
      <c r="CN1" s="76" t="s">
        <v>2069</v>
      </c>
      <c r="CO1" s="76" t="s">
        <v>2070</v>
      </c>
      <c r="CP1" s="76" t="s">
        <v>2071</v>
      </c>
      <c r="CQ1" s="76" t="s">
        <v>2072</v>
      </c>
      <c r="CR1" s="76" t="s">
        <v>2073</v>
      </c>
      <c r="CS1" s="76" t="s">
        <v>2074</v>
      </c>
      <c r="CT1" s="76" t="s">
        <v>2075</v>
      </c>
      <c r="CU1" s="76" t="s">
        <v>2076</v>
      </c>
      <c r="CV1" s="76" t="s">
        <v>2077</v>
      </c>
      <c r="CW1" s="76" t="s">
        <v>2078</v>
      </c>
      <c r="CX1" s="76" t="s">
        <v>2079</v>
      </c>
      <c r="CY1" s="76" t="s">
        <v>2080</v>
      </c>
      <c r="CZ1" s="76" t="s">
        <v>2081</v>
      </c>
      <c r="DA1" s="76" t="s">
        <v>2082</v>
      </c>
      <c r="DB1" s="76" t="s">
        <v>2083</v>
      </c>
      <c r="DC1" s="76" t="s">
        <v>2084</v>
      </c>
      <c r="DD1" s="76" t="s">
        <v>2085</v>
      </c>
      <c r="DE1" s="76" t="s">
        <v>2086</v>
      </c>
      <c r="DF1" s="76" t="s">
        <v>2087</v>
      </c>
      <c r="DG1" s="76" t="s">
        <v>2088</v>
      </c>
      <c r="DH1" s="76" t="s">
        <v>2089</v>
      </c>
      <c r="DI1" s="76" t="s">
        <v>2090</v>
      </c>
      <c r="DJ1" s="76" t="s">
        <v>2091</v>
      </c>
      <c r="DK1" s="76" t="s">
        <v>2092</v>
      </c>
      <c r="DL1" s="76" t="s">
        <v>2093</v>
      </c>
      <c r="DM1" s="76" t="s">
        <v>2094</v>
      </c>
      <c r="DN1" s="76" t="s">
        <v>2095</v>
      </c>
      <c r="DO1" s="76" t="s">
        <v>2096</v>
      </c>
      <c r="DP1" s="76" t="s">
        <v>2097</v>
      </c>
      <c r="DQ1" s="76" t="s">
        <v>2098</v>
      </c>
      <c r="DR1" s="76" t="s">
        <v>2099</v>
      </c>
      <c r="DS1" s="76" t="s">
        <v>2100</v>
      </c>
      <c r="DT1" s="76" t="s">
        <v>2101</v>
      </c>
      <c r="DU1" s="76" t="s">
        <v>2102</v>
      </c>
      <c r="DV1" s="76" t="s">
        <v>2103</v>
      </c>
      <c r="DW1" s="76" t="s">
        <v>2104</v>
      </c>
      <c r="DX1" s="76" t="s">
        <v>2105</v>
      </c>
      <c r="DY1" s="76" t="s">
        <v>2106</v>
      </c>
      <c r="DZ1" s="76" t="s">
        <v>2107</v>
      </c>
      <c r="EA1" s="76" t="s">
        <v>2108</v>
      </c>
      <c r="EB1" s="76" t="s">
        <v>2109</v>
      </c>
      <c r="EC1" s="76" t="s">
        <v>2110</v>
      </c>
      <c r="ED1" s="76" t="s">
        <v>2111</v>
      </c>
      <c r="EE1" s="76" t="s">
        <v>2112</v>
      </c>
      <c r="EF1" s="76" t="s">
        <v>2113</v>
      </c>
      <c r="EG1" s="76" t="s">
        <v>2114</v>
      </c>
      <c r="EH1" s="76" t="s">
        <v>2115</v>
      </c>
      <c r="EI1" s="76" t="s">
        <v>2116</v>
      </c>
      <c r="EJ1" s="76" t="s">
        <v>2117</v>
      </c>
      <c r="EK1" s="76" t="s">
        <v>2118</v>
      </c>
      <c r="EL1" s="76" t="s">
        <v>2119</v>
      </c>
      <c r="EM1" s="76" t="s">
        <v>2120</v>
      </c>
      <c r="EN1" s="76" t="s">
        <v>2121</v>
      </c>
      <c r="EO1" s="76" t="s">
        <v>2122</v>
      </c>
      <c r="EP1" s="76" t="s">
        <v>2123</v>
      </c>
      <c r="EQ1" s="76" t="s">
        <v>2124</v>
      </c>
      <c r="ER1" s="76" t="s">
        <v>2125</v>
      </c>
      <c r="ES1" s="76" t="s">
        <v>2126</v>
      </c>
      <c r="ET1" s="76" t="s">
        <v>2127</v>
      </c>
      <c r="EU1" s="76" t="s">
        <v>2128</v>
      </c>
      <c r="EV1" s="76" t="s">
        <v>2129</v>
      </c>
      <c r="EW1" s="76" t="s">
        <v>2130</v>
      </c>
      <c r="EX1" s="76" t="s">
        <v>2131</v>
      </c>
      <c r="EY1" s="76" t="s">
        <v>2132</v>
      </c>
      <c r="EZ1" s="76" t="s">
        <v>2133</v>
      </c>
      <c r="FA1" s="76" t="s">
        <v>2134</v>
      </c>
      <c r="FB1" s="76" t="s">
        <v>2135</v>
      </c>
      <c r="FC1" s="76" t="s">
        <v>2136</v>
      </c>
      <c r="FD1" s="76" t="s">
        <v>2137</v>
      </c>
      <c r="FE1" s="76" t="s">
        <v>2138</v>
      </c>
      <c r="FF1" s="76" t="s">
        <v>2139</v>
      </c>
      <c r="FG1" s="76" t="s">
        <v>2140</v>
      </c>
      <c r="FH1" s="76" t="s">
        <v>2141</v>
      </c>
      <c r="FI1" s="76" t="s">
        <v>2142</v>
      </c>
      <c r="FJ1" s="76" t="s">
        <v>2143</v>
      </c>
      <c r="FK1" s="76" t="s">
        <v>2144</v>
      </c>
      <c r="FL1" s="76" t="s">
        <v>2145</v>
      </c>
      <c r="FM1" s="76" t="s">
        <v>2146</v>
      </c>
      <c r="FN1" s="76" t="s">
        <v>2147</v>
      </c>
      <c r="FO1" s="76" t="s">
        <v>2148</v>
      </c>
      <c r="FP1" s="76" t="s">
        <v>2149</v>
      </c>
      <c r="FQ1" s="76" t="s">
        <v>2150</v>
      </c>
      <c r="FR1" s="76" t="s">
        <v>2151</v>
      </c>
      <c r="FS1" s="76" t="s">
        <v>2152</v>
      </c>
      <c r="FT1" s="76" t="s">
        <v>2153</v>
      </c>
      <c r="FU1" s="76" t="s">
        <v>2154</v>
      </c>
      <c r="FV1" s="76" t="s">
        <v>2155</v>
      </c>
      <c r="FW1" s="76" t="s">
        <v>2156</v>
      </c>
      <c r="FX1" s="76" t="s">
        <v>2157</v>
      </c>
      <c r="FY1" s="76" t="s">
        <v>2158</v>
      </c>
      <c r="FZ1" s="76" t="s">
        <v>2159</v>
      </c>
      <c r="GA1" s="76" t="s">
        <v>2160</v>
      </c>
      <c r="GB1" s="76" t="s">
        <v>2161</v>
      </c>
      <c r="GC1" s="76" t="s">
        <v>2162</v>
      </c>
      <c r="GD1" s="76" t="s">
        <v>2163</v>
      </c>
      <c r="GE1" s="76" t="s">
        <v>2164</v>
      </c>
      <c r="GF1" s="76" t="s">
        <v>2165</v>
      </c>
      <c r="GG1" s="76" t="s">
        <v>2166</v>
      </c>
      <c r="GH1" s="76" t="s">
        <v>2167</v>
      </c>
      <c r="GI1" s="76" t="s">
        <v>2168</v>
      </c>
      <c r="GJ1" s="76" t="s">
        <v>2169</v>
      </c>
      <c r="GK1" s="76" t="s">
        <v>2170</v>
      </c>
      <c r="GL1" s="76" t="s">
        <v>2171</v>
      </c>
      <c r="GM1" s="76" t="s">
        <v>2172</v>
      </c>
      <c r="GN1" s="76" t="s">
        <v>2173</v>
      </c>
      <c r="GO1" s="76" t="s">
        <v>2174</v>
      </c>
      <c r="GP1" s="76" t="s">
        <v>2175</v>
      </c>
      <c r="GQ1" s="76" t="s">
        <v>2176</v>
      </c>
      <c r="GR1" s="76" t="s">
        <v>2177</v>
      </c>
      <c r="GS1" s="76" t="s">
        <v>2178</v>
      </c>
      <c r="GT1" s="76" t="s">
        <v>2179</v>
      </c>
      <c r="GU1" s="76" t="s">
        <v>2180</v>
      </c>
      <c r="GV1" s="76" t="s">
        <v>2181</v>
      </c>
      <c r="GW1" s="76" t="s">
        <v>2182</v>
      </c>
      <c r="GX1" s="76" t="s">
        <v>2183</v>
      </c>
      <c r="GY1" s="76" t="s">
        <v>2184</v>
      </c>
      <c r="GZ1" s="76" t="s">
        <v>2185</v>
      </c>
      <c r="HA1" s="76" t="s">
        <v>2186</v>
      </c>
      <c r="HB1" s="76" t="s">
        <v>2187</v>
      </c>
      <c r="HC1" s="76" t="s">
        <v>2188</v>
      </c>
      <c r="HD1" s="76" t="s">
        <v>2189</v>
      </c>
      <c r="HE1" s="76" t="s">
        <v>2190</v>
      </c>
      <c r="HF1" s="76" t="s">
        <v>2191</v>
      </c>
      <c r="HG1" s="76" t="s">
        <v>2192</v>
      </c>
      <c r="HH1" s="76" t="s">
        <v>2193</v>
      </c>
      <c r="HI1" s="76" t="s">
        <v>2194</v>
      </c>
      <c r="HJ1" s="76" t="s">
        <v>2195</v>
      </c>
      <c r="HK1" s="76" t="s">
        <v>2196</v>
      </c>
      <c r="HL1" s="76" t="s">
        <v>2197</v>
      </c>
    </row>
    <row r="2" spans="1:220" x14ac:dyDescent="0.35">
      <c r="A2" s="57" t="s">
        <v>2198</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c r="HL2">
        <v>29354.3</v>
      </c>
    </row>
    <row r="3" spans="1:220" x14ac:dyDescent="0.35">
      <c r="A3" s="57" t="s">
        <v>2199</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c r="HL3">
        <v>23386.7</v>
      </c>
    </row>
    <row r="4" spans="1:220" x14ac:dyDescent="0.35">
      <c r="A4" s="57" t="s">
        <v>2200</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c r="HL4">
        <v>125.52800000000001</v>
      </c>
    </row>
    <row r="5" spans="1:220" x14ac:dyDescent="0.35">
      <c r="A5" s="57" t="s">
        <v>2201</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c r="HL5">
        <v>19928.2</v>
      </c>
    </row>
    <row r="6" spans="1:220" x14ac:dyDescent="0.35">
      <c r="A6" s="57" t="s">
        <v>2202</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c r="HL6">
        <v>16106.4</v>
      </c>
    </row>
    <row r="7" spans="1:220" x14ac:dyDescent="0.35">
      <c r="A7" s="57" t="s">
        <v>2203</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c r="HL7">
        <v>123.73399999999999</v>
      </c>
    </row>
    <row r="8" spans="1:220" x14ac:dyDescent="0.35">
      <c r="A8" s="57" t="s">
        <v>2204</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c r="HL8">
        <v>124.578</v>
      </c>
    </row>
    <row r="9" spans="1:220" x14ac:dyDescent="0.35">
      <c r="A9" s="57" t="s">
        <v>2205</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c r="HL9">
        <v>128.45500000000001</v>
      </c>
    </row>
    <row r="10" spans="1:220" x14ac:dyDescent="0.35">
      <c r="A10" s="57" t="s">
        <v>2206</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c r="HL10">
        <v>127.129</v>
      </c>
    </row>
    <row r="11" spans="1:220" x14ac:dyDescent="0.35">
      <c r="A11" s="57" t="s">
        <v>2207</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c r="HL11">
        <v>135.02500000000001</v>
      </c>
    </row>
    <row r="12" spans="1:220" x14ac:dyDescent="0.35">
      <c r="A12" s="57" t="s">
        <v>2208</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c r="HL12">
        <v>1090.2</v>
      </c>
    </row>
    <row r="13" spans="1:220" x14ac:dyDescent="0.35">
      <c r="A13" s="57" t="s">
        <v>2209</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c r="HL13">
        <v>919.4</v>
      </c>
    </row>
    <row r="14" spans="1:220" x14ac:dyDescent="0.35">
      <c r="A14" s="57" t="s">
        <v>2210</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c r="HL14">
        <v>35.700000000000003</v>
      </c>
    </row>
    <row r="15" spans="1:220" x14ac:dyDescent="0.35">
      <c r="A15" s="57" t="s">
        <v>2211</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c r="HL15">
        <v>4424.8999999999996</v>
      </c>
    </row>
    <row r="16" spans="1:220" x14ac:dyDescent="0.35">
      <c r="A16" s="57" t="s">
        <v>2212</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c r="HL16">
        <v>140.30000000000001</v>
      </c>
    </row>
    <row r="17" spans="1:220" x14ac:dyDescent="0.35">
      <c r="A17" s="57" t="s">
        <v>2213</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3005.4</v>
      </c>
      <c r="HL17">
        <v>3058.4</v>
      </c>
    </row>
    <row r="18" spans="1:220" x14ac:dyDescent="0.35">
      <c r="A18" s="57" t="s">
        <v>2214</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c r="HL18">
        <v>1979.1</v>
      </c>
    </row>
    <row r="19" spans="1:220" x14ac:dyDescent="0.35">
      <c r="A19" s="57" t="s">
        <v>2215</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c r="HL19">
        <v>647.9</v>
      </c>
    </row>
    <row r="20" spans="1:220" x14ac:dyDescent="0.35">
      <c r="A20" s="57" t="s">
        <v>2216</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c r="HL20">
        <v>5032.6000000000004</v>
      </c>
    </row>
    <row r="21" spans="1:220" x14ac:dyDescent="0.35">
      <c r="A21" s="57" t="s">
        <v>2217</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1896.1</v>
      </c>
      <c r="HL21">
        <v>1911.2</v>
      </c>
    </row>
    <row r="22" spans="1:220" x14ac:dyDescent="0.35">
      <c r="A22" s="57" t="s">
        <v>2218</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c r="HL22">
        <v>123.72799999999999</v>
      </c>
    </row>
    <row r="23" spans="1:220" x14ac:dyDescent="0.35">
      <c r="A23" s="57" t="s">
        <v>2219</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c r="HL23">
        <v>1893.4</v>
      </c>
    </row>
    <row r="24" spans="1:220" x14ac:dyDescent="0.35">
      <c r="A24" s="57" t="s">
        <v>2220</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c r="HL24">
        <v>3139.2</v>
      </c>
    </row>
    <row r="25" spans="1:220" x14ac:dyDescent="0.35">
      <c r="A25" s="57" t="s">
        <v>2221</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c r="HL25">
        <v>1519.9</v>
      </c>
    </row>
    <row r="26" spans="1:220" x14ac:dyDescent="0.35">
      <c r="A26" s="57" t="s">
        <v>2222</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c r="HL26">
        <v>2443.9</v>
      </c>
    </row>
    <row r="27" spans="1:220" x14ac:dyDescent="0.35">
      <c r="A27" s="57" t="s">
        <v>2223</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2375.4</v>
      </c>
      <c r="HL27">
        <v>2400.3000000000002</v>
      </c>
    </row>
    <row r="28" spans="1:220" x14ac:dyDescent="0.35">
      <c r="A28" s="57" t="s">
        <v>2224</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c r="HL28">
        <v>181.4</v>
      </c>
    </row>
    <row r="29" spans="1:220" x14ac:dyDescent="0.35">
      <c r="A29" s="57" t="s">
        <v>2225</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c r="HL29">
        <v>483.1</v>
      </c>
    </row>
    <row r="30" spans="1:220" x14ac:dyDescent="0.35">
      <c r="A30" s="57" t="s">
        <v>2226</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1869.4</v>
      </c>
      <c r="HL30">
        <v>1883.7</v>
      </c>
    </row>
    <row r="31" spans="1:220" x14ac:dyDescent="0.35">
      <c r="A31" s="57" t="s">
        <v>2227</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c r="HL31">
        <v>3283.9</v>
      </c>
    </row>
    <row r="32" spans="1:220" x14ac:dyDescent="0.35">
      <c r="A32" s="57" t="s">
        <v>2228</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c r="HL32">
        <v>981.6</v>
      </c>
    </row>
    <row r="33" spans="1:220" x14ac:dyDescent="0.35">
      <c r="A33" s="57" t="s">
        <v>2229</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c r="HL33">
        <v>658.1</v>
      </c>
    </row>
    <row r="34" spans="1:220" x14ac:dyDescent="0.35">
      <c r="A34" s="57" t="s">
        <v>2230</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c r="HL34">
        <v>1797.7</v>
      </c>
    </row>
    <row r="35" spans="1:220" x14ac:dyDescent="0.35">
      <c r="A35" s="57" t="s">
        <v>2231</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c r="HL35">
        <v>164.8</v>
      </c>
    </row>
    <row r="36" spans="1:220" x14ac:dyDescent="0.35">
      <c r="A36" s="57" t="s">
        <v>2232</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c r="HL36">
        <v>27.5</v>
      </c>
    </row>
    <row r="37" spans="1:220" x14ac:dyDescent="0.35">
      <c r="A37" s="57" t="s">
        <v>2233</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c r="HL37">
        <v>1141</v>
      </c>
    </row>
    <row r="38" spans="1:220" x14ac:dyDescent="0.35">
      <c r="A38" s="57" t="s">
        <v>2234</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c r="HL38">
        <v>4146.2</v>
      </c>
    </row>
    <row r="39" spans="1:220" x14ac:dyDescent="0.35">
      <c r="A39" s="57" t="s">
        <v>2235</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row>
    <row r="40" spans="1:220" x14ac:dyDescent="0.35">
      <c r="A40" s="57" t="s">
        <v>2236</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row>
    <row r="41" spans="1:220" x14ac:dyDescent="0.35">
      <c r="A41" s="57" t="s">
        <v>2237</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c r="HL41">
        <v>100.43</v>
      </c>
    </row>
    <row r="42" spans="1:220" x14ac:dyDescent="0.35">
      <c r="A42" s="57" t="s">
        <v>2238</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c r="HL42">
        <v>92.1</v>
      </c>
    </row>
    <row r="43" spans="1:220" x14ac:dyDescent="0.35">
      <c r="A43" s="57" t="s">
        <v>2239</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c r="HL43">
        <v>0.7</v>
      </c>
    </row>
    <row r="44" spans="1:220" x14ac:dyDescent="0.35">
      <c r="A44" s="57" t="s">
        <v>2240</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c r="HL44">
        <v>92.8</v>
      </c>
    </row>
    <row r="45" spans="1:220" x14ac:dyDescent="0.35">
      <c r="A45" s="57" t="s">
        <v>2241</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20" x14ac:dyDescent="0.35">
      <c r="A46" s="57" t="s">
        <v>2242</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20" x14ac:dyDescent="0.35">
      <c r="A47" s="57" t="s">
        <v>2243</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20" x14ac:dyDescent="0.35">
      <c r="A48" s="57" t="s">
        <v>2244</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2245</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2246</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2247</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2248</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2249</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2250</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2251</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2252</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2253</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2254</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2255</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2256</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2257</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2258</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2259</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2260</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20" x14ac:dyDescent="0.35">
      <c r="A65" s="57" t="s">
        <v>2261</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c r="HL65">
        <v>186.2</v>
      </c>
    </row>
    <row r="66" spans="1:220" x14ac:dyDescent="0.35">
      <c r="A66" s="57" t="s">
        <v>2262</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c r="HL66">
        <v>102.911</v>
      </c>
    </row>
    <row r="67" spans="1:220" x14ac:dyDescent="0.35">
      <c r="A67" s="57" t="s">
        <v>2263</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row>
    <row r="68" spans="1:220" x14ac:dyDescent="0.35">
      <c r="A68" s="57" t="s">
        <v>2264</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row>
    <row r="69" spans="1:220" x14ac:dyDescent="0.35">
      <c r="A69" s="57" t="s">
        <v>2265</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c r="HL69">
        <v>22800.6</v>
      </c>
    </row>
    <row r="70" spans="1:220" x14ac:dyDescent="0.35">
      <c r="A70" s="57" t="s">
        <v>2266</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c r="HL70">
        <v>28689.8</v>
      </c>
    </row>
    <row r="71" spans="1:220" x14ac:dyDescent="0.35">
      <c r="A71" s="57" t="s">
        <v>2267</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c r="HL71">
        <v>-1</v>
      </c>
    </row>
    <row r="72" spans="1:220" x14ac:dyDescent="0.35">
      <c r="A72" s="57" t="s">
        <v>2268</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c r="HL72">
        <v>5472.6666666666697</v>
      </c>
    </row>
    <row r="73" spans="1:220" x14ac:dyDescent="0.35">
      <c r="A73" s="57" t="s">
        <v>2269</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c r="HL73">
        <v>14912</v>
      </c>
    </row>
    <row r="74" spans="1:220" x14ac:dyDescent="0.35">
      <c r="A74" s="57" t="s">
        <v>2270</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c r="HL74">
        <v>457395</v>
      </c>
    </row>
    <row r="75" spans="1:220" x14ac:dyDescent="0.35">
      <c r="A75" s="57" t="s">
        <v>2271</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4.6901762417763697E-3</v>
      </c>
    </row>
    <row r="76" spans="1:220" x14ac:dyDescent="0.35">
      <c r="A76" s="57" t="s">
        <v>2272</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3.7233826809977E-3</v>
      </c>
    </row>
    <row r="77" spans="1:220" x14ac:dyDescent="0.35">
      <c r="A77" s="57" t="s">
        <v>2273</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6.0811629315566896E-3</v>
      </c>
    </row>
    <row r="78" spans="1:220" x14ac:dyDescent="0.35">
      <c r="A78" s="57" t="s">
        <v>2274</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5.7547760726590598E-3</v>
      </c>
    </row>
    <row r="79" spans="1:220" x14ac:dyDescent="0.35">
      <c r="A79" s="57" t="s">
        <v>2275</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5.2345671202764796E-3</v>
      </c>
    </row>
    <row r="80" spans="1:220" x14ac:dyDescent="0.35">
      <c r="A80" s="57" t="s">
        <v>2276</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7.9275620880392399E-3</v>
      </c>
    </row>
    <row r="81" spans="1:220" x14ac:dyDescent="0.35">
      <c r="A81" s="57" t="s">
        <v>2277</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12363.5</v>
      </c>
      <c r="HL81">
        <v>12478.5</v>
      </c>
    </row>
    <row r="82" spans="1:220" x14ac:dyDescent="0.35">
      <c r="A82" s="57" t="s">
        <v>2278</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c r="HL82">
        <v>2009.5</v>
      </c>
    </row>
    <row r="83" spans="1:220" x14ac:dyDescent="0.35">
      <c r="A83" s="57" t="s">
        <v>2279</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c r="HL83">
        <v>1055.7</v>
      </c>
    </row>
    <row r="84" spans="1:220" x14ac:dyDescent="0.35">
      <c r="A84" s="57" t="s">
        <v>2280</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c r="HL84">
        <v>3938.8</v>
      </c>
    </row>
    <row r="85" spans="1:220" x14ac:dyDescent="0.35">
      <c r="A85" s="57" t="s">
        <v>2281</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c r="HL85">
        <v>3365.5</v>
      </c>
    </row>
    <row r="86" spans="1:220" x14ac:dyDescent="0.35">
      <c r="A86" s="57" t="s">
        <v>2282</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20" x14ac:dyDescent="0.35">
      <c r="A87" s="57" t="s">
        <v>2283</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20" ht="19.399999999999999" customHeight="1" x14ac:dyDescent="0.35">
      <c r="A88" s="57" t="s">
        <v>2284</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c r="HL88">
        <v>1453206</v>
      </c>
    </row>
    <row r="89" spans="1:220" x14ac:dyDescent="0.35">
      <c r="A89" s="57" t="s">
        <v>2285</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F23" sqref="F23"/>
    </sheetView>
  </sheetViews>
  <sheetFormatPr defaultColWidth="10.90625" defaultRowHeight="14.5" x14ac:dyDescent="0.35"/>
  <cols>
    <col min="1" max="1" width="33" customWidth="1"/>
    <col min="2" max="3" width="27.1796875" customWidth="1"/>
  </cols>
  <sheetData>
    <row r="1" spans="1:22" x14ac:dyDescent="0.35">
      <c r="A1" s="76" t="s">
        <v>178</v>
      </c>
      <c r="B1" s="76" t="s">
        <v>179</v>
      </c>
      <c r="C1" s="76" t="s">
        <v>1132</v>
      </c>
      <c r="D1" s="70" t="s">
        <v>247</v>
      </c>
      <c r="E1" s="70" t="s">
        <v>248</v>
      </c>
      <c r="F1" s="70" t="s">
        <v>1945</v>
      </c>
      <c r="G1" s="70" t="s">
        <v>250</v>
      </c>
      <c r="H1" s="70" t="s">
        <v>180</v>
      </c>
      <c r="I1" s="70" t="s">
        <v>181</v>
      </c>
      <c r="J1" s="70" t="s">
        <v>1946</v>
      </c>
      <c r="K1" s="70" t="s">
        <v>183</v>
      </c>
      <c r="L1" s="70" t="s">
        <v>184</v>
      </c>
      <c r="M1" s="70" t="s">
        <v>185</v>
      </c>
      <c r="N1" s="70" t="s">
        <v>1947</v>
      </c>
      <c r="O1" s="70" t="s">
        <v>187</v>
      </c>
      <c r="P1" s="70" t="s">
        <v>188</v>
      </c>
      <c r="Q1" s="70" t="s">
        <v>189</v>
      </c>
      <c r="R1" s="70" t="s">
        <v>1904</v>
      </c>
      <c r="S1" s="70" t="s">
        <v>191</v>
      </c>
      <c r="T1" s="70" t="s">
        <v>175</v>
      </c>
      <c r="U1" s="70"/>
      <c r="V1" s="70"/>
    </row>
    <row r="2" spans="1:22" ht="29.15" customHeight="1" x14ac:dyDescent="0.35">
      <c r="A2" s="14" t="s">
        <v>251</v>
      </c>
      <c r="B2" t="s">
        <v>252</v>
      </c>
      <c r="C2">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71">
        <f>Grants!W73</f>
        <v>417.68194400000004</v>
      </c>
      <c r="Q2" s="71">
        <f>Grants!X73</f>
        <v>432.29994399999998</v>
      </c>
      <c r="R2" s="71">
        <f>Grants!Y73</f>
        <v>434.70694400000002</v>
      </c>
      <c r="S2" s="71">
        <f>Grants!Z73</f>
        <v>440.59710899999999</v>
      </c>
      <c r="T2" s="71">
        <f>Grants!AA73</f>
        <v>461.9273300000001</v>
      </c>
    </row>
    <row r="3" spans="1:22" ht="29.15" customHeight="1" x14ac:dyDescent="0.35">
      <c r="A3" s="14" t="s">
        <v>791</v>
      </c>
      <c r="B3" t="s">
        <v>788</v>
      </c>
      <c r="C3">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71">
        <f>'Social Benefits'!W33</f>
        <v>2013.7240000000002</v>
      </c>
      <c r="Q3" s="71">
        <f>'Social Benefits'!X33</f>
        <v>2019.2990000000002</v>
      </c>
      <c r="R3" s="71">
        <f>'Social Benefits'!Y33</f>
        <v>2111.2989999999995</v>
      </c>
      <c r="S3" s="71">
        <f>'Social Benefits'!Z33</f>
        <v>2135.3989999999999</v>
      </c>
      <c r="T3" s="71">
        <f>'Social Benefits'!AA33</f>
        <v>2152.299</v>
      </c>
    </row>
    <row r="4" spans="1:22" ht="29.15" customHeight="1" x14ac:dyDescent="0.35">
      <c r="A4" s="14" t="s">
        <v>793</v>
      </c>
      <c r="B4" t="s">
        <v>789</v>
      </c>
      <c r="C4">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71">
        <f>'Social Benefits'!W24</f>
        <v>12</v>
      </c>
      <c r="Q4" s="71">
        <f>'Social Benefits'!X24</f>
        <v>4.2219999999999995</v>
      </c>
      <c r="R4" s="71">
        <f>'Social Benefits'!Y24</f>
        <v>4.2219999999999995</v>
      </c>
      <c r="S4" s="71">
        <f>'Social Benefits'!Z24</f>
        <v>4.2219999999999995</v>
      </c>
      <c r="T4" s="71">
        <f>'Social Benefits'!AA24</f>
        <v>4.2219999999999995</v>
      </c>
    </row>
    <row r="5" spans="1:22" x14ac:dyDescent="0.35">
      <c r="A5" s="14" t="s">
        <v>792</v>
      </c>
      <c r="B5" t="s">
        <v>790</v>
      </c>
      <c r="C5">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71">
        <f>'Social Benefits'!W30</f>
        <v>1.4159999999999999</v>
      </c>
      <c r="Q5" s="71">
        <f>'Social Benefits'!X30</f>
        <v>1.4790000000000001</v>
      </c>
      <c r="R5" s="71">
        <f>'Social Benefits'!Y30</f>
        <v>1.4790000000000001</v>
      </c>
      <c r="S5" s="71">
        <f>'Social Benefits'!Z30</f>
        <v>1.4790000000000001</v>
      </c>
      <c r="T5" s="71">
        <f>'Social Benefits'!AA30</f>
        <v>1.4790000000000001</v>
      </c>
    </row>
    <row r="6" spans="1:22" x14ac:dyDescent="0.35">
      <c r="A6" s="57" t="s">
        <v>201</v>
      </c>
      <c r="B6" s="57" t="s">
        <v>827</v>
      </c>
      <c r="C6" s="57">
        <v>0</v>
      </c>
      <c r="D6" s="74">
        <f>Subsidies!K45</f>
        <v>0</v>
      </c>
      <c r="E6" s="74">
        <f>Subsidies!L45</f>
        <v>0</v>
      </c>
      <c r="F6" s="74">
        <f>Subsidies!M45</f>
        <v>0</v>
      </c>
      <c r="G6" s="74">
        <f>Subsidies!N45</f>
        <v>58.782959999999989</v>
      </c>
      <c r="H6" s="74">
        <f>Subsidies!O45</f>
        <v>267.78904</v>
      </c>
      <c r="I6" s="74">
        <f>Subsidies!P45</f>
        <v>110.24799999999999</v>
      </c>
      <c r="J6" s="74">
        <f>Subsidies!Q45</f>
        <v>110.24799999999999</v>
      </c>
      <c r="K6" s="74">
        <f>Subsidies!R45</f>
        <v>110.24799999999999</v>
      </c>
      <c r="L6" s="74">
        <f>Subsidies!S45</f>
        <v>110.24799999999999</v>
      </c>
      <c r="M6" s="74">
        <f>Subsidies!T45</f>
        <v>12.726000000000001</v>
      </c>
      <c r="N6" s="74">
        <f>Subsidies!U45</f>
        <v>12.726000000000001</v>
      </c>
      <c r="O6" s="74">
        <f>Subsidies!V45</f>
        <v>12.726000000000001</v>
      </c>
      <c r="P6" s="72">
        <f>Subsidies!W45</f>
        <v>12.726000000000001</v>
      </c>
      <c r="Q6" s="72">
        <f>Subsidies!X45</f>
        <v>1.365</v>
      </c>
      <c r="R6" s="72">
        <f>Subsidies!Y45</f>
        <v>1.365</v>
      </c>
      <c r="S6" s="72">
        <f>Subsidies!Z45</f>
        <v>1.365</v>
      </c>
      <c r="T6" s="72">
        <f>Subsidies!AA45</f>
        <v>1.365</v>
      </c>
    </row>
    <row r="7" spans="1:22" ht="29.15" customHeight="1" x14ac:dyDescent="0.35">
      <c r="A7" s="14" t="s">
        <v>866</v>
      </c>
      <c r="B7" t="s">
        <v>864</v>
      </c>
      <c r="C7" t="e">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71" t="e">
        <f>Taxes!#REF!</f>
        <v>#REF!</v>
      </c>
      <c r="Q7" s="71" t="e">
        <f>Taxes!#REF!</f>
        <v>#REF!</v>
      </c>
      <c r="R7" s="71" t="e">
        <f>Taxes!#REF!</f>
        <v>#REF!</v>
      </c>
      <c r="S7" s="71" t="e">
        <f>Taxes!#REF!</f>
        <v>#REF!</v>
      </c>
      <c r="T7" s="71" t="e">
        <f>Taxes!#REF!</f>
        <v>#REF!</v>
      </c>
    </row>
    <row r="8" spans="1:22" x14ac:dyDescent="0.35">
      <c r="A8" t="s">
        <v>867</v>
      </c>
      <c r="B8" t="s">
        <v>865</v>
      </c>
      <c r="D8" s="57"/>
      <c r="E8" s="57"/>
      <c r="F8" s="57"/>
      <c r="G8" s="57"/>
      <c r="H8" s="57"/>
      <c r="J8" s="75"/>
      <c r="K8" s="75"/>
      <c r="L8" s="75"/>
      <c r="M8" s="75"/>
      <c r="N8" s="75" t="e">
        <f>forecast!#REF!</f>
        <v>#REF!</v>
      </c>
      <c r="O8" s="75" t="e">
        <f>forecast!#REF!</f>
        <v>#REF!</v>
      </c>
      <c r="P8" s="73" t="e">
        <f>forecast!#REF!</f>
        <v>#REF!</v>
      </c>
      <c r="Q8" s="73" t="e">
        <f>forecast!#REF!</f>
        <v>#REF!</v>
      </c>
      <c r="R8" s="73" t="e">
        <f>forecast!#REF!</f>
        <v>#REF!</v>
      </c>
      <c r="S8" s="73" t="e">
        <f>forecast!#REF!</f>
        <v>#REF!</v>
      </c>
      <c r="T8" s="73" t="e">
        <f>forecast!#REF!</f>
        <v>#REF!</v>
      </c>
    </row>
    <row r="9" spans="1:22" x14ac:dyDescent="0.35">
      <c r="A9" s="14" t="s">
        <v>922</v>
      </c>
      <c r="B9" t="s">
        <v>923</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71">
        <f>Grants!W94</f>
        <v>76.022000000000006</v>
      </c>
      <c r="Q9" s="71">
        <f>Grants!X94</f>
        <v>77.680999999999997</v>
      </c>
      <c r="R9" s="71">
        <f>Grants!Y94</f>
        <v>77.680999999999997</v>
      </c>
      <c r="S9" s="71">
        <f>Grants!Z94</f>
        <v>77.680999999999997</v>
      </c>
      <c r="T9" s="71">
        <f>Grants!AA94</f>
        <v>77.680999999999997</v>
      </c>
    </row>
    <row r="10" spans="1:22" x14ac:dyDescent="0.35">
      <c r="A10" t="s">
        <v>1882</v>
      </c>
      <c r="B10" t="s">
        <v>1883</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71">
        <f>'Supply Side IRA'!W14</f>
        <v>61.987213658131367</v>
      </c>
      <c r="Q10" s="71">
        <f>'Supply Side IRA'!X14</f>
        <v>68.242948360645812</v>
      </c>
      <c r="R10" s="71">
        <f>'Supply Side IRA'!Y14</f>
        <v>77.930141971370887</v>
      </c>
      <c r="S10" s="71">
        <f>'Supply Side IRA'!Z14</f>
        <v>85.479458631542002</v>
      </c>
      <c r="T10" s="71">
        <f>'Supply Side IRA'!AA14</f>
        <v>79.813256511764848</v>
      </c>
    </row>
    <row r="11" spans="1:22" x14ac:dyDescent="0.35">
      <c r="A11" s="14" t="s">
        <v>1886</v>
      </c>
      <c r="B11" t="s">
        <v>1887</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1">
        <f>'Student loans'!W11</f>
        <v>2.0815079999999999</v>
      </c>
      <c r="Q11" s="71">
        <f>'Student loans'!X11</f>
        <v>2.1006180000000003</v>
      </c>
      <c r="R11" s="71">
        <f>'Student loans'!Y11</f>
        <v>2.5815300000000003</v>
      </c>
      <c r="S11" s="71">
        <f>'Student loans'!Z11</f>
        <v>2.6040450000000002</v>
      </c>
      <c r="T11" s="71">
        <f>'Student loans'!AA11</f>
        <v>2.626465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28"/>
  <sheetViews>
    <sheetView zoomScale="115" zoomScaleNormal="115" workbookViewId="0">
      <selection activeCell="E28" sqref="E28"/>
    </sheetView>
  </sheetViews>
  <sheetFormatPr defaultColWidth="10.90625" defaultRowHeight="14.5" x14ac:dyDescent="0.35"/>
  <cols>
    <col min="2" max="2" width="39.453125" customWidth="1"/>
    <col min="3" max="3" width="20.1796875" customWidth="1"/>
    <col min="7" max="7" width="12.453125" customWidth="1"/>
  </cols>
  <sheetData>
    <row r="2" spans="2:12" x14ac:dyDescent="0.35">
      <c r="B2" s="1245" t="s">
        <v>2294</v>
      </c>
      <c r="C2" s="1245"/>
      <c r="D2" s="1245"/>
      <c r="E2" s="1245"/>
      <c r="F2" s="1245"/>
      <c r="G2" s="1245"/>
      <c r="H2" s="1245"/>
      <c r="I2" s="1245"/>
      <c r="J2" s="1245"/>
      <c r="K2" s="1245"/>
      <c r="L2" s="1245"/>
    </row>
    <row r="3" spans="2:12" x14ac:dyDescent="0.35">
      <c r="B3" t="str">
        <f>forecast!A1</f>
        <v>name</v>
      </c>
      <c r="C3" t="str">
        <f>forecast!B1</f>
        <v>variable</v>
      </c>
      <c r="D3" t="s">
        <v>175</v>
      </c>
      <c r="E3" t="s">
        <v>176</v>
      </c>
      <c r="F3" t="s">
        <v>177</v>
      </c>
      <c r="G3" t="s">
        <v>764</v>
      </c>
      <c r="H3" t="s">
        <v>765</v>
      </c>
      <c r="I3" t="s">
        <v>766</v>
      </c>
      <c r="J3" t="s">
        <v>1156</v>
      </c>
      <c r="K3" t="s">
        <v>1157</v>
      </c>
      <c r="L3" t="s">
        <v>1158</v>
      </c>
    </row>
    <row r="4" spans="2:12" x14ac:dyDescent="0.35">
      <c r="B4" t="str">
        <f>forecast!A2</f>
        <v>Consumption Grants</v>
      </c>
      <c r="C4" t="str">
        <f>forecast!B2</f>
        <v>consumption_grants</v>
      </c>
      <c r="D4" s="77">
        <f>forecast!C2</f>
        <v>461.9273300000001</v>
      </c>
      <c r="E4" s="77">
        <f>forecast!D2</f>
        <v>467.08702588368681</v>
      </c>
      <c r="F4" s="77">
        <f>forecast!E2</f>
        <v>450.66879697830359</v>
      </c>
      <c r="G4" s="77">
        <f>forecast!F2</f>
        <v>446.4122085701693</v>
      </c>
      <c r="H4" s="77">
        <f>forecast!G2</f>
        <v>449.361288</v>
      </c>
      <c r="I4" s="77">
        <f>forecast!H2</f>
        <v>448.45372699103427</v>
      </c>
      <c r="J4" s="77">
        <f>forecast!I2</f>
        <v>451.58735077743574</v>
      </c>
      <c r="K4" s="77">
        <f>forecast!J2</f>
        <v>451.94885143297614</v>
      </c>
      <c r="L4" s="77">
        <f>forecast!K2</f>
        <v>456.14453320000007</v>
      </c>
    </row>
    <row r="5" spans="2:12" x14ac:dyDescent="0.35">
      <c r="B5" t="str">
        <f>forecast!A3</f>
        <v>Investment Grants</v>
      </c>
      <c r="C5" t="str">
        <f>forecast!B3</f>
        <v>investment_grants</v>
      </c>
      <c r="D5" s="77">
        <f>forecast!C3</f>
        <v>77.680999999999997</v>
      </c>
      <c r="E5" s="77">
        <f>forecast!D3</f>
        <v>79.275000000000006</v>
      </c>
      <c r="F5" s="77">
        <f>forecast!E3</f>
        <v>79.275000000000006</v>
      </c>
      <c r="G5" s="77">
        <f>forecast!F3</f>
        <v>75.203000000000003</v>
      </c>
      <c r="H5" s="77">
        <f>forecast!G3</f>
        <v>75.203000000000003</v>
      </c>
      <c r="I5" s="77">
        <f>forecast!H3</f>
        <v>75.203000000000003</v>
      </c>
      <c r="J5" s="77">
        <f>forecast!I3</f>
        <v>75.203000000000003</v>
      </c>
      <c r="K5" s="77">
        <f>forecast!J3</f>
        <v>75.203000000000003</v>
      </c>
      <c r="L5" s="77">
        <f>forecast!K3</f>
        <v>75.203000000000003</v>
      </c>
    </row>
    <row r="6" spans="2:12" x14ac:dyDescent="0.35">
      <c r="B6" t="str">
        <f>forecast!A4</f>
        <v>Federal Purchases (NIPA Consistent)</v>
      </c>
      <c r="C6" t="str">
        <f>forecast!B4</f>
        <v>federal_purchases</v>
      </c>
      <c r="D6" s="77">
        <f>forecast!C4</f>
        <v>1893.4</v>
      </c>
      <c r="E6" s="77">
        <f>forecast!D4</f>
        <v>1885.0932092153364</v>
      </c>
      <c r="F6" s="77">
        <f>forecast!E4</f>
        <v>1907.3318350055031</v>
      </c>
      <c r="G6" s="77">
        <f>forecast!F4</f>
        <v>1930.4539814256966</v>
      </c>
      <c r="H6" s="77">
        <f>forecast!G4</f>
        <v>1954.1589232689989</v>
      </c>
      <c r="I6" s="77">
        <f>forecast!H4</f>
        <v>1968.1128918813563</v>
      </c>
      <c r="J6" s="77">
        <f>forecast!I4</f>
        <v>1980.7151810614209</v>
      </c>
      <c r="K6" s="77">
        <f>forecast!J4</f>
        <v>1995.6774527229115</v>
      </c>
      <c r="L6" s="77">
        <f>forecast!K4</f>
        <v>2009.4002299861645</v>
      </c>
    </row>
    <row r="7" spans="2:12" x14ac:dyDescent="0.35">
      <c r="B7" t="str">
        <f>forecast!A5</f>
        <v>State Purchases (NIPA Consistent)</v>
      </c>
      <c r="C7" t="str">
        <f>forecast!B5</f>
        <v>state_purchases</v>
      </c>
      <c r="D7" s="77">
        <f>forecast!C5</f>
        <v>3139.2</v>
      </c>
      <c r="E7" s="77">
        <f>forecast!D5</f>
        <v>3167.8890051480512</v>
      </c>
      <c r="F7" s="77">
        <f>forecast!E5</f>
        <v>3195.5601505741402</v>
      </c>
      <c r="G7" s="77">
        <f>forecast!F5</f>
        <v>3223.3640305199597</v>
      </c>
      <c r="H7" s="77">
        <f>forecast!G5</f>
        <v>3250.1606901215455</v>
      </c>
      <c r="I7" s="77">
        <f>forecast!H5</f>
        <v>3276.9343811976842</v>
      </c>
      <c r="J7" s="77">
        <f>forecast!I5</f>
        <v>3304.8234959558649</v>
      </c>
      <c r="K7" s="77">
        <f>forecast!J5</f>
        <v>3332.329586248482</v>
      </c>
      <c r="L7" s="77">
        <f>forecast!K5</f>
        <v>3360.1458694161415</v>
      </c>
    </row>
    <row r="8" spans="2:12" x14ac:dyDescent="0.35">
      <c r="B8" t="str">
        <f>forecast!A6</f>
        <v>Non-ARP Subsidies + ARP Provider Relief and PPP</v>
      </c>
      <c r="C8" t="str">
        <f>forecast!B6</f>
        <v>federal_subsidies</v>
      </c>
      <c r="D8" s="77">
        <f>forecast!C6</f>
        <v>90.734999999999999</v>
      </c>
      <c r="E8" s="77">
        <f>forecast!D6</f>
        <v>97.833999999999989</v>
      </c>
      <c r="F8" s="77">
        <f>forecast!E6</f>
        <v>97.833999999999989</v>
      </c>
      <c r="G8" s="77">
        <f>forecast!F6</f>
        <v>89.811999999999998</v>
      </c>
      <c r="H8" s="77">
        <f>forecast!G6</f>
        <v>89.811999999999998</v>
      </c>
      <c r="I8" s="77">
        <f>forecast!H6</f>
        <v>94.150999999999996</v>
      </c>
      <c r="J8" s="77">
        <f>forecast!I6</f>
        <v>92.000999999999991</v>
      </c>
      <c r="K8" s="77">
        <f>forecast!J6</f>
        <v>92.000999999999991</v>
      </c>
      <c r="L8" s="77">
        <f>forecast!K6</f>
        <v>0</v>
      </c>
    </row>
    <row r="9" spans="2:12" x14ac:dyDescent="0.35">
      <c r="B9" t="str">
        <f>forecast!A7</f>
        <v>ARP Subsidies less Provider Relief and PPP</v>
      </c>
      <c r="C9" t="str">
        <f>forecast!B7</f>
        <v>federal_aid_to_small_businesses_arp</v>
      </c>
      <c r="D9" s="77">
        <f>forecast!C7</f>
        <v>1.365</v>
      </c>
      <c r="E9" s="77">
        <f>forecast!D7</f>
        <v>-0.90100000000000025</v>
      </c>
      <c r="F9" s="77">
        <f>forecast!E7</f>
        <v>-0.90100000000000025</v>
      </c>
      <c r="G9" s="77">
        <f>forecast!F7</f>
        <v>-0.90100000000000025</v>
      </c>
      <c r="H9" s="77">
        <f>forecast!G7</f>
        <v>-0.90100000000000025</v>
      </c>
      <c r="I9" s="77">
        <f>forecast!H7</f>
        <v>-2.1500000000000004</v>
      </c>
      <c r="J9" s="77">
        <f>forecast!I7</f>
        <v>0</v>
      </c>
      <c r="K9" s="77">
        <f>forecast!J7</f>
        <v>0</v>
      </c>
      <c r="L9" s="77">
        <f>forecast!K7</f>
        <v>0</v>
      </c>
    </row>
    <row r="10" spans="2:12" x14ac:dyDescent="0.35">
      <c r="B10" t="str">
        <f>forecast!A8</f>
        <v>Federal UI</v>
      </c>
      <c r="C10" t="str">
        <f>forecast!B8</f>
        <v>federal_ui</v>
      </c>
      <c r="D10" s="77">
        <f>forecast!C8</f>
        <v>0</v>
      </c>
      <c r="E10" s="77">
        <f>forecast!D8</f>
        <v>0</v>
      </c>
      <c r="F10" s="77">
        <f>forecast!E8</f>
        <v>0</v>
      </c>
      <c r="G10" s="77">
        <f>forecast!F8</f>
        <v>0</v>
      </c>
      <c r="H10" s="77">
        <f>forecast!G8</f>
        <v>0</v>
      </c>
      <c r="I10" s="77">
        <f>forecast!H8</f>
        <v>0</v>
      </c>
      <c r="J10" s="77">
        <f>forecast!I8</f>
        <v>0</v>
      </c>
      <c r="K10" s="77">
        <f>forecast!J8</f>
        <v>0</v>
      </c>
      <c r="L10" s="77">
        <f>forecast!K8</f>
        <v>0</v>
      </c>
    </row>
    <row r="11" spans="2:12" x14ac:dyDescent="0.35">
      <c r="B11" t="str">
        <f>forecast!A9</f>
        <v>State UI</v>
      </c>
      <c r="C11" t="str">
        <f>forecast!B9</f>
        <v>state_ui</v>
      </c>
      <c r="D11" s="77">
        <f>forecast!C9</f>
        <v>35.700000000000003</v>
      </c>
      <c r="E11" s="77">
        <f>forecast!D9</f>
        <v>35.700000000000003</v>
      </c>
      <c r="F11" s="77">
        <f>forecast!E9</f>
        <v>35.700000000000003</v>
      </c>
      <c r="G11" s="77">
        <f>forecast!F9</f>
        <v>35.700000000000003</v>
      </c>
      <c r="H11" s="77">
        <f>forecast!G9</f>
        <v>35.700000000000003</v>
      </c>
      <c r="I11" s="77">
        <f>forecast!H9</f>
        <v>35.700000000000003</v>
      </c>
      <c r="J11" s="77">
        <f>forecast!I9</f>
        <v>35.700000000000003</v>
      </c>
      <c r="K11" s="77">
        <f>forecast!J9</f>
        <v>35.700000000000003</v>
      </c>
      <c r="L11" s="77">
        <f>forecast!K9</f>
        <v>35.700000000000003</v>
      </c>
    </row>
    <row r="12" spans="2:12" x14ac:dyDescent="0.35">
      <c r="B12" t="str">
        <f>forecast!A10</f>
        <v>Federal Medicaid</v>
      </c>
      <c r="C12" t="str">
        <f>forecast!B10</f>
        <v>medicaid_grants</v>
      </c>
      <c r="D12" s="77">
        <f>forecast!C10</f>
        <v>641.23699999999997</v>
      </c>
      <c r="E12" s="77">
        <f>forecast!D10</f>
        <v>647.0186874478452</v>
      </c>
      <c r="F12" s="77">
        <f>forecast!E10</f>
        <v>647.9263242456733</v>
      </c>
      <c r="G12" s="77">
        <f>forecast!F10</f>
        <v>650.23013747271261</v>
      </c>
      <c r="H12" s="77">
        <f>forecast!G10</f>
        <v>652.53718248532573</v>
      </c>
      <c r="I12" s="77">
        <f>forecast!H10</f>
        <v>656.89001322191177</v>
      </c>
      <c r="J12" s="77">
        <f>forecast!I10</f>
        <v>661.26257518340458</v>
      </c>
      <c r="K12" s="77">
        <f>forecast!J10</f>
        <v>665.65495781073582</v>
      </c>
      <c r="L12" s="77">
        <f>forecast!K10</f>
        <v>670.06725095026979</v>
      </c>
    </row>
    <row r="13" spans="2:12" x14ac:dyDescent="0.35">
      <c r="B13" t="str">
        <f>forecast!A11</f>
        <v>Total Medicaid</v>
      </c>
      <c r="C13" t="str">
        <f>forecast!B11</f>
        <v>medicaid</v>
      </c>
      <c r="D13" s="77">
        <f>forecast!C11</f>
        <v>919.4</v>
      </c>
      <c r="E13" s="77">
        <f>forecast!D11</f>
        <v>927.68973287497272</v>
      </c>
      <c r="F13" s="77">
        <f>forecast!E11</f>
        <v>928.99109457419343</v>
      </c>
      <c r="G13" s="77">
        <f>forecast!F11</f>
        <v>932.2942818215605</v>
      </c>
      <c r="H13" s="77">
        <f>forecast!G11</f>
        <v>935.60210277480644</v>
      </c>
      <c r="I13" s="77">
        <f>forecast!H11</f>
        <v>941.84315339917327</v>
      </c>
      <c r="J13" s="77">
        <f>forecast!I11</f>
        <v>948.1124944811703</v>
      </c>
      <c r="K13" s="77">
        <f>forecast!J11</f>
        <v>954.41025426042256</v>
      </c>
      <c r="L13" s="77">
        <f>forecast!K11</f>
        <v>960.73656155786091</v>
      </c>
    </row>
    <row r="14" spans="2:12" x14ac:dyDescent="0.35">
      <c r="B14" t="str">
        <f>forecast!A12</f>
        <v>Medicare</v>
      </c>
      <c r="C14" t="str">
        <f>forecast!B12</f>
        <v>medicare</v>
      </c>
      <c r="D14" s="77">
        <f>forecast!C12</f>
        <v>1090.2</v>
      </c>
      <c r="E14" s="77">
        <f>forecast!D12</f>
        <v>1116.0159349148526</v>
      </c>
      <c r="F14" s="77">
        <f>forecast!E12</f>
        <v>1130.1590311547368</v>
      </c>
      <c r="G14" s="77">
        <f>forecast!F12</f>
        <v>1144.4813606519542</v>
      </c>
      <c r="H14" s="77">
        <f>forecast!G12</f>
        <v>1158.9851948016783</v>
      </c>
      <c r="I14" s="77">
        <f>forecast!H12</f>
        <v>1177.2271936647621</v>
      </c>
      <c r="J14" s="77">
        <f>forecast!I12</f>
        <v>1195.7563148517663</v>
      </c>
      <c r="K14" s="77">
        <f>forecast!J12</f>
        <v>1214.5770775620128</v>
      </c>
      <c r="L14" s="77">
        <f>forecast!K12</f>
        <v>1233.6940721253518</v>
      </c>
    </row>
    <row r="15" spans="2:12" x14ac:dyDescent="0.35">
      <c r="B15" t="str">
        <f>forecast!A13</f>
        <v>Non-ARP Rebate Checks</v>
      </c>
      <c r="C15" t="str">
        <f>forecast!B13</f>
        <v>rebate_checks</v>
      </c>
      <c r="D15" s="77">
        <f>forecast!C13</f>
        <v>0</v>
      </c>
      <c r="E15" s="77">
        <f>forecast!D13</f>
        <v>0</v>
      </c>
      <c r="F15" s="77">
        <f>forecast!E13</f>
        <v>0</v>
      </c>
      <c r="G15" s="77">
        <f>forecast!F13</f>
        <v>0</v>
      </c>
      <c r="H15" s="77">
        <f>forecast!G13</f>
        <v>0</v>
      </c>
      <c r="I15" s="77">
        <f>forecast!H13</f>
        <v>0</v>
      </c>
      <c r="J15" s="77">
        <f>forecast!I13</f>
        <v>0</v>
      </c>
      <c r="K15" s="77">
        <f>forecast!J13</f>
        <v>0</v>
      </c>
      <c r="L15" s="77">
        <f>forecast!K13</f>
        <v>0</v>
      </c>
    </row>
    <row r="16" spans="2:12" x14ac:dyDescent="0.35">
      <c r="B16" t="str">
        <f>forecast!A14</f>
        <v>ARP Rebate Checks</v>
      </c>
      <c r="C16" t="str">
        <f>forecast!B14</f>
        <v>rebate_checks_arp</v>
      </c>
      <c r="D16" s="77">
        <f>forecast!C14</f>
        <v>0</v>
      </c>
      <c r="E16" s="77">
        <f>forecast!D14</f>
        <v>0</v>
      </c>
      <c r="F16" s="77">
        <f>forecast!E14</f>
        <v>0</v>
      </c>
      <c r="G16" s="77">
        <f>forecast!F14</f>
        <v>0</v>
      </c>
      <c r="H16" s="77">
        <f>forecast!G14</f>
        <v>0</v>
      </c>
      <c r="I16" s="77">
        <f>forecast!H14</f>
        <v>0</v>
      </c>
      <c r="J16" s="77">
        <f>forecast!I14</f>
        <v>0</v>
      </c>
      <c r="K16" s="77">
        <f>forecast!J14</f>
        <v>0</v>
      </c>
      <c r="L16" s="77">
        <f>forecast!K14</f>
        <v>0</v>
      </c>
    </row>
    <row r="17" spans="2:12" x14ac:dyDescent="0.35">
      <c r="B17" t="str">
        <f>forecast!A15</f>
        <v>ARP Other Vulnerable</v>
      </c>
      <c r="C17" t="str">
        <f>forecast!B15</f>
        <v>federal_other_vulnerable_arp</v>
      </c>
      <c r="D17" s="77">
        <f>forecast!C15</f>
        <v>4.2219999999999995</v>
      </c>
      <c r="E17" s="77">
        <f>forecast!D15</f>
        <v>2.3719999999999999</v>
      </c>
      <c r="F17" s="77">
        <f>forecast!E15</f>
        <v>2.3719999999999999</v>
      </c>
      <c r="G17" s="77">
        <f>forecast!F15</f>
        <v>2.3719999999999999</v>
      </c>
      <c r="H17" s="77">
        <f>forecast!G15</f>
        <v>2.3719999999999999</v>
      </c>
      <c r="I17" s="77">
        <f>forecast!H15</f>
        <v>0.49</v>
      </c>
      <c r="J17" s="77">
        <f>forecast!I15</f>
        <v>0</v>
      </c>
      <c r="K17" s="77">
        <f>forecast!J15</f>
        <v>0</v>
      </c>
      <c r="L17" s="77">
        <f>forecast!K15</f>
        <v>0</v>
      </c>
    </row>
    <row r="18" spans="2:12" x14ac:dyDescent="0.35">
      <c r="B18" t="str">
        <f>forecast!A16</f>
        <v xml:space="preserve">ARP Other Direct Aid plus Provider Relief </v>
      </c>
      <c r="C18" t="str">
        <f>forecast!B16</f>
        <v>federal_other_direct_aid_arp</v>
      </c>
      <c r="D18" s="77">
        <f>forecast!C16</f>
        <v>1.4790000000000001</v>
      </c>
      <c r="E18" s="77">
        <f>forecast!D16</f>
        <v>1.63</v>
      </c>
      <c r="F18" s="77">
        <f>forecast!E16</f>
        <v>1.63</v>
      </c>
      <c r="G18" s="77">
        <f>forecast!F16</f>
        <v>1.63</v>
      </c>
      <c r="H18" s="77">
        <f>forecast!G16</f>
        <v>1.63</v>
      </c>
      <c r="I18" s="77">
        <f>forecast!H16</f>
        <v>1.671</v>
      </c>
      <c r="J18" s="77">
        <f>forecast!I16</f>
        <v>0</v>
      </c>
      <c r="K18" s="77">
        <f>forecast!J16</f>
        <v>0</v>
      </c>
      <c r="L18" s="77">
        <f>forecast!K16</f>
        <v>0</v>
      </c>
    </row>
    <row r="19" spans="2:12" x14ac:dyDescent="0.35">
      <c r="B19" t="str">
        <f>forecast!A17</f>
        <v>Other Federal Social Benefits (including all SNAP)</v>
      </c>
      <c r="C19" t="str">
        <f>forecast!B17</f>
        <v>federal_social_benefits</v>
      </c>
      <c r="D19" s="77">
        <f>forecast!C17</f>
        <v>2152.299</v>
      </c>
      <c r="E19" s="77">
        <f>forecast!D17</f>
        <v>2160.527</v>
      </c>
      <c r="F19" s="77">
        <f>forecast!E17</f>
        <v>2202.0938899739999</v>
      </c>
      <c r="G19" s="77">
        <f>forecast!F17</f>
        <v>2208.7938899740002</v>
      </c>
      <c r="H19" s="77">
        <f>forecast!G17</f>
        <v>2215.493889974</v>
      </c>
      <c r="I19" s="77">
        <f>forecast!H17</f>
        <v>2205.9548899740003</v>
      </c>
      <c r="J19" s="77">
        <f>forecast!I17</f>
        <v>2249.7275234174022</v>
      </c>
      <c r="K19" s="77">
        <f>forecast!J17</f>
        <v>2255.6995234174019</v>
      </c>
      <c r="L19" s="77">
        <f>forecast!K17</f>
        <v>2263.3995234174022</v>
      </c>
    </row>
    <row r="20" spans="2:12" x14ac:dyDescent="0.35">
      <c r="B20" t="str">
        <f>forecast!A18</f>
        <v>State Social Benefits ex Medicaid</v>
      </c>
      <c r="C20" t="str">
        <f>forecast!B18</f>
        <v>state_social_benefits</v>
      </c>
      <c r="D20" s="77">
        <f>forecast!C18</f>
        <v>221.50560454500092</v>
      </c>
      <c r="E20" s="77">
        <f>forecast!D18</f>
        <v>224.74365842066501</v>
      </c>
      <c r="F20" s="77">
        <f>forecast!E18</f>
        <v>228.02904740969223</v>
      </c>
      <c r="G20" s="77">
        <f>forecast!F18</f>
        <v>231.36246347492295</v>
      </c>
      <c r="H20" s="77">
        <f>forecast!G18</f>
        <v>234.7446086945757</v>
      </c>
      <c r="I20" s="77">
        <f>forecast!H18</f>
        <v>238.17619541011769</v>
      </c>
      <c r="J20" s="77">
        <f>forecast!I18</f>
        <v>241.65794637629688</v>
      </c>
      <c r="K20" s="77">
        <f>forecast!J18</f>
        <v>245.19059491336728</v>
      </c>
      <c r="L20" s="77">
        <f>forecast!K18</f>
        <v>248.77488506153966</v>
      </c>
    </row>
    <row r="21" spans="2:12" x14ac:dyDescent="0.35">
      <c r="B21" t="str">
        <f>forecast!A19</f>
        <v>Federal Non-Corporate Taxes</v>
      </c>
      <c r="C21" t="str">
        <f>forecast!B19</f>
        <v>federal_non_corporate_taxes</v>
      </c>
      <c r="D21" s="77">
        <f>forecast!C19</f>
        <v>4465.3999999999996</v>
      </c>
      <c r="E21" s="77">
        <f>forecast!D19</f>
        <v>4505.1502025504833</v>
      </c>
      <c r="F21" s="77">
        <f>forecast!E19</f>
        <v>4578.0493140248691</v>
      </c>
      <c r="G21" s="77">
        <f>forecast!F19</f>
        <v>4609.7151547543745</v>
      </c>
      <c r="H21" s="77">
        <f>forecast!G19</f>
        <v>4641.6278250349551</v>
      </c>
      <c r="I21" s="77">
        <f>forecast!H19</f>
        <v>4673.7895125185523</v>
      </c>
      <c r="J21" s="77">
        <f>forecast!I19</f>
        <v>4755.9328906734345</v>
      </c>
      <c r="K21" s="77">
        <f>forecast!J19</f>
        <v>4788.8460727481806</v>
      </c>
      <c r="L21" s="77">
        <f>forecast!K19</f>
        <v>4822.0161930134391</v>
      </c>
    </row>
    <row r="22" spans="2:12" x14ac:dyDescent="0.35">
      <c r="B22" t="str">
        <f>forecast!A20</f>
        <v>State Non-Corporate Taxes</v>
      </c>
      <c r="C22" t="str">
        <f>forecast!B20</f>
        <v>state_non_corporate_taxes</v>
      </c>
      <c r="D22" s="77">
        <f>forecast!C20</f>
        <v>2483.3000000000002</v>
      </c>
      <c r="E22" s="77">
        <f>forecast!D20</f>
        <v>2522.3352032781881</v>
      </c>
      <c r="F22" s="77">
        <f>forecast!E20</f>
        <v>2548.4477238015807</v>
      </c>
      <c r="G22" s="77">
        <f>forecast!F20</f>
        <v>2574.4889400849438</v>
      </c>
      <c r="H22" s="77">
        <f>forecast!G20</f>
        <v>2599.5223654779847</v>
      </c>
      <c r="I22" s="77">
        <f>forecast!H20</f>
        <v>2624.2463910483311</v>
      </c>
      <c r="J22" s="77">
        <f>forecast!I20</f>
        <v>2646.389283360335</v>
      </c>
      <c r="K22" s="77">
        <f>forecast!J20</f>
        <v>2669.3912425599988</v>
      </c>
      <c r="L22" s="77">
        <f>forecast!K20</f>
        <v>2692.9029408733345</v>
      </c>
    </row>
    <row r="23" spans="2:12" x14ac:dyDescent="0.35">
      <c r="B23" t="str">
        <f>forecast!A21</f>
        <v>Federal Corporate Taxes</v>
      </c>
      <c r="C23" t="str">
        <f>forecast!B21</f>
        <v>federal_corporate_taxes</v>
      </c>
      <c r="D23" s="77">
        <f>forecast!C21</f>
        <v>483.1</v>
      </c>
      <c r="E23" s="77">
        <f>forecast!D21</f>
        <v>492.80191224668437</v>
      </c>
      <c r="F23" s="77">
        <f>forecast!E21</f>
        <v>502.69866428066405</v>
      </c>
      <c r="G23" s="77">
        <f>forecast!F21</f>
        <v>512.79416899475314</v>
      </c>
      <c r="H23" s="77">
        <f>forecast!G21</f>
        <v>523.09241786289329</v>
      </c>
      <c r="I23" s="77">
        <f>forecast!H21</f>
        <v>521.77153758845338</v>
      </c>
      <c r="J23" s="77">
        <f>forecast!I21</f>
        <v>520.45399271831275</v>
      </c>
      <c r="K23" s="77">
        <f>forecast!J21</f>
        <v>519.13977483011683</v>
      </c>
      <c r="L23" s="77">
        <f>forecast!K21</f>
        <v>517.82887552277884</v>
      </c>
    </row>
    <row r="24" spans="2:12" x14ac:dyDescent="0.35">
      <c r="B24" t="str">
        <f>forecast!A22</f>
        <v>State Corporate Taxes</v>
      </c>
      <c r="C24" s="57" t="str">
        <f>forecast!B22</f>
        <v>state_corporate_taxes</v>
      </c>
      <c r="D24" s="77">
        <f>forecast!C22</f>
        <v>164.8</v>
      </c>
      <c r="E24" s="77">
        <f>forecast!D22</f>
        <v>163.15466849793015</v>
      </c>
      <c r="F24" s="77">
        <f>forecast!E22</f>
        <v>164.64893931448725</v>
      </c>
      <c r="G24" s="77">
        <f>forecast!F22</f>
        <v>166.13773661156984</v>
      </c>
      <c r="H24" s="77">
        <f>forecast!G22</f>
        <v>167.08465548067014</v>
      </c>
      <c r="I24" s="77">
        <f>forecast!H22</f>
        <v>167.16675827278866</v>
      </c>
      <c r="J24" s="77">
        <f>forecast!I22</f>
        <v>166.4333066631965</v>
      </c>
      <c r="K24" s="77">
        <f>forecast!J22</f>
        <v>166.31288923475603</v>
      </c>
      <c r="L24" s="77">
        <f>forecast!K22</f>
        <v>166.75624431219603</v>
      </c>
    </row>
    <row r="25" spans="2:12" x14ac:dyDescent="0.35">
      <c r="B25" s="57" t="str">
        <f>forecast!A23</f>
        <v>Federal Student Loans</v>
      </c>
      <c r="C25" s="57" t="str">
        <f>forecast!B23</f>
        <v>federal_student_loans</v>
      </c>
      <c r="D25" s="77">
        <f>forecast!C23</f>
        <v>2.626465</v>
      </c>
      <c r="E25" s="77">
        <f>forecast!D23</f>
        <v>2.6498349999999999</v>
      </c>
      <c r="F25" s="77">
        <f>forecast!E23</f>
        <v>2.6454420000000001</v>
      </c>
      <c r="G25" s="77">
        <f>forecast!F23</f>
        <v>2.6696</v>
      </c>
      <c r="H25" s="77">
        <f>forecast!G23</f>
        <v>2.693006</v>
      </c>
      <c r="I25" s="77">
        <f>forecast!H23</f>
        <v>2.7175400000000001</v>
      </c>
      <c r="J25" s="77">
        <f>forecast!I23</f>
        <v>2.7175400000000001</v>
      </c>
      <c r="K25" s="77">
        <f>forecast!J23</f>
        <v>2.7175400000000001</v>
      </c>
      <c r="L25" s="77">
        <f>forecast!K23</f>
        <v>0</v>
      </c>
    </row>
    <row r="26" spans="2:12" x14ac:dyDescent="0.35">
      <c r="B26" s="57"/>
      <c r="C26" s="57"/>
      <c r="D26" s="77"/>
      <c r="E26" s="77"/>
      <c r="F26" s="77"/>
      <c r="G26" s="77"/>
    </row>
    <row r="27" spans="2:12" x14ac:dyDescent="0.35">
      <c r="B27" s="76" t="s">
        <v>1895</v>
      </c>
      <c r="C27" s="57"/>
      <c r="D27" s="77"/>
      <c r="E27" s="77"/>
      <c r="F27" s="77"/>
      <c r="G27" s="77"/>
    </row>
    <row r="28" spans="2:12" x14ac:dyDescent="0.35">
      <c r="B28" s="57" t="s">
        <v>1709</v>
      </c>
      <c r="C28" s="57"/>
      <c r="D28" s="81">
        <f>Deflators!AA45</f>
        <v>1.4976918865358124E-2</v>
      </c>
      <c r="E28" s="81">
        <f>Deflators!AB45</f>
        <v>2.19858362979925E-2</v>
      </c>
      <c r="F28" s="81">
        <f>Deflators!AC45</f>
        <v>2.089603364592264E-2</v>
      </c>
      <c r="G28" s="81">
        <f>Deflators!AD45</f>
        <v>2.0776747995004643E-2</v>
      </c>
      <c r="H28" s="81">
        <f>Deflators!AE45</f>
        <v>2.0708760783051394E-2</v>
      </c>
      <c r="I28" s="81">
        <f>Deflators!AF45</f>
        <v>2.0110814282412459E-2</v>
      </c>
      <c r="J28" s="81">
        <f>Deflators!AG45</f>
        <v>1.9760549063349009E-2</v>
      </c>
      <c r="K28" s="81">
        <f>Deflators!AH45</f>
        <v>1.9516602813602013E-2</v>
      </c>
      <c r="L28" s="81">
        <f>Deflators!AI45</f>
        <v>1.931367329950362E-2</v>
      </c>
    </row>
    <row r="29" spans="2:12" x14ac:dyDescent="0.35">
      <c r="B29" s="57" t="s">
        <v>1710</v>
      </c>
      <c r="C29" s="57"/>
      <c r="D29" s="81">
        <f>Deflators!AA48</f>
        <v>2.4547435888207625E-2</v>
      </c>
      <c r="E29" s="81">
        <f>Deflators!AB48</f>
        <v>2.5438723088733628E-2</v>
      </c>
      <c r="F29" s="81">
        <f>Deflators!AC48</f>
        <v>2.2377163912874476E-2</v>
      </c>
      <c r="G29" s="81">
        <f>Deflators!AD46</f>
        <v>2.1576747995004641E-2</v>
      </c>
      <c r="H29" s="81">
        <f>Deflators!AE46</f>
        <v>2.0708760783051394E-2</v>
      </c>
      <c r="I29" s="81">
        <f>Deflators!AF46</f>
        <v>2.0110814282412459E-2</v>
      </c>
      <c r="J29" s="81">
        <f>Deflators!AG46</f>
        <v>1.9760549063349009E-2</v>
      </c>
      <c r="K29" s="81">
        <f>Deflators!AH46</f>
        <v>1.9516602813602013E-2</v>
      </c>
      <c r="L29" s="81">
        <f>Deflators!AI46</f>
        <v>1.931367329950362E-2</v>
      </c>
    </row>
    <row r="30" spans="2:12" x14ac:dyDescent="0.35">
      <c r="B30" s="57" t="s">
        <v>1711</v>
      </c>
      <c r="C30" s="57"/>
      <c r="D30" s="81">
        <f>Deflators!AA49</f>
        <v>2.3218572407261551E-2</v>
      </c>
      <c r="E30" s="81">
        <f>Deflators!AB49</f>
        <v>2.3533565330379203E-2</v>
      </c>
      <c r="F30" s="81">
        <f>Deflators!AC49</f>
        <v>2.3821649071183115E-2</v>
      </c>
      <c r="G30" s="81">
        <f>Deflators!AD47</f>
        <v>-8.0000000000000004E-4</v>
      </c>
      <c r="H30" s="81">
        <f>Deflators!AE47</f>
        <v>0</v>
      </c>
      <c r="I30" s="81">
        <f>Deflators!AF47</f>
        <v>0</v>
      </c>
      <c r="J30" s="81">
        <f>Deflators!AG47</f>
        <v>0</v>
      </c>
      <c r="K30" s="81">
        <f>Deflators!AH47</f>
        <v>0</v>
      </c>
      <c r="L30" s="81">
        <f>Deflators!AI47</f>
        <v>0</v>
      </c>
    </row>
    <row r="31" spans="2:12" x14ac:dyDescent="0.35">
      <c r="B31" s="57" t="s">
        <v>1712</v>
      </c>
      <c r="C31" s="57"/>
      <c r="D31" s="81">
        <f>Deflators!AA51</f>
        <v>2.1103247112589152E-2</v>
      </c>
      <c r="E31" s="81">
        <f>Deflators!AB51</f>
        <v>2.3533565330379203E-2</v>
      </c>
      <c r="F31" s="81">
        <f>Deflators!AC51</f>
        <v>2.3821649071183115E-2</v>
      </c>
      <c r="G31" s="81">
        <f>Deflators!AD48</f>
        <v>2.1708971853545922E-2</v>
      </c>
      <c r="H31" s="81">
        <f>Deflators!AE48</f>
        <v>2.1471980846518912E-2</v>
      </c>
      <c r="I31" s="81">
        <f>Deflators!AF48</f>
        <v>2.1530345294352937E-2</v>
      </c>
      <c r="J31" s="81">
        <f>Deflators!AG48</f>
        <v>1.5936865457563565E-2</v>
      </c>
      <c r="K31" s="81">
        <f>Deflators!AH48</f>
        <v>1.6813069627471089E-2</v>
      </c>
      <c r="L31" s="81">
        <f>Deflators!AI48</f>
        <v>1.7900488886725352E-2</v>
      </c>
    </row>
    <row r="32" spans="2:12" x14ac:dyDescent="0.35">
      <c r="B32" s="57" t="s">
        <v>1713</v>
      </c>
      <c r="C32" s="57"/>
      <c r="D32" s="81">
        <f>Deflators!AA52</f>
        <v>3.2089322615664662E-2</v>
      </c>
      <c r="E32" s="81">
        <f>Deflators!AB52</f>
        <v>2.3533565330379203E-2</v>
      </c>
      <c r="F32" s="81">
        <f>Deflators!AC52</f>
        <v>2.3821649071183115E-2</v>
      </c>
      <c r="G32" s="81">
        <f>Deflators!AD49</f>
        <v>2.3493967451795994E-2</v>
      </c>
      <c r="H32" s="81">
        <f>Deflators!AE49</f>
        <v>2.3095343044312822E-2</v>
      </c>
      <c r="I32" s="81">
        <f>Deflators!AF49</f>
        <v>2.2877364391311605E-2</v>
      </c>
      <c r="J32" s="81">
        <f>Deflators!AG49</f>
        <v>2.2926764441147718E-2</v>
      </c>
      <c r="K32" s="81">
        <f>Deflators!AH49</f>
        <v>2.3049272742582838E-2</v>
      </c>
      <c r="L32" s="81">
        <f>Deflators!AI49</f>
        <v>2.3441602770702952E-2</v>
      </c>
    </row>
    <row r="34" spans="2:12" x14ac:dyDescent="0.35">
      <c r="B34" s="1245" t="s">
        <v>1976</v>
      </c>
      <c r="C34" s="1245"/>
      <c r="D34" s="1245"/>
      <c r="E34" s="1245"/>
      <c r="F34" s="1245"/>
      <c r="G34" s="1245"/>
      <c r="H34" s="1245"/>
      <c r="I34" s="1245"/>
      <c r="J34" s="1245"/>
      <c r="K34" s="1245"/>
      <c r="L34" s="1245"/>
    </row>
    <row r="35" spans="2:12" x14ac:dyDescent="0.35">
      <c r="B35" t="s">
        <v>178</v>
      </c>
      <c r="C35" t="s">
        <v>179</v>
      </c>
      <c r="D35" t="s">
        <v>175</v>
      </c>
      <c r="E35" t="s">
        <v>176</v>
      </c>
      <c r="F35" t="s">
        <v>177</v>
      </c>
      <c r="G35" t="s">
        <v>764</v>
      </c>
      <c r="H35" t="s">
        <v>765</v>
      </c>
      <c r="I35" t="s">
        <v>766</v>
      </c>
      <c r="J35" t="s">
        <v>1156</v>
      </c>
      <c r="K35" t="s">
        <v>1157</v>
      </c>
      <c r="L35" t="s">
        <v>1158</v>
      </c>
    </row>
    <row r="36" spans="2:12" x14ac:dyDescent="0.35">
      <c r="B36" t="s">
        <v>192</v>
      </c>
      <c r="C36" t="s">
        <v>193</v>
      </c>
      <c r="D36" s="77">
        <v>461.9273300000001</v>
      </c>
      <c r="E36" s="77">
        <v>467.08702588368681</v>
      </c>
      <c r="F36" s="77">
        <v>450.66879697830359</v>
      </c>
      <c r="G36" s="77">
        <v>446.4122085701693</v>
      </c>
      <c r="H36">
        <v>449.361288</v>
      </c>
      <c r="I36">
        <v>448.45372699103427</v>
      </c>
      <c r="J36">
        <v>451.58735077743574</v>
      </c>
      <c r="K36">
        <v>451.94885143297614</v>
      </c>
      <c r="L36">
        <v>456.14453320000007</v>
      </c>
    </row>
    <row r="37" spans="2:12" x14ac:dyDescent="0.35">
      <c r="B37" t="s">
        <v>134</v>
      </c>
      <c r="C37" t="s">
        <v>194</v>
      </c>
      <c r="D37" s="77">
        <v>77.680999999999997</v>
      </c>
      <c r="E37" s="77">
        <v>79.275000000000006</v>
      </c>
      <c r="F37" s="77">
        <v>79.275000000000006</v>
      </c>
      <c r="G37" s="77">
        <v>75.203000000000003</v>
      </c>
      <c r="H37">
        <v>75.203000000000003</v>
      </c>
      <c r="I37">
        <v>75.203000000000003</v>
      </c>
      <c r="J37">
        <v>75.203000000000003</v>
      </c>
      <c r="K37">
        <v>75.203000000000003</v>
      </c>
      <c r="L37">
        <v>75.203000000000003</v>
      </c>
    </row>
    <row r="38" spans="2:12" x14ac:dyDescent="0.35">
      <c r="B38" t="s">
        <v>195</v>
      </c>
      <c r="C38" t="s">
        <v>196</v>
      </c>
      <c r="D38" s="77">
        <v>1893.8</v>
      </c>
      <c r="E38" s="77">
        <v>1885.4971583458348</v>
      </c>
      <c r="F38" s="77">
        <v>1907.7405495627227</v>
      </c>
      <c r="G38" s="77">
        <v>1930.8676507357613</v>
      </c>
      <c r="H38">
        <v>1954.5776722168234</v>
      </c>
      <c r="I38">
        <v>1968.5346309696472</v>
      </c>
      <c r="J38">
        <v>1981.1396206441657</v>
      </c>
      <c r="K38">
        <v>1996.1050985113752</v>
      </c>
      <c r="L38">
        <v>2009.8308163740194</v>
      </c>
    </row>
    <row r="39" spans="2:12" x14ac:dyDescent="0.35">
      <c r="B39" t="s">
        <v>197</v>
      </c>
      <c r="C39" t="s">
        <v>198</v>
      </c>
      <c r="D39" s="77">
        <v>3141.3</v>
      </c>
      <c r="E39" s="77">
        <v>3170.0081969519542</v>
      </c>
      <c r="F39" s="77">
        <v>3197.6978532742573</v>
      </c>
      <c r="G39" s="77">
        <v>3225.5203329104074</v>
      </c>
      <c r="H39">
        <v>3252.3349184119561</v>
      </c>
      <c r="I39">
        <v>3279.1265200230273</v>
      </c>
      <c r="J39">
        <v>3307.0342914902399</v>
      </c>
      <c r="K39">
        <v>3334.5587822637485</v>
      </c>
      <c r="L39">
        <v>3362.3936734190011</v>
      </c>
    </row>
    <row r="40" spans="2:12" x14ac:dyDescent="0.35">
      <c r="B40" t="s">
        <v>199</v>
      </c>
      <c r="C40" t="s">
        <v>200</v>
      </c>
      <c r="D40" s="77">
        <v>90.734999999999999</v>
      </c>
      <c r="E40" s="77">
        <v>97.833999999999989</v>
      </c>
      <c r="F40" s="77">
        <v>97.833999999999989</v>
      </c>
      <c r="G40" s="77">
        <v>89.811999999999998</v>
      </c>
      <c r="H40">
        <v>89.811999999999998</v>
      </c>
      <c r="I40">
        <v>94.150999999999996</v>
      </c>
      <c r="J40">
        <v>92.000999999999991</v>
      </c>
      <c r="K40">
        <v>92.000999999999991</v>
      </c>
      <c r="L40">
        <v>0</v>
      </c>
    </row>
    <row r="41" spans="2:12" x14ac:dyDescent="0.35">
      <c r="B41" t="s">
        <v>201</v>
      </c>
      <c r="C41" t="s">
        <v>202</v>
      </c>
      <c r="D41" s="77">
        <v>1.365</v>
      </c>
      <c r="E41" s="77">
        <v>-0.90100000000000025</v>
      </c>
      <c r="F41" s="77">
        <v>-0.90100000000000025</v>
      </c>
      <c r="G41" s="77">
        <v>-0.90100000000000025</v>
      </c>
      <c r="H41">
        <v>-0.90100000000000025</v>
      </c>
      <c r="I41">
        <v>-2.1500000000000004</v>
      </c>
      <c r="J41">
        <v>0</v>
      </c>
      <c r="K41">
        <v>0</v>
      </c>
      <c r="L41">
        <v>0</v>
      </c>
    </row>
    <row r="42" spans="2:12" x14ac:dyDescent="0.35">
      <c r="B42" t="s">
        <v>203</v>
      </c>
      <c r="C42" t="s">
        <v>204</v>
      </c>
      <c r="D42" s="77">
        <v>0</v>
      </c>
      <c r="E42" s="77">
        <v>0</v>
      </c>
      <c r="F42" s="77">
        <v>0</v>
      </c>
      <c r="G42" s="77">
        <v>0</v>
      </c>
      <c r="H42">
        <v>0</v>
      </c>
      <c r="I42">
        <v>0</v>
      </c>
      <c r="J42">
        <v>0</v>
      </c>
      <c r="K42">
        <v>0</v>
      </c>
      <c r="L42">
        <v>0</v>
      </c>
    </row>
    <row r="43" spans="2:12" x14ac:dyDescent="0.35">
      <c r="B43" t="s">
        <v>205</v>
      </c>
      <c r="C43" t="s">
        <v>206</v>
      </c>
      <c r="D43" s="77">
        <v>35.700000000000003</v>
      </c>
      <c r="E43" s="77">
        <v>35.700000000000003</v>
      </c>
      <c r="F43" s="77">
        <v>35.700000000000003</v>
      </c>
      <c r="G43" s="77">
        <v>35.700000000000003</v>
      </c>
      <c r="H43">
        <v>35.700000000000003</v>
      </c>
      <c r="I43">
        <v>35.700000000000003</v>
      </c>
      <c r="J43">
        <v>35.700000000000003</v>
      </c>
      <c r="K43">
        <v>35.700000000000003</v>
      </c>
      <c r="L43">
        <v>35.700000000000003</v>
      </c>
    </row>
    <row r="44" spans="2:12" x14ac:dyDescent="0.35">
      <c r="B44" t="s">
        <v>207</v>
      </c>
      <c r="C44" t="s">
        <v>208</v>
      </c>
      <c r="D44" s="77">
        <v>641.23699999999997</v>
      </c>
      <c r="E44" s="77">
        <v>647.80230099275059</v>
      </c>
      <c r="F44" s="77">
        <v>649.61024783775213</v>
      </c>
      <c r="G44" s="77">
        <v>652.78771966868896</v>
      </c>
      <c r="H44">
        <v>655.97405948321136</v>
      </c>
      <c r="I44">
        <v>661.22036153120757</v>
      </c>
      <c r="J44">
        <v>666.49770934216281</v>
      </c>
      <c r="K44">
        <v>671.80628663393907</v>
      </c>
      <c r="L44">
        <v>677.14627821157637</v>
      </c>
    </row>
    <row r="45" spans="2:12" x14ac:dyDescent="0.35">
      <c r="B45" t="s">
        <v>209</v>
      </c>
      <c r="C45" t="s">
        <v>210</v>
      </c>
      <c r="D45" s="77">
        <v>939.9</v>
      </c>
      <c r="E45" s="77">
        <v>949.52316024042022</v>
      </c>
      <c r="F45" s="77">
        <v>952.17317769046906</v>
      </c>
      <c r="G45" s="77">
        <v>956.83059105541452</v>
      </c>
      <c r="H45">
        <v>961.50100276227101</v>
      </c>
      <c r="I45">
        <v>969.19082617375807</v>
      </c>
      <c r="J45">
        <v>976.92615524478288</v>
      </c>
      <c r="K45">
        <v>984.70725926176965</v>
      </c>
      <c r="L45">
        <v>992.53440910468476</v>
      </c>
    </row>
    <row r="46" spans="2:12" x14ac:dyDescent="0.35">
      <c r="B46" t="s">
        <v>55</v>
      </c>
      <c r="C46" t="s">
        <v>211</v>
      </c>
      <c r="D46" s="77">
        <v>1090.2</v>
      </c>
      <c r="E46" s="77">
        <v>1116.0159349148526</v>
      </c>
      <c r="F46" s="77">
        <v>1130.1590311547368</v>
      </c>
      <c r="G46" s="77">
        <v>1144.4813606519542</v>
      </c>
      <c r="H46">
        <v>1158.9851948016783</v>
      </c>
      <c r="I46">
        <v>1177.2271936647621</v>
      </c>
      <c r="J46">
        <v>1195.7563148517663</v>
      </c>
      <c r="K46">
        <v>1214.5770775620128</v>
      </c>
      <c r="L46">
        <v>1233.6940721253518</v>
      </c>
    </row>
    <row r="47" spans="2:12" x14ac:dyDescent="0.35">
      <c r="B47" t="s">
        <v>212</v>
      </c>
      <c r="C47" t="s">
        <v>213</v>
      </c>
      <c r="D47" s="77">
        <v>0</v>
      </c>
      <c r="E47" s="77">
        <v>0</v>
      </c>
      <c r="F47" s="77">
        <v>0</v>
      </c>
      <c r="G47" s="77">
        <v>0</v>
      </c>
      <c r="H47">
        <v>0</v>
      </c>
      <c r="I47">
        <v>0</v>
      </c>
      <c r="J47">
        <v>0</v>
      </c>
      <c r="K47">
        <v>0</v>
      </c>
      <c r="L47">
        <v>0</v>
      </c>
    </row>
    <row r="48" spans="2:12" x14ac:dyDescent="0.35">
      <c r="B48" t="s">
        <v>214</v>
      </c>
      <c r="C48" t="s">
        <v>215</v>
      </c>
      <c r="D48" s="77">
        <v>0</v>
      </c>
      <c r="E48" s="77">
        <v>0</v>
      </c>
      <c r="F48" s="77">
        <v>0</v>
      </c>
      <c r="G48" s="77">
        <v>0</v>
      </c>
      <c r="H48">
        <v>0</v>
      </c>
      <c r="I48">
        <v>0</v>
      </c>
      <c r="J48">
        <v>0</v>
      </c>
      <c r="K48">
        <v>0</v>
      </c>
      <c r="L48">
        <v>0</v>
      </c>
    </row>
    <row r="49" spans="2:12" x14ac:dyDescent="0.35">
      <c r="B49" t="s">
        <v>216</v>
      </c>
      <c r="C49" t="s">
        <v>217</v>
      </c>
      <c r="D49" s="77">
        <v>4.2219999999999995</v>
      </c>
      <c r="E49" s="77">
        <v>2.3719999999999999</v>
      </c>
      <c r="F49" s="77">
        <v>2.3719999999999999</v>
      </c>
      <c r="G49" s="77">
        <v>2.3719999999999999</v>
      </c>
      <c r="H49">
        <v>2.3719999999999999</v>
      </c>
      <c r="I49">
        <v>0.49</v>
      </c>
      <c r="J49">
        <v>0</v>
      </c>
      <c r="K49">
        <v>0</v>
      </c>
      <c r="L49">
        <v>0</v>
      </c>
    </row>
    <row r="50" spans="2:12" x14ac:dyDescent="0.35">
      <c r="B50" t="s">
        <v>796</v>
      </c>
      <c r="C50" t="s">
        <v>219</v>
      </c>
      <c r="D50" s="77">
        <v>1.4790000000000001</v>
      </c>
      <c r="E50" s="77">
        <v>1.63</v>
      </c>
      <c r="F50" s="77">
        <v>1.63</v>
      </c>
      <c r="G50" s="77">
        <v>1.63</v>
      </c>
      <c r="H50">
        <v>1.63</v>
      </c>
      <c r="I50">
        <v>1.671</v>
      </c>
      <c r="J50">
        <v>0</v>
      </c>
      <c r="K50">
        <v>0</v>
      </c>
      <c r="L50">
        <v>0</v>
      </c>
    </row>
    <row r="51" spans="2:12" x14ac:dyDescent="0.35">
      <c r="B51" t="s">
        <v>220</v>
      </c>
      <c r="C51" t="s">
        <v>221</v>
      </c>
      <c r="D51" s="77">
        <v>2151.8989999999999</v>
      </c>
      <c r="E51" s="77">
        <v>2160.1270000000004</v>
      </c>
      <c r="F51" s="77">
        <v>2201.6786902400004</v>
      </c>
      <c r="G51" s="77">
        <v>2208.3786902400002</v>
      </c>
      <c r="H51">
        <v>2215.0786902400005</v>
      </c>
      <c r="I51">
        <v>2205.5396902400003</v>
      </c>
      <c r="J51">
        <v>2249.2967743555205</v>
      </c>
      <c r="K51">
        <v>2255.2687743555202</v>
      </c>
      <c r="L51">
        <v>2262.9687743555205</v>
      </c>
    </row>
    <row r="52" spans="2:12" x14ac:dyDescent="0.35">
      <c r="B52" t="s">
        <v>222</v>
      </c>
      <c r="C52" t="s">
        <v>223</v>
      </c>
      <c r="D52" s="77">
        <v>221.50560454500092</v>
      </c>
      <c r="E52" s="77">
        <v>224.74365842066501</v>
      </c>
      <c r="F52" s="77">
        <v>228.02904740969223</v>
      </c>
      <c r="G52" s="77">
        <v>231.36246347492295</v>
      </c>
      <c r="H52">
        <v>234.7446086945757</v>
      </c>
      <c r="I52">
        <v>238.17619541011769</v>
      </c>
      <c r="J52">
        <v>241.65794637629688</v>
      </c>
      <c r="K52">
        <v>245.19059491336728</v>
      </c>
      <c r="L52">
        <v>248.77488506153966</v>
      </c>
    </row>
    <row r="53" spans="2:12" x14ac:dyDescent="0.35">
      <c r="B53" t="s">
        <v>224</v>
      </c>
      <c r="C53" t="s">
        <v>225</v>
      </c>
      <c r="D53" s="77">
        <v>4504.1000000000004</v>
      </c>
      <c r="E53" s="77">
        <v>4552.9882030471372</v>
      </c>
      <c r="F53" s="77">
        <v>4626.7154307232277</v>
      </c>
      <c r="G53" s="77">
        <v>4658.6873840226308</v>
      </c>
      <c r="H53">
        <v>4690.9082507369558</v>
      </c>
      <c r="I53">
        <v>4723.3802338405858</v>
      </c>
      <c r="J53">
        <v>4806.464364966072</v>
      </c>
      <c r="K53">
        <v>4839.695205906226</v>
      </c>
      <c r="L53">
        <v>4873.1851463948542</v>
      </c>
    </row>
    <row r="54" spans="2:12" x14ac:dyDescent="0.35">
      <c r="B54" t="s">
        <v>226</v>
      </c>
      <c r="C54" t="s">
        <v>227</v>
      </c>
      <c r="D54" s="77">
        <v>2478.8000000000002</v>
      </c>
      <c r="E54" s="77">
        <v>2512.4856358621441</v>
      </c>
      <c r="F54" s="77">
        <v>2538.4776641817052</v>
      </c>
      <c r="G54" s="77">
        <v>2564.3998583408274</v>
      </c>
      <c r="H54">
        <v>2589.3170887899796</v>
      </c>
      <c r="I54">
        <v>2613.9226775762554</v>
      </c>
      <c r="J54">
        <v>2635.9547394000233</v>
      </c>
      <c r="K54">
        <v>2658.8495252859329</v>
      </c>
      <c r="L54">
        <v>2682.2577853029111</v>
      </c>
    </row>
    <row r="55" spans="2:12" x14ac:dyDescent="0.35">
      <c r="B55" t="s">
        <v>228</v>
      </c>
      <c r="C55" t="s">
        <v>229</v>
      </c>
      <c r="D55" s="77">
        <v>505.54985730942667</v>
      </c>
      <c r="E55" s="77">
        <v>515.70262144095193</v>
      </c>
      <c r="F55" s="77">
        <v>526.05927964547527</v>
      </c>
      <c r="G55" s="77">
        <v>536.62392664956224</v>
      </c>
      <c r="H55">
        <v>547.40073941260346</v>
      </c>
      <c r="I55">
        <v>546.01847728412918</v>
      </c>
      <c r="J55">
        <v>544.63970555757487</v>
      </c>
      <c r="K55">
        <v>543.26441541919576</v>
      </c>
      <c r="L55">
        <v>541.89259807750295</v>
      </c>
    </row>
    <row r="56" spans="2:12" x14ac:dyDescent="0.35">
      <c r="B56" t="s">
        <v>230</v>
      </c>
      <c r="C56" s="57" t="s">
        <v>231</v>
      </c>
      <c r="D56" s="77">
        <v>159.96188433732857</v>
      </c>
      <c r="E56" s="77">
        <v>161.16761359902281</v>
      </c>
      <c r="F56" s="77">
        <v>162.64368574450504</v>
      </c>
      <c r="G56" s="77">
        <v>164.11435103231145</v>
      </c>
      <c r="H56">
        <v>165.04973741021774</v>
      </c>
      <c r="I56">
        <v>165.13084027535413</v>
      </c>
      <c r="J56">
        <v>164.40632134680243</v>
      </c>
      <c r="K56">
        <v>164.28737047793575</v>
      </c>
      <c r="L56">
        <v>164.7253259496722</v>
      </c>
    </row>
    <row r="57" spans="2:12" x14ac:dyDescent="0.35">
      <c r="B57" s="57" t="s">
        <v>1384</v>
      </c>
      <c r="C57" s="57" t="s">
        <v>1383</v>
      </c>
      <c r="D57" s="77">
        <v>2.626465</v>
      </c>
      <c r="E57" s="77">
        <v>2.6498349999999999</v>
      </c>
      <c r="F57" s="77">
        <v>2.6454420000000001</v>
      </c>
      <c r="G57" s="77">
        <v>2.6696</v>
      </c>
      <c r="H57">
        <v>2.693006</v>
      </c>
      <c r="I57">
        <v>2.7175400000000001</v>
      </c>
      <c r="J57">
        <v>2.7175400000000001</v>
      </c>
      <c r="K57">
        <v>2.7175400000000001</v>
      </c>
      <c r="L57">
        <v>0</v>
      </c>
    </row>
    <row r="58" spans="2:12" x14ac:dyDescent="0.35">
      <c r="B58" s="57"/>
      <c r="C58" s="57"/>
      <c r="D58" s="77"/>
      <c r="E58" s="77"/>
      <c r="F58" s="77"/>
    </row>
    <row r="59" spans="2:12" x14ac:dyDescent="0.35">
      <c r="B59" s="76" t="s">
        <v>1895</v>
      </c>
      <c r="C59" s="57"/>
    </row>
    <row r="60" spans="2:12" x14ac:dyDescent="0.35">
      <c r="B60" s="57" t="s">
        <v>1709</v>
      </c>
      <c r="C60" s="57"/>
      <c r="D60" s="81">
        <v>1.5108171538000592E-2</v>
      </c>
      <c r="E60" s="81">
        <v>1.9985836297992499E-2</v>
      </c>
      <c r="F60" s="81">
        <v>2.089603364592264E-2</v>
      </c>
      <c r="G60" s="78">
        <v>2.0776747995004643E-2</v>
      </c>
      <c r="H60" s="78">
        <v>2.0708760783051394E-2</v>
      </c>
      <c r="I60" s="78">
        <v>2.0110814282412459E-2</v>
      </c>
      <c r="J60">
        <v>1.9760549063349009E-2</v>
      </c>
      <c r="K60">
        <v>1.9516602813602013E-2</v>
      </c>
      <c r="L60">
        <v>1.931367329950362E-2</v>
      </c>
    </row>
    <row r="61" spans="2:12" x14ac:dyDescent="0.35">
      <c r="B61" s="57" t="s">
        <v>1710</v>
      </c>
      <c r="C61" s="57"/>
      <c r="D61" s="81">
        <v>1.775479802281521E-2</v>
      </c>
      <c r="E61" s="81">
        <v>2.5438723088733628E-2</v>
      </c>
      <c r="F61" s="81">
        <v>2.2377163912874476E-2</v>
      </c>
      <c r="G61" s="78">
        <v>2.1576747995004641E-2</v>
      </c>
      <c r="H61" s="78">
        <v>2.0708760783051394E-2</v>
      </c>
      <c r="I61" s="78">
        <v>2.0110814282412459E-2</v>
      </c>
      <c r="J61">
        <v>1.9760549063349009E-2</v>
      </c>
      <c r="K61">
        <v>1.9516602813602013E-2</v>
      </c>
      <c r="L61">
        <v>1.931367329950362E-2</v>
      </c>
    </row>
    <row r="62" spans="2:12" x14ac:dyDescent="0.35">
      <c r="B62" s="57" t="s">
        <v>1711</v>
      </c>
      <c r="C62" s="57"/>
      <c r="D62" s="81">
        <v>2.9253854388085809E-2</v>
      </c>
      <c r="E62" s="81">
        <v>2.3533565330379203E-2</v>
      </c>
      <c r="F62" s="81">
        <v>2.3821649071183115E-2</v>
      </c>
      <c r="G62" s="78">
        <v>-8.0000000000000004E-4</v>
      </c>
      <c r="H62" s="78">
        <v>0</v>
      </c>
      <c r="I62" s="78">
        <v>0</v>
      </c>
      <c r="J62">
        <v>0</v>
      </c>
      <c r="K62">
        <v>0</v>
      </c>
      <c r="L62">
        <v>0</v>
      </c>
    </row>
    <row r="63" spans="2:12" x14ac:dyDescent="0.35">
      <c r="B63" s="57" t="s">
        <v>1712</v>
      </c>
      <c r="C63" s="57"/>
      <c r="D63" s="81">
        <v>2.928827340124518E-2</v>
      </c>
      <c r="E63" s="81">
        <v>2.3533565330379203E-2</v>
      </c>
      <c r="F63" s="81">
        <v>2.3821649071183115E-2</v>
      </c>
      <c r="G63" s="78">
        <v>2.1708971853545922E-2</v>
      </c>
      <c r="H63" s="78">
        <v>2.1471980846518912E-2</v>
      </c>
      <c r="I63" s="78">
        <v>2.1530345294352937E-2</v>
      </c>
      <c r="J63">
        <v>1.5936865457563565E-2</v>
      </c>
      <c r="K63">
        <v>1.6813069627471089E-2</v>
      </c>
      <c r="L63">
        <v>1.7900488886725352E-2</v>
      </c>
    </row>
    <row r="64" spans="2:12" x14ac:dyDescent="0.35">
      <c r="B64" s="57" t="s">
        <v>1713</v>
      </c>
      <c r="C64" s="57"/>
      <c r="D64" s="81">
        <v>2.9096256387030728E-2</v>
      </c>
      <c r="E64" s="81">
        <v>2.3533565330379203E-2</v>
      </c>
      <c r="F64" s="81">
        <v>2.3821649071183115E-2</v>
      </c>
      <c r="G64" s="78">
        <v>2.3493967451795994E-2</v>
      </c>
      <c r="H64" s="78">
        <v>2.3095343044312822E-2</v>
      </c>
      <c r="I64" s="78">
        <v>2.2877364391311605E-2</v>
      </c>
      <c r="J64">
        <v>2.2926764441147718E-2</v>
      </c>
      <c r="K64">
        <v>2.3049272742582838E-2</v>
      </c>
      <c r="L64">
        <v>2.3441602770702952E-2</v>
      </c>
    </row>
    <row r="65" spans="2:12" x14ac:dyDescent="0.35">
      <c r="D65" s="80"/>
      <c r="E65" s="80"/>
      <c r="F65" s="80"/>
    </row>
    <row r="66" spans="2:12" x14ac:dyDescent="0.35">
      <c r="B66" s="1245" t="s">
        <v>232</v>
      </c>
      <c r="C66" s="1245"/>
      <c r="D66" s="1245"/>
      <c r="E66" s="1245"/>
      <c r="F66" s="1245"/>
      <c r="G66" s="1245"/>
      <c r="H66" s="1245"/>
      <c r="I66" s="1245"/>
      <c r="J66" s="1245"/>
      <c r="K66" s="1245"/>
      <c r="L66" s="1245"/>
    </row>
    <row r="67" spans="2:12" x14ac:dyDescent="0.35">
      <c r="B67" t="s">
        <v>178</v>
      </c>
      <c r="C67" t="s">
        <v>179</v>
      </c>
      <c r="D67" t="s">
        <v>175</v>
      </c>
      <c r="E67" t="s">
        <v>176</v>
      </c>
      <c r="F67" t="s">
        <v>177</v>
      </c>
      <c r="G67" t="s">
        <v>764</v>
      </c>
      <c r="H67" t="s">
        <v>765</v>
      </c>
      <c r="I67" t="s">
        <v>766</v>
      </c>
      <c r="J67" t="s">
        <v>1156</v>
      </c>
      <c r="K67" t="s">
        <v>1157</v>
      </c>
      <c r="L67" t="s">
        <v>1158</v>
      </c>
    </row>
    <row r="68" spans="2:12" x14ac:dyDescent="0.35">
      <c r="B68" s="57" t="s">
        <v>192</v>
      </c>
      <c r="C68" s="57" t="s">
        <v>193</v>
      </c>
      <c r="D68" s="77">
        <f t="shared" ref="D68:F68" si="0">D4-D36</f>
        <v>0</v>
      </c>
      <c r="E68" s="77">
        <f t="shared" si="0"/>
        <v>0</v>
      </c>
      <c r="F68" s="77">
        <f t="shared" si="0"/>
        <v>0</v>
      </c>
      <c r="G68" s="77">
        <f t="shared" ref="G68:K68" si="1">G4-G36</f>
        <v>0</v>
      </c>
      <c r="H68" s="77">
        <f t="shared" si="1"/>
        <v>0</v>
      </c>
      <c r="I68" s="77">
        <f t="shared" si="1"/>
        <v>0</v>
      </c>
      <c r="J68" s="77">
        <f t="shared" si="1"/>
        <v>0</v>
      </c>
      <c r="K68" s="77">
        <f t="shared" si="1"/>
        <v>0</v>
      </c>
      <c r="L68" s="77">
        <f>L4-L36</f>
        <v>0</v>
      </c>
    </row>
    <row r="69" spans="2:12" x14ac:dyDescent="0.35">
      <c r="B69" s="57" t="s">
        <v>134</v>
      </c>
      <c r="C69" s="57" t="s">
        <v>194</v>
      </c>
      <c r="D69" s="77">
        <f t="shared" ref="D69:F69" si="2">D5-D37</f>
        <v>0</v>
      </c>
      <c r="E69" s="77">
        <f t="shared" si="2"/>
        <v>0</v>
      </c>
      <c r="F69" s="77">
        <f t="shared" si="2"/>
        <v>0</v>
      </c>
      <c r="G69" s="77">
        <f t="shared" ref="G69:K69" si="3">G5-G37</f>
        <v>0</v>
      </c>
      <c r="H69" s="77">
        <f t="shared" si="3"/>
        <v>0</v>
      </c>
      <c r="I69" s="77">
        <f t="shared" si="3"/>
        <v>0</v>
      </c>
      <c r="J69" s="77">
        <f t="shared" si="3"/>
        <v>0</v>
      </c>
      <c r="K69" s="77">
        <f t="shared" si="3"/>
        <v>0</v>
      </c>
      <c r="L69" s="77">
        <f t="shared" ref="L69" si="4">L5-L37</f>
        <v>0</v>
      </c>
    </row>
    <row r="70" spans="2:12" x14ac:dyDescent="0.35">
      <c r="B70" s="57" t="s">
        <v>195</v>
      </c>
      <c r="C70" s="57" t="s">
        <v>196</v>
      </c>
      <c r="D70" s="77">
        <f t="shared" ref="D70:F70" si="5">D6-D38</f>
        <v>-0.39999999999986358</v>
      </c>
      <c r="E70" s="77">
        <f t="shared" si="5"/>
        <v>-0.40394913049840397</v>
      </c>
      <c r="F70" s="77">
        <f t="shared" si="5"/>
        <v>-0.40871455721958228</v>
      </c>
      <c r="G70" s="77">
        <f t="shared" ref="G70:K70" si="6">G6-G38</f>
        <v>-0.41366931006473351</v>
      </c>
      <c r="H70" s="77">
        <f t="shared" si="6"/>
        <v>-0.41874894782449701</v>
      </c>
      <c r="I70" s="77">
        <f t="shared" si="6"/>
        <v>-0.42173908829090578</v>
      </c>
      <c r="J70" s="77">
        <f t="shared" si="6"/>
        <v>-0.42443958274475335</v>
      </c>
      <c r="K70" s="77">
        <f t="shared" si="6"/>
        <v>-0.4276457884636784</v>
      </c>
      <c r="L70" s="77">
        <f t="shared" ref="L70" si="7">L6-L38</f>
        <v>-0.43058638785487346</v>
      </c>
    </row>
    <row r="71" spans="2:12" x14ac:dyDescent="0.35">
      <c r="B71" s="57" t="s">
        <v>197</v>
      </c>
      <c r="C71" s="57" t="s">
        <v>198</v>
      </c>
      <c r="D71" s="77">
        <f t="shared" ref="D71:F71" si="8">D7-D39</f>
        <v>-2.1000000000003638</v>
      </c>
      <c r="E71" s="77">
        <f t="shared" si="8"/>
        <v>-2.1191918039030497</v>
      </c>
      <c r="F71" s="77">
        <f t="shared" si="8"/>
        <v>-2.1377027001171882</v>
      </c>
      <c r="G71" s="77">
        <f t="shared" ref="G71:K71" si="9">G7-G39</f>
        <v>-2.1563023904477632</v>
      </c>
      <c r="H71" s="77">
        <f t="shared" si="9"/>
        <v>-2.1742282904106105</v>
      </c>
      <c r="I71" s="77">
        <f t="shared" si="9"/>
        <v>-2.192138825343136</v>
      </c>
      <c r="J71" s="77">
        <f t="shared" si="9"/>
        <v>-2.2107955343749381</v>
      </c>
      <c r="K71" s="77">
        <f t="shared" si="9"/>
        <v>-2.2291960152665524</v>
      </c>
      <c r="L71" s="77">
        <f t="shared" ref="L71" si="10">L7-L39</f>
        <v>-2.2478040028595387</v>
      </c>
    </row>
    <row r="72" spans="2:12" x14ac:dyDescent="0.35">
      <c r="B72" s="57" t="s">
        <v>199</v>
      </c>
      <c r="C72" s="57" t="s">
        <v>200</v>
      </c>
      <c r="D72" s="77">
        <f t="shared" ref="D72:F72" si="11">D8-D40</f>
        <v>0</v>
      </c>
      <c r="E72" s="77">
        <f t="shared" si="11"/>
        <v>0</v>
      </c>
      <c r="F72" s="77">
        <f t="shared" si="11"/>
        <v>0</v>
      </c>
      <c r="G72" s="77">
        <f t="shared" ref="G72:K72" si="12">G8-G40</f>
        <v>0</v>
      </c>
      <c r="H72" s="77">
        <f t="shared" si="12"/>
        <v>0</v>
      </c>
      <c r="I72" s="77">
        <f t="shared" si="12"/>
        <v>0</v>
      </c>
      <c r="J72" s="77">
        <f t="shared" si="12"/>
        <v>0</v>
      </c>
      <c r="K72" s="77">
        <f t="shared" si="12"/>
        <v>0</v>
      </c>
      <c r="L72" s="77">
        <f t="shared" ref="L72" si="13">L8-L40</f>
        <v>0</v>
      </c>
    </row>
    <row r="73" spans="2:12" x14ac:dyDescent="0.35">
      <c r="B73" s="57" t="s">
        <v>201</v>
      </c>
      <c r="C73" s="57" t="s">
        <v>202</v>
      </c>
      <c r="D73" s="77">
        <f t="shared" ref="D73:F73" si="14">D9-D41</f>
        <v>0</v>
      </c>
      <c r="E73" s="77">
        <f t="shared" si="14"/>
        <v>0</v>
      </c>
      <c r="F73" s="77">
        <f t="shared" si="14"/>
        <v>0</v>
      </c>
      <c r="G73" s="77">
        <f t="shared" ref="G73:K73" si="15">G9-G41</f>
        <v>0</v>
      </c>
      <c r="H73" s="77">
        <f t="shared" si="15"/>
        <v>0</v>
      </c>
      <c r="I73" s="77">
        <f t="shared" si="15"/>
        <v>0</v>
      </c>
      <c r="J73" s="77">
        <f t="shared" si="15"/>
        <v>0</v>
      </c>
      <c r="K73" s="77">
        <f t="shared" si="15"/>
        <v>0</v>
      </c>
      <c r="L73" s="77">
        <f t="shared" ref="L73" si="16">L9-L41</f>
        <v>0</v>
      </c>
    </row>
    <row r="74" spans="2:12" x14ac:dyDescent="0.35">
      <c r="B74" s="57" t="s">
        <v>203</v>
      </c>
      <c r="C74" s="57" t="s">
        <v>204</v>
      </c>
      <c r="D74" s="77">
        <f t="shared" ref="D74:F74" si="17">D10-D42</f>
        <v>0</v>
      </c>
      <c r="E74" s="77">
        <f t="shared" si="17"/>
        <v>0</v>
      </c>
      <c r="F74" s="77">
        <f t="shared" si="17"/>
        <v>0</v>
      </c>
      <c r="G74" s="77">
        <f t="shared" ref="G74:K74" si="18">G10-G42</f>
        <v>0</v>
      </c>
      <c r="H74" s="77">
        <f t="shared" si="18"/>
        <v>0</v>
      </c>
      <c r="I74" s="77">
        <f t="shared" si="18"/>
        <v>0</v>
      </c>
      <c r="J74" s="77">
        <f t="shared" si="18"/>
        <v>0</v>
      </c>
      <c r="K74" s="77">
        <f t="shared" si="18"/>
        <v>0</v>
      </c>
      <c r="L74" s="77">
        <f t="shared" ref="L74" si="19">L10-L42</f>
        <v>0</v>
      </c>
    </row>
    <row r="75" spans="2:12" x14ac:dyDescent="0.35">
      <c r="B75" s="57" t="s">
        <v>205</v>
      </c>
      <c r="C75" s="57" t="s">
        <v>206</v>
      </c>
      <c r="D75" s="77">
        <f t="shared" ref="D75:F75" si="20">D11-D43</f>
        <v>0</v>
      </c>
      <c r="E75" s="77">
        <f t="shared" si="20"/>
        <v>0</v>
      </c>
      <c r="F75" s="77">
        <f t="shared" si="20"/>
        <v>0</v>
      </c>
      <c r="G75" s="77">
        <f t="shared" ref="G75:K75" si="21">G11-G43</f>
        <v>0</v>
      </c>
      <c r="H75" s="77">
        <f t="shared" si="21"/>
        <v>0</v>
      </c>
      <c r="I75" s="77">
        <f t="shared" si="21"/>
        <v>0</v>
      </c>
      <c r="J75" s="77">
        <f t="shared" si="21"/>
        <v>0</v>
      </c>
      <c r="K75" s="77">
        <f t="shared" si="21"/>
        <v>0</v>
      </c>
      <c r="L75" s="77">
        <f t="shared" ref="L75" si="22">L11-L43</f>
        <v>0</v>
      </c>
    </row>
    <row r="76" spans="2:12" x14ac:dyDescent="0.35">
      <c r="B76" s="57" t="s">
        <v>207</v>
      </c>
      <c r="C76" s="57" t="s">
        <v>208</v>
      </c>
      <c r="D76" s="77">
        <f t="shared" ref="D76:F76" si="23">D12-D44</f>
        <v>0</v>
      </c>
      <c r="E76" s="77">
        <f t="shared" si="23"/>
        <v>-0.7836135449053927</v>
      </c>
      <c r="F76" s="77">
        <f t="shared" si="23"/>
        <v>-1.6839235920788269</v>
      </c>
      <c r="G76" s="77">
        <f t="shared" ref="G76:K76" si="24">G12-G44</f>
        <v>-2.5575821959763516</v>
      </c>
      <c r="H76" s="77">
        <f t="shared" si="24"/>
        <v>-3.4368769978856335</v>
      </c>
      <c r="I76" s="77">
        <f t="shared" si="24"/>
        <v>-4.3303483092958004</v>
      </c>
      <c r="J76" s="77">
        <f t="shared" si="24"/>
        <v>-5.2351341587582283</v>
      </c>
      <c r="K76" s="77">
        <f t="shared" si="24"/>
        <v>-6.1513288232032437</v>
      </c>
      <c r="L76" s="77">
        <f t="shared" ref="L76" si="25">L12-L44</f>
        <v>-7.0790272613065781</v>
      </c>
    </row>
    <row r="77" spans="2:12" x14ac:dyDescent="0.35">
      <c r="B77" s="57" t="s">
        <v>209</v>
      </c>
      <c r="C77" s="57" t="s">
        <v>210</v>
      </c>
      <c r="D77" s="77">
        <f t="shared" ref="D77:F77" si="26">D13-D45</f>
        <v>-20.5</v>
      </c>
      <c r="E77" s="77">
        <f t="shared" si="26"/>
        <v>-21.833427365447506</v>
      </c>
      <c r="F77" s="77">
        <f t="shared" si="26"/>
        <v>-23.182083116275635</v>
      </c>
      <c r="G77" s="77">
        <f t="shared" ref="G77:K77" si="27">G13-G45</f>
        <v>-24.536309233854013</v>
      </c>
      <c r="H77" s="77">
        <f t="shared" si="27"/>
        <v>-25.898899987464574</v>
      </c>
      <c r="I77" s="77">
        <f t="shared" si="27"/>
        <v>-27.347672774584794</v>
      </c>
      <c r="J77" s="77">
        <f t="shared" si="27"/>
        <v>-28.813660763612575</v>
      </c>
      <c r="K77" s="77">
        <f t="shared" si="27"/>
        <v>-30.297005001347088</v>
      </c>
      <c r="L77" s="77">
        <f t="shared" ref="L77" si="28">L13-L45</f>
        <v>-31.797847546823846</v>
      </c>
    </row>
    <row r="78" spans="2:12" x14ac:dyDescent="0.35">
      <c r="B78" s="57" t="s">
        <v>55</v>
      </c>
      <c r="C78" s="57" t="s">
        <v>211</v>
      </c>
      <c r="D78" s="77">
        <f t="shared" ref="D78:F78" si="29">D14-D46</f>
        <v>0</v>
      </c>
      <c r="E78" s="77">
        <f t="shared" si="29"/>
        <v>0</v>
      </c>
      <c r="F78" s="77">
        <f t="shared" si="29"/>
        <v>0</v>
      </c>
      <c r="G78" s="77">
        <f t="shared" ref="G78:K78" si="30">G14-G46</f>
        <v>0</v>
      </c>
      <c r="H78" s="77">
        <f t="shared" si="30"/>
        <v>0</v>
      </c>
      <c r="I78" s="77">
        <f t="shared" si="30"/>
        <v>0</v>
      </c>
      <c r="J78" s="77">
        <f t="shared" si="30"/>
        <v>0</v>
      </c>
      <c r="K78" s="77">
        <f t="shared" si="30"/>
        <v>0</v>
      </c>
      <c r="L78" s="77">
        <f t="shared" ref="L78" si="31">L14-L46</f>
        <v>0</v>
      </c>
    </row>
    <row r="79" spans="2:12" x14ac:dyDescent="0.35">
      <c r="B79" s="57" t="s">
        <v>212</v>
      </c>
      <c r="C79" s="57" t="s">
        <v>213</v>
      </c>
      <c r="D79" s="77">
        <f t="shared" ref="D79:F79" si="32">D15-D47</f>
        <v>0</v>
      </c>
      <c r="E79" s="77">
        <f t="shared" si="32"/>
        <v>0</v>
      </c>
      <c r="F79" s="77">
        <f t="shared" si="32"/>
        <v>0</v>
      </c>
      <c r="G79" s="77">
        <f t="shared" ref="G79:K79" si="33">G15-G47</f>
        <v>0</v>
      </c>
      <c r="H79" s="77">
        <f t="shared" si="33"/>
        <v>0</v>
      </c>
      <c r="I79" s="77">
        <f t="shared" si="33"/>
        <v>0</v>
      </c>
      <c r="J79" s="77">
        <f t="shared" si="33"/>
        <v>0</v>
      </c>
      <c r="K79" s="77">
        <f t="shared" si="33"/>
        <v>0</v>
      </c>
      <c r="L79" s="77">
        <f t="shared" ref="L79" si="34">L15-L47</f>
        <v>0</v>
      </c>
    </row>
    <row r="80" spans="2:12" x14ac:dyDescent="0.35">
      <c r="B80" s="57" t="s">
        <v>214</v>
      </c>
      <c r="C80" s="57" t="s">
        <v>215</v>
      </c>
      <c r="D80" s="77">
        <f t="shared" ref="D80:F80" si="35">D16-D48</f>
        <v>0</v>
      </c>
      <c r="E80" s="77">
        <f t="shared" si="35"/>
        <v>0</v>
      </c>
      <c r="F80" s="77">
        <f t="shared" si="35"/>
        <v>0</v>
      </c>
      <c r="G80" s="77">
        <f t="shared" ref="G80:K80" si="36">G16-G48</f>
        <v>0</v>
      </c>
      <c r="H80" s="77">
        <f t="shared" si="36"/>
        <v>0</v>
      </c>
      <c r="I80" s="77">
        <f t="shared" si="36"/>
        <v>0</v>
      </c>
      <c r="J80" s="77">
        <f t="shared" si="36"/>
        <v>0</v>
      </c>
      <c r="K80" s="77">
        <f t="shared" si="36"/>
        <v>0</v>
      </c>
      <c r="L80" s="77">
        <f t="shared" ref="L80" si="37">L16-L48</f>
        <v>0</v>
      </c>
    </row>
    <row r="81" spans="2:14" x14ac:dyDescent="0.35">
      <c r="B81" s="57" t="s">
        <v>216</v>
      </c>
      <c r="C81" s="57" t="s">
        <v>217</v>
      </c>
      <c r="D81" s="77">
        <f t="shared" ref="D81:F81" si="38">D17-D49</f>
        <v>0</v>
      </c>
      <c r="E81" s="77">
        <f t="shared" si="38"/>
        <v>0</v>
      </c>
      <c r="F81" s="77">
        <f t="shared" si="38"/>
        <v>0</v>
      </c>
      <c r="G81" s="77">
        <f t="shared" ref="G81:K81" si="39">G17-G49</f>
        <v>0</v>
      </c>
      <c r="H81" s="77">
        <f t="shared" si="39"/>
        <v>0</v>
      </c>
      <c r="I81" s="77">
        <f t="shared" si="39"/>
        <v>0</v>
      </c>
      <c r="J81" s="77">
        <f t="shared" si="39"/>
        <v>0</v>
      </c>
      <c r="K81" s="77">
        <f t="shared" si="39"/>
        <v>0</v>
      </c>
      <c r="L81" s="77">
        <f t="shared" ref="L81" si="40">L17-L49</f>
        <v>0</v>
      </c>
    </row>
    <row r="82" spans="2:14" x14ac:dyDescent="0.35">
      <c r="B82" s="57" t="s">
        <v>821</v>
      </c>
      <c r="C82" s="57" t="s">
        <v>219</v>
      </c>
      <c r="D82" s="77">
        <f t="shared" ref="D82:F82" si="41">D18-D50</f>
        <v>0</v>
      </c>
      <c r="E82" s="77">
        <f t="shared" si="41"/>
        <v>0</v>
      </c>
      <c r="F82" s="77">
        <f t="shared" si="41"/>
        <v>0</v>
      </c>
      <c r="G82" s="77">
        <f t="shared" ref="G82:K82" si="42">G18-G50</f>
        <v>0</v>
      </c>
      <c r="H82" s="77">
        <f t="shared" si="42"/>
        <v>0</v>
      </c>
      <c r="I82" s="77">
        <f t="shared" si="42"/>
        <v>0</v>
      </c>
      <c r="J82" s="77">
        <f t="shared" si="42"/>
        <v>0</v>
      </c>
      <c r="K82" s="77">
        <f t="shared" si="42"/>
        <v>0</v>
      </c>
      <c r="L82" s="77">
        <f t="shared" ref="L82" si="43">L18-L50</f>
        <v>0</v>
      </c>
    </row>
    <row r="83" spans="2:14" x14ac:dyDescent="0.35">
      <c r="B83" s="57" t="s">
        <v>220</v>
      </c>
      <c r="C83" s="57" t="s">
        <v>221</v>
      </c>
      <c r="D83" s="77">
        <f t="shared" ref="D83:F83" si="44">D19-D51</f>
        <v>0.40000000000009095</v>
      </c>
      <c r="E83" s="77">
        <f t="shared" si="44"/>
        <v>0.3999999999996362</v>
      </c>
      <c r="F83" s="77">
        <f t="shared" si="44"/>
        <v>0.41519973399954324</v>
      </c>
      <c r="G83" s="77">
        <f t="shared" ref="G83:K83" si="45">G19-G51</f>
        <v>0.41519973399999799</v>
      </c>
      <c r="H83" s="77">
        <f t="shared" si="45"/>
        <v>0.41519973399954324</v>
      </c>
      <c r="I83" s="77">
        <f t="shared" si="45"/>
        <v>0.41519973399999799</v>
      </c>
      <c r="J83" s="77">
        <f t="shared" si="45"/>
        <v>0.43074906188167006</v>
      </c>
      <c r="K83" s="77">
        <f t="shared" si="45"/>
        <v>0.43074906188167006</v>
      </c>
      <c r="L83" s="77">
        <f t="shared" ref="L83" si="46">L19-L51</f>
        <v>0.43074906188167006</v>
      </c>
    </row>
    <row r="84" spans="2:14" x14ac:dyDescent="0.35">
      <c r="B84" s="57" t="s">
        <v>222</v>
      </c>
      <c r="C84" s="57" t="s">
        <v>223</v>
      </c>
      <c r="D84" s="77">
        <f t="shared" ref="D84:F84" si="47">D20-D52</f>
        <v>0</v>
      </c>
      <c r="E84" s="77">
        <f t="shared" si="47"/>
        <v>0</v>
      </c>
      <c r="F84" s="77">
        <f t="shared" si="47"/>
        <v>0</v>
      </c>
      <c r="G84" s="77">
        <f t="shared" ref="G84:K84" si="48">G20-G52</f>
        <v>0</v>
      </c>
      <c r="H84" s="77">
        <f t="shared" si="48"/>
        <v>0</v>
      </c>
      <c r="I84" s="77">
        <f t="shared" si="48"/>
        <v>0</v>
      </c>
      <c r="J84" s="77">
        <f t="shared" si="48"/>
        <v>0</v>
      </c>
      <c r="K84" s="77">
        <f t="shared" si="48"/>
        <v>0</v>
      </c>
      <c r="L84" s="77">
        <f t="shared" ref="L84" si="49">L20-L52</f>
        <v>0</v>
      </c>
    </row>
    <row r="85" spans="2:14" x14ac:dyDescent="0.35">
      <c r="B85" s="57" t="s">
        <v>224</v>
      </c>
      <c r="C85" s="57" t="s">
        <v>225</v>
      </c>
      <c r="D85" s="77">
        <f t="shared" ref="D85:F85" si="50">D21-D53</f>
        <v>-38.700000000000728</v>
      </c>
      <c r="E85" s="77">
        <f t="shared" si="50"/>
        <v>-47.838000496653876</v>
      </c>
      <c r="F85" s="77">
        <f t="shared" si="50"/>
        <v>-48.666116698358564</v>
      </c>
      <c r="G85" s="77">
        <f t="shared" ref="G85:K85" si="51">G21-G53</f>
        <v>-48.972229268256342</v>
      </c>
      <c r="H85" s="77">
        <f t="shared" si="51"/>
        <v>-49.280425702000684</v>
      </c>
      <c r="I85" s="77">
        <f t="shared" si="51"/>
        <v>-49.59072132203346</v>
      </c>
      <c r="J85" s="77">
        <f t="shared" si="51"/>
        <v>-50.53147429263754</v>
      </c>
      <c r="K85" s="77">
        <f t="shared" si="51"/>
        <v>-50.849133158045333</v>
      </c>
      <c r="L85" s="77">
        <f t="shared" ref="L85" si="52">L21-L53</f>
        <v>-51.168953381415122</v>
      </c>
      <c r="M85" s="75"/>
      <c r="N85" s="75"/>
    </row>
    <row r="86" spans="2:14" x14ac:dyDescent="0.35">
      <c r="B86" s="57" t="s">
        <v>226</v>
      </c>
      <c r="C86" s="57" t="s">
        <v>227</v>
      </c>
      <c r="D86" s="77">
        <f t="shared" ref="D86:F86" si="53">D22-D54</f>
        <v>4.5</v>
      </c>
      <c r="E86" s="77">
        <f t="shared" si="53"/>
        <v>9.8495674160440103</v>
      </c>
      <c r="F86" s="77">
        <f t="shared" si="53"/>
        <v>9.9700596198754283</v>
      </c>
      <c r="G86" s="77">
        <f t="shared" ref="G86:K86" si="54">G22-G54</f>
        <v>10.089081744116356</v>
      </c>
      <c r="H86" s="77">
        <f t="shared" si="54"/>
        <v>10.205276688005142</v>
      </c>
      <c r="I86" s="77">
        <f t="shared" si="54"/>
        <v>10.323713472075724</v>
      </c>
      <c r="J86" s="77">
        <f t="shared" si="54"/>
        <v>10.434543960311657</v>
      </c>
      <c r="K86" s="77">
        <f t="shared" si="54"/>
        <v>10.541717274065832</v>
      </c>
      <c r="L86" s="77">
        <f t="shared" ref="L86" si="55">L22-L54</f>
        <v>10.645155570423412</v>
      </c>
    </row>
    <row r="87" spans="2:14" x14ac:dyDescent="0.35">
      <c r="B87" s="57" t="s">
        <v>228</v>
      </c>
      <c r="C87" s="57" t="s">
        <v>229</v>
      </c>
      <c r="D87" s="77">
        <f t="shared" ref="D87:F87" si="56">D23-D55</f>
        <v>-22.449857309426648</v>
      </c>
      <c r="E87" s="77">
        <f t="shared" si="56"/>
        <v>-22.900709194267563</v>
      </c>
      <c r="F87" s="77">
        <f t="shared" si="56"/>
        <v>-23.360615364811224</v>
      </c>
      <c r="G87" s="77">
        <f t="shared" ref="G87:K87" si="57">G23-G55</f>
        <v>-23.8297576548091</v>
      </c>
      <c r="H87" s="77">
        <f t="shared" si="57"/>
        <v>-24.308321549710172</v>
      </c>
      <c r="I87" s="77">
        <f t="shared" si="57"/>
        <v>-24.246939695675792</v>
      </c>
      <c r="J87" s="77">
        <f t="shared" si="57"/>
        <v>-24.185712839262123</v>
      </c>
      <c r="K87" s="77">
        <f t="shared" si="57"/>
        <v>-24.124640589078922</v>
      </c>
      <c r="L87" s="77">
        <f t="shared" ref="L87" si="58">L23-L55</f>
        <v>-24.063722554724109</v>
      </c>
    </row>
    <row r="88" spans="2:14" x14ac:dyDescent="0.35">
      <c r="B88" s="57" t="s">
        <v>230</v>
      </c>
      <c r="C88" s="57" t="s">
        <v>231</v>
      </c>
      <c r="D88" s="77">
        <f t="shared" ref="D88:F88" si="59">D24-D56</f>
        <v>4.8381156626714414</v>
      </c>
      <c r="E88" s="77">
        <f t="shared" si="59"/>
        <v>1.9870548989073313</v>
      </c>
      <c r="F88" s="77">
        <f t="shared" si="59"/>
        <v>2.0052535699822158</v>
      </c>
      <c r="G88" s="77">
        <f t="shared" ref="G88:K88" si="60">G24-G56</f>
        <v>2.0233855792583881</v>
      </c>
      <c r="H88" s="77">
        <f t="shared" si="60"/>
        <v>2.0349180704523917</v>
      </c>
      <c r="I88" s="77">
        <f t="shared" si="60"/>
        <v>2.0359179974345238</v>
      </c>
      <c r="J88" s="77">
        <f t="shared" si="60"/>
        <v>2.0269853163940752</v>
      </c>
      <c r="K88" s="77">
        <f t="shared" si="60"/>
        <v>2.0255187568202757</v>
      </c>
      <c r="L88" s="77">
        <f t="shared" ref="L88" si="61">L24-L56</f>
        <v>2.0309183625238347</v>
      </c>
    </row>
    <row r="89" spans="2:14" x14ac:dyDescent="0.35">
      <c r="B89" s="57" t="s">
        <v>1384</v>
      </c>
      <c r="C89" s="57" t="s">
        <v>1383</v>
      </c>
      <c r="D89" s="77">
        <f t="shared" ref="D89:F89" si="62">D25-D57</f>
        <v>0</v>
      </c>
      <c r="E89" s="77">
        <f t="shared" si="62"/>
        <v>0</v>
      </c>
      <c r="F89" s="77">
        <f t="shared" si="62"/>
        <v>0</v>
      </c>
      <c r="G89" s="77">
        <f t="shared" ref="G89:K89" si="63">G25-G57</f>
        <v>0</v>
      </c>
      <c r="H89" s="77">
        <f t="shared" si="63"/>
        <v>0</v>
      </c>
      <c r="I89" s="77">
        <f t="shared" si="63"/>
        <v>0</v>
      </c>
      <c r="J89" s="77">
        <f t="shared" si="63"/>
        <v>0</v>
      </c>
      <c r="K89" s="77">
        <f t="shared" si="63"/>
        <v>0</v>
      </c>
      <c r="L89" s="77">
        <f t="shared" ref="L89" si="64">L25-L57</f>
        <v>0</v>
      </c>
    </row>
    <row r="90" spans="2:14" x14ac:dyDescent="0.35">
      <c r="B90" s="57"/>
      <c r="C90" s="57"/>
      <c r="D90" s="77"/>
      <c r="E90" s="77"/>
      <c r="F90" s="77"/>
      <c r="G90" s="77"/>
      <c r="H90" s="77"/>
      <c r="I90" s="77"/>
      <c r="J90" s="77"/>
      <c r="K90" s="77"/>
      <c r="L90" s="77"/>
    </row>
    <row r="91" spans="2:14" x14ac:dyDescent="0.35">
      <c r="B91" s="76" t="s">
        <v>1895</v>
      </c>
      <c r="C91" s="57"/>
      <c r="D91" s="77"/>
      <c r="E91" s="77"/>
      <c r="F91" s="77"/>
      <c r="G91" s="77"/>
      <c r="H91" s="77"/>
      <c r="I91" s="77"/>
      <c r="J91" s="77"/>
      <c r="K91" s="77"/>
      <c r="L91" s="77"/>
    </row>
    <row r="92" spans="2:14" x14ac:dyDescent="0.35">
      <c r="B92" s="57" t="s">
        <v>1709</v>
      </c>
      <c r="C92" s="57" t="s">
        <v>1896</v>
      </c>
      <c r="D92" s="79">
        <f t="shared" ref="D92:G92" si="65">D28-D60</f>
        <v>-1.3125267264246787E-4</v>
      </c>
      <c r="E92" s="79">
        <f t="shared" si="65"/>
        <v>2.0000000000000018E-3</v>
      </c>
      <c r="F92" s="79">
        <f t="shared" si="65"/>
        <v>0</v>
      </c>
      <c r="G92" s="79">
        <f t="shared" si="65"/>
        <v>0</v>
      </c>
      <c r="H92" s="79">
        <f t="shared" ref="H92:I92" si="66">H28-H60</f>
        <v>0</v>
      </c>
      <c r="I92" s="79">
        <f t="shared" si="66"/>
        <v>0</v>
      </c>
      <c r="J92" s="79">
        <f t="shared" ref="J92:K92" si="67">J28-J60</f>
        <v>0</v>
      </c>
      <c r="K92" s="79">
        <f t="shared" si="67"/>
        <v>0</v>
      </c>
      <c r="L92" s="79">
        <f t="shared" ref="L92" si="68">L28-L60</f>
        <v>0</v>
      </c>
    </row>
    <row r="93" spans="2:14" x14ac:dyDescent="0.35">
      <c r="B93" s="57" t="s">
        <v>1710</v>
      </c>
      <c r="C93" s="57"/>
      <c r="D93" s="79">
        <f t="shared" ref="D93:G96" si="69">D29-D61</f>
        <v>6.7926378653924147E-3</v>
      </c>
      <c r="E93" s="79">
        <f t="shared" si="69"/>
        <v>0</v>
      </c>
      <c r="F93" s="79">
        <f t="shared" si="69"/>
        <v>0</v>
      </c>
      <c r="G93" s="79">
        <f t="shared" si="69"/>
        <v>0</v>
      </c>
      <c r="H93" s="79">
        <f t="shared" ref="H93:I93" si="70">H29-H61</f>
        <v>0</v>
      </c>
      <c r="I93" s="79">
        <f t="shared" si="70"/>
        <v>0</v>
      </c>
      <c r="J93" s="79">
        <f t="shared" ref="J93:K93" si="71">J29-J61</f>
        <v>0</v>
      </c>
      <c r="K93" s="79">
        <f t="shared" si="71"/>
        <v>0</v>
      </c>
      <c r="L93" s="79">
        <f t="shared" ref="L93" si="72">L29-L61</f>
        <v>0</v>
      </c>
    </row>
    <row r="94" spans="2:14" x14ac:dyDescent="0.35">
      <c r="B94" s="57" t="s">
        <v>1711</v>
      </c>
      <c r="C94" s="57"/>
      <c r="D94" s="79">
        <f t="shared" si="69"/>
        <v>-6.0352819808242586E-3</v>
      </c>
      <c r="E94" s="79">
        <f t="shared" si="69"/>
        <v>0</v>
      </c>
      <c r="F94" s="79">
        <f t="shared" si="69"/>
        <v>0</v>
      </c>
      <c r="G94" s="79">
        <f t="shared" si="69"/>
        <v>0</v>
      </c>
      <c r="H94" s="79">
        <f t="shared" ref="H94:I94" si="73">H30-H62</f>
        <v>0</v>
      </c>
      <c r="I94" s="79">
        <f t="shared" si="73"/>
        <v>0</v>
      </c>
      <c r="J94" s="79">
        <f t="shared" ref="J94:K94" si="74">J30-J62</f>
        <v>0</v>
      </c>
      <c r="K94" s="79">
        <f t="shared" si="74"/>
        <v>0</v>
      </c>
      <c r="L94" s="79">
        <f t="shared" ref="L94" si="75">L30-L62</f>
        <v>0</v>
      </c>
    </row>
    <row r="95" spans="2:14" x14ac:dyDescent="0.35">
      <c r="B95" s="57" t="s">
        <v>1712</v>
      </c>
      <c r="C95" s="57"/>
      <c r="D95" s="79">
        <f t="shared" si="69"/>
        <v>-8.1850262886560277E-3</v>
      </c>
      <c r="E95" s="79">
        <f t="shared" si="69"/>
        <v>0</v>
      </c>
      <c r="F95" s="79">
        <f t="shared" si="69"/>
        <v>0</v>
      </c>
      <c r="G95" s="79">
        <f t="shared" si="69"/>
        <v>0</v>
      </c>
      <c r="H95" s="79">
        <f t="shared" ref="H95:I95" si="76">H31-H63</f>
        <v>0</v>
      </c>
      <c r="I95" s="79">
        <f t="shared" si="76"/>
        <v>0</v>
      </c>
      <c r="J95" s="79">
        <f t="shared" ref="J95:K95" si="77">J31-J63</f>
        <v>0</v>
      </c>
      <c r="K95" s="79">
        <f t="shared" si="77"/>
        <v>0</v>
      </c>
      <c r="L95" s="79">
        <f t="shared" ref="L95" si="78">L31-L63</f>
        <v>0</v>
      </c>
    </row>
    <row r="96" spans="2:14" x14ac:dyDescent="0.35">
      <c r="B96" s="57" t="s">
        <v>1713</v>
      </c>
      <c r="C96" s="57"/>
      <c r="D96" s="79">
        <f t="shared" si="69"/>
        <v>2.9930662286339338E-3</v>
      </c>
      <c r="E96" s="79">
        <f t="shared" si="69"/>
        <v>0</v>
      </c>
      <c r="F96" s="79">
        <f t="shared" si="69"/>
        <v>0</v>
      </c>
      <c r="G96" s="79">
        <f t="shared" si="69"/>
        <v>0</v>
      </c>
      <c r="H96" s="79">
        <f t="shared" ref="H96:I96" si="79">H32-H64</f>
        <v>0</v>
      </c>
      <c r="I96" s="79">
        <f t="shared" si="79"/>
        <v>0</v>
      </c>
      <c r="J96" s="79">
        <f t="shared" ref="J96:K96" si="80">J32-J64</f>
        <v>0</v>
      </c>
      <c r="K96" s="79">
        <f t="shared" si="80"/>
        <v>0</v>
      </c>
      <c r="L96" s="79">
        <f t="shared" ref="L96" si="81">L32-L64</f>
        <v>0</v>
      </c>
    </row>
    <row r="98" spans="2:12" x14ac:dyDescent="0.35">
      <c r="B98" s="1245" t="s">
        <v>233</v>
      </c>
      <c r="C98" s="1245"/>
      <c r="D98" s="1245"/>
      <c r="E98" s="1245"/>
      <c r="F98" s="1245"/>
      <c r="G98" s="1245"/>
      <c r="H98" s="1245"/>
      <c r="I98" s="1245"/>
      <c r="J98" s="1245"/>
      <c r="K98" s="1245"/>
      <c r="L98" s="1245"/>
    </row>
    <row r="99" spans="2:12" x14ac:dyDescent="0.35">
      <c r="B99" t="s">
        <v>178</v>
      </c>
      <c r="C99" t="s">
        <v>179</v>
      </c>
      <c r="D99" t="s">
        <v>175</v>
      </c>
      <c r="E99" t="s">
        <v>176</v>
      </c>
      <c r="F99" t="s">
        <v>177</v>
      </c>
      <c r="G99" t="s">
        <v>764</v>
      </c>
      <c r="H99" t="s">
        <v>765</v>
      </c>
      <c r="I99" t="s">
        <v>766</v>
      </c>
      <c r="J99" t="s">
        <v>1156</v>
      </c>
      <c r="K99" t="s">
        <v>1157</v>
      </c>
      <c r="L99" t="s">
        <v>1158</v>
      </c>
    </row>
    <row r="100" spans="2:12" x14ac:dyDescent="0.35">
      <c r="B100" t="s">
        <v>192</v>
      </c>
      <c r="C100" t="s">
        <v>193</v>
      </c>
      <c r="D100" s="80">
        <f t="shared" ref="D100:F100" si="82">(D4/D36-1)</f>
        <v>0</v>
      </c>
      <c r="E100" s="80">
        <f t="shared" si="82"/>
        <v>0</v>
      </c>
      <c r="F100" s="80">
        <f t="shared" si="82"/>
        <v>0</v>
      </c>
      <c r="G100" s="80">
        <f t="shared" ref="G100:K100" si="83">(G4/G36-1)</f>
        <v>0</v>
      </c>
      <c r="H100" s="80">
        <f t="shared" si="83"/>
        <v>0</v>
      </c>
      <c r="I100" s="80">
        <f t="shared" si="83"/>
        <v>0</v>
      </c>
      <c r="J100" s="80">
        <f t="shared" si="83"/>
        <v>0</v>
      </c>
      <c r="K100" s="80">
        <f>(K4/K36-1)</f>
        <v>0</v>
      </c>
      <c r="L100" s="80">
        <f>(L4/L36-1)</f>
        <v>0</v>
      </c>
    </row>
    <row r="101" spans="2:12" x14ac:dyDescent="0.35">
      <c r="B101" t="s">
        <v>134</v>
      </c>
      <c r="C101" t="s">
        <v>194</v>
      </c>
      <c r="D101" s="80">
        <f t="shared" ref="D101:F101" si="84">(D5/D37-1)</f>
        <v>0</v>
      </c>
      <c r="E101" s="80">
        <f t="shared" si="84"/>
        <v>0</v>
      </c>
      <c r="F101" s="80">
        <f t="shared" si="84"/>
        <v>0</v>
      </c>
      <c r="G101" s="80">
        <f t="shared" ref="G101:K101" si="85">(G5/G37-1)</f>
        <v>0</v>
      </c>
      <c r="H101" s="80">
        <f t="shared" si="85"/>
        <v>0</v>
      </c>
      <c r="I101" s="80">
        <f t="shared" si="85"/>
        <v>0</v>
      </c>
      <c r="J101" s="80">
        <f t="shared" si="85"/>
        <v>0</v>
      </c>
      <c r="K101" s="80">
        <f>(K5/K37-1)</f>
        <v>0</v>
      </c>
      <c r="L101" s="80">
        <f>(L5/L37-1)</f>
        <v>0</v>
      </c>
    </row>
    <row r="102" spans="2:12" x14ac:dyDescent="0.35">
      <c r="B102" t="s">
        <v>195</v>
      </c>
      <c r="C102" t="s">
        <v>196</v>
      </c>
      <c r="D102" s="80">
        <f t="shared" ref="D102:F102" si="86">(D6/D38-1)</f>
        <v>-2.1121554546410515E-4</v>
      </c>
      <c r="E102" s="80">
        <f t="shared" si="86"/>
        <v>-2.1424011630588602E-4</v>
      </c>
      <c r="F102" s="80">
        <f t="shared" si="86"/>
        <v>-2.14240116305775E-4</v>
      </c>
      <c r="G102" s="80">
        <f t="shared" ref="G102:K102" si="87">(G6/G38-1)</f>
        <v>-2.14240116305775E-4</v>
      </c>
      <c r="H102" s="80">
        <f t="shared" si="87"/>
        <v>-2.14240116305775E-4</v>
      </c>
      <c r="I102" s="80">
        <f t="shared" si="87"/>
        <v>-2.14240116305775E-4</v>
      </c>
      <c r="J102" s="80">
        <f t="shared" si="87"/>
        <v>-2.14240116305775E-4</v>
      </c>
      <c r="K102" s="80">
        <f>(K6/K38-1)</f>
        <v>-2.14240116305775E-4</v>
      </c>
      <c r="L102" s="80">
        <f>(L6/L38-1)</f>
        <v>-2.14240116305775E-4</v>
      </c>
    </row>
    <row r="103" spans="2:12" x14ac:dyDescent="0.35">
      <c r="B103" t="s">
        <v>197</v>
      </c>
      <c r="C103" t="s">
        <v>198</v>
      </c>
      <c r="D103" s="80">
        <f t="shared" ref="D103:F103" si="88">(D7/D39-1)</f>
        <v>-6.6851303600434786E-4</v>
      </c>
      <c r="E103" s="80">
        <f t="shared" si="88"/>
        <v>-6.6851303600434786E-4</v>
      </c>
      <c r="F103" s="80">
        <f t="shared" si="88"/>
        <v>-6.6851303600445888E-4</v>
      </c>
      <c r="G103" s="80">
        <f t="shared" ref="G103:K103" si="89">(G7/G39-1)</f>
        <v>-6.6851303600434786E-4</v>
      </c>
      <c r="H103" s="80">
        <f t="shared" si="89"/>
        <v>-6.6851303600434786E-4</v>
      </c>
      <c r="I103" s="80">
        <f t="shared" si="89"/>
        <v>-6.6851303600434786E-4</v>
      </c>
      <c r="J103" s="80">
        <f t="shared" si="89"/>
        <v>-6.6851303600445888E-4</v>
      </c>
      <c r="K103" s="80">
        <f>(K7/K39-1)</f>
        <v>-6.6851303600445888E-4</v>
      </c>
      <c r="L103" s="80">
        <f>(L7/L39-1)</f>
        <v>-6.6851303600445888E-4</v>
      </c>
    </row>
    <row r="104" spans="2:12" x14ac:dyDescent="0.35">
      <c r="B104" t="s">
        <v>199</v>
      </c>
      <c r="C104" t="s">
        <v>200</v>
      </c>
      <c r="D104" s="80">
        <f t="shared" ref="D104:F104" si="90">(D8/D40-1)</f>
        <v>0</v>
      </c>
      <c r="E104" s="80">
        <f t="shared" si="90"/>
        <v>0</v>
      </c>
      <c r="F104" s="80">
        <f t="shared" si="90"/>
        <v>0</v>
      </c>
      <c r="G104" s="80">
        <f t="shared" ref="G104:K104" si="91">(G8/G40-1)</f>
        <v>0</v>
      </c>
      <c r="H104" s="80">
        <f t="shared" si="91"/>
        <v>0</v>
      </c>
      <c r="I104" s="80">
        <f t="shared" si="91"/>
        <v>0</v>
      </c>
      <c r="J104" s="80">
        <f t="shared" si="91"/>
        <v>0</v>
      </c>
      <c r="K104" s="80">
        <f>(K8/K40-1)</f>
        <v>0</v>
      </c>
      <c r="L104" s="80" t="e">
        <f>(L8/L40-1)</f>
        <v>#DIV/0!</v>
      </c>
    </row>
    <row r="105" spans="2:12" x14ac:dyDescent="0.35">
      <c r="B105" t="s">
        <v>201</v>
      </c>
      <c r="C105" t="s">
        <v>202</v>
      </c>
      <c r="D105" s="80">
        <f t="shared" ref="D105:F105" si="92">(D9/D41-1)</f>
        <v>0</v>
      </c>
      <c r="E105" s="80">
        <f t="shared" si="92"/>
        <v>0</v>
      </c>
      <c r="F105" s="80">
        <f t="shared" si="92"/>
        <v>0</v>
      </c>
      <c r="G105" s="80">
        <f t="shared" ref="G105:K105" si="93">(G9/G41-1)</f>
        <v>0</v>
      </c>
      <c r="H105" s="80">
        <f t="shared" si="93"/>
        <v>0</v>
      </c>
      <c r="I105" s="80">
        <f t="shared" si="93"/>
        <v>0</v>
      </c>
      <c r="J105" s="80" t="e">
        <f t="shared" si="93"/>
        <v>#DIV/0!</v>
      </c>
      <c r="K105" s="80" t="e">
        <f>(K9/K41-1)</f>
        <v>#DIV/0!</v>
      </c>
      <c r="L105" s="80" t="e">
        <f>(L9/L41-1)</f>
        <v>#DIV/0!</v>
      </c>
    </row>
    <row r="106" spans="2:12" x14ac:dyDescent="0.35">
      <c r="B106" t="s">
        <v>203</v>
      </c>
      <c r="C106" t="s">
        <v>204</v>
      </c>
      <c r="D106" s="80" t="e">
        <f t="shared" ref="D106:F106" si="94">(D10/D42-1)</f>
        <v>#DIV/0!</v>
      </c>
      <c r="E106" s="80" t="e">
        <f t="shared" si="94"/>
        <v>#DIV/0!</v>
      </c>
      <c r="F106" s="80" t="e">
        <f t="shared" si="94"/>
        <v>#DIV/0!</v>
      </c>
      <c r="G106" s="80" t="e">
        <f t="shared" ref="G106:K106" si="95">(G10/G42-1)</f>
        <v>#DIV/0!</v>
      </c>
      <c r="H106" s="80" t="e">
        <f t="shared" si="95"/>
        <v>#DIV/0!</v>
      </c>
      <c r="I106" s="80" t="e">
        <f t="shared" si="95"/>
        <v>#DIV/0!</v>
      </c>
      <c r="J106" s="80" t="e">
        <f t="shared" si="95"/>
        <v>#DIV/0!</v>
      </c>
      <c r="K106" s="80" t="e">
        <f>(K10/K42-1)</f>
        <v>#DIV/0!</v>
      </c>
      <c r="L106" s="80" t="e">
        <f>(L10/L42-1)</f>
        <v>#DIV/0!</v>
      </c>
    </row>
    <row r="107" spans="2:12" x14ac:dyDescent="0.35">
      <c r="B107" t="s">
        <v>205</v>
      </c>
      <c r="C107" t="s">
        <v>206</v>
      </c>
      <c r="D107" s="80">
        <f t="shared" ref="D107:F107" si="96">(D11/D43-1)</f>
        <v>0</v>
      </c>
      <c r="E107" s="80">
        <f t="shared" si="96"/>
        <v>0</v>
      </c>
      <c r="F107" s="80">
        <f t="shared" si="96"/>
        <v>0</v>
      </c>
      <c r="G107" s="80">
        <f t="shared" ref="G107:K107" si="97">(G11/G43-1)</f>
        <v>0</v>
      </c>
      <c r="H107" s="80">
        <f t="shared" si="97"/>
        <v>0</v>
      </c>
      <c r="I107" s="80">
        <f t="shared" si="97"/>
        <v>0</v>
      </c>
      <c r="J107" s="80">
        <f t="shared" si="97"/>
        <v>0</v>
      </c>
      <c r="K107" s="80">
        <f>(K11/K43-1)</f>
        <v>0</v>
      </c>
      <c r="L107" s="80">
        <f>(L11/L43-1)</f>
        <v>0</v>
      </c>
    </row>
    <row r="108" spans="2:12" x14ac:dyDescent="0.35">
      <c r="B108" t="s">
        <v>207</v>
      </c>
      <c r="C108" t="s">
        <v>208</v>
      </c>
      <c r="D108" s="80">
        <f t="shared" ref="D108:F108" si="98">(D12/D44-1)</f>
        <v>0</v>
      </c>
      <c r="E108" s="80">
        <f t="shared" si="98"/>
        <v>-1.2096492150529548E-3</v>
      </c>
      <c r="F108" s="80">
        <f t="shared" si="98"/>
        <v>-2.5922060153512616E-3</v>
      </c>
      <c r="G108" s="80">
        <f t="shared" ref="G108:K108" si="99">(G12/G44-1)</f>
        <v>-3.9179385869488881E-3</v>
      </c>
      <c r="H108" s="80">
        <f t="shared" si="99"/>
        <v>-5.2393489471111998E-3</v>
      </c>
      <c r="I108" s="80">
        <f t="shared" si="99"/>
        <v>-6.5490244421207988E-3</v>
      </c>
      <c r="J108" s="80">
        <f t="shared" si="99"/>
        <v>-7.8546918997296489E-3</v>
      </c>
      <c r="K108" s="80">
        <f>(K12/K44-1)</f>
        <v>-9.1564025904316004E-3</v>
      </c>
      <c r="L108" s="80">
        <f>(L12/L44-1)</f>
        <v>-1.045420685173537E-2</v>
      </c>
    </row>
    <row r="109" spans="2:12" x14ac:dyDescent="0.35">
      <c r="B109" t="s">
        <v>209</v>
      </c>
      <c r="C109" t="s">
        <v>210</v>
      </c>
      <c r="D109" s="80">
        <f t="shared" ref="D109:F109" si="100">(D13/D45-1)</f>
        <v>-2.1810830939461678E-2</v>
      </c>
      <c r="E109" s="80">
        <f t="shared" si="100"/>
        <v>-2.2994096699989086E-2</v>
      </c>
      <c r="F109" s="80">
        <f t="shared" si="100"/>
        <v>-2.4346498787651827E-2</v>
      </c>
      <c r="G109" s="80">
        <f t="shared" ref="G109:K109" si="101">(G13/G45-1)</f>
        <v>-2.5643316030259489E-2</v>
      </c>
      <c r="H109" s="80">
        <f t="shared" si="101"/>
        <v>-2.6935905332454491E-2</v>
      </c>
      <c r="I109" s="80">
        <f t="shared" si="101"/>
        <v>-2.8217015716657134E-2</v>
      </c>
      <c r="J109" s="80">
        <f t="shared" si="101"/>
        <v>-2.9494205482084701E-2</v>
      </c>
      <c r="K109" s="80">
        <f>(K13/K45-1)</f>
        <v>-3.076752478097966E-2</v>
      </c>
      <c r="L109" s="80">
        <f>(L13/L45-1)</f>
        <v>-3.203702285294785E-2</v>
      </c>
    </row>
    <row r="110" spans="2:12" x14ac:dyDescent="0.35">
      <c r="B110" t="s">
        <v>55</v>
      </c>
      <c r="C110" t="s">
        <v>211</v>
      </c>
      <c r="D110" s="80">
        <f t="shared" ref="D110:F110" si="102">(D14/D46-1)</f>
        <v>0</v>
      </c>
      <c r="E110" s="80">
        <f t="shared" si="102"/>
        <v>0</v>
      </c>
      <c r="F110" s="80">
        <f t="shared" si="102"/>
        <v>0</v>
      </c>
      <c r="G110" s="80">
        <f t="shared" ref="G110:K110" si="103">(G14/G46-1)</f>
        <v>0</v>
      </c>
      <c r="H110" s="80">
        <f t="shared" si="103"/>
        <v>0</v>
      </c>
      <c r="I110" s="80">
        <f t="shared" si="103"/>
        <v>0</v>
      </c>
      <c r="J110" s="80">
        <f t="shared" si="103"/>
        <v>0</v>
      </c>
      <c r="K110" s="80">
        <f>(K14/K46-1)</f>
        <v>0</v>
      </c>
      <c r="L110" s="80">
        <f>(L14/L46-1)</f>
        <v>0</v>
      </c>
    </row>
    <row r="111" spans="2:12" x14ac:dyDescent="0.35">
      <c r="B111" t="s">
        <v>212</v>
      </c>
      <c r="C111" t="s">
        <v>213</v>
      </c>
      <c r="D111" s="80" t="e">
        <f t="shared" ref="D111:F111" si="104">(D15/D47-1)</f>
        <v>#DIV/0!</v>
      </c>
      <c r="E111" s="80" t="e">
        <f t="shared" si="104"/>
        <v>#DIV/0!</v>
      </c>
      <c r="F111" s="80" t="e">
        <f t="shared" si="104"/>
        <v>#DIV/0!</v>
      </c>
      <c r="G111" s="80" t="e">
        <f t="shared" ref="G111:K111" si="105">(G15/G47-1)</f>
        <v>#DIV/0!</v>
      </c>
      <c r="H111" s="80" t="e">
        <f t="shared" si="105"/>
        <v>#DIV/0!</v>
      </c>
      <c r="I111" s="80" t="e">
        <f t="shared" si="105"/>
        <v>#DIV/0!</v>
      </c>
      <c r="J111" s="80" t="e">
        <f t="shared" si="105"/>
        <v>#DIV/0!</v>
      </c>
      <c r="K111" s="80" t="e">
        <f>(K15/K47-1)</f>
        <v>#DIV/0!</v>
      </c>
      <c r="L111" s="80" t="e">
        <f>(L15/L47-1)</f>
        <v>#DIV/0!</v>
      </c>
    </row>
    <row r="112" spans="2:12" x14ac:dyDescent="0.35">
      <c r="B112" t="s">
        <v>214</v>
      </c>
      <c r="C112" t="s">
        <v>215</v>
      </c>
      <c r="D112" s="80" t="e">
        <f t="shared" ref="D112:F112" si="106">(D16/D48-1)</f>
        <v>#DIV/0!</v>
      </c>
      <c r="E112" s="80" t="e">
        <f t="shared" si="106"/>
        <v>#DIV/0!</v>
      </c>
      <c r="F112" s="80" t="e">
        <f t="shared" si="106"/>
        <v>#DIV/0!</v>
      </c>
      <c r="G112" s="80" t="e">
        <f t="shared" ref="G112:K112" si="107">(G16/G48-1)</f>
        <v>#DIV/0!</v>
      </c>
      <c r="H112" s="80" t="e">
        <f t="shared" si="107"/>
        <v>#DIV/0!</v>
      </c>
      <c r="I112" s="80" t="e">
        <f t="shared" si="107"/>
        <v>#DIV/0!</v>
      </c>
      <c r="J112" s="80" t="e">
        <f t="shared" si="107"/>
        <v>#DIV/0!</v>
      </c>
      <c r="K112" s="80" t="e">
        <f>(K16/K48-1)</f>
        <v>#DIV/0!</v>
      </c>
      <c r="L112" s="80" t="e">
        <f>(L16/L48-1)</f>
        <v>#DIV/0!</v>
      </c>
    </row>
    <row r="113" spans="2:12" x14ac:dyDescent="0.35">
      <c r="B113" t="s">
        <v>216</v>
      </c>
      <c r="C113" t="s">
        <v>217</v>
      </c>
      <c r="D113" s="80">
        <f t="shared" ref="D113:F113" si="108">(D17/D49-1)</f>
        <v>0</v>
      </c>
      <c r="E113" s="80">
        <f t="shared" si="108"/>
        <v>0</v>
      </c>
      <c r="F113" s="80">
        <f t="shared" si="108"/>
        <v>0</v>
      </c>
      <c r="G113" s="80">
        <f t="shared" ref="G113:K113" si="109">(G17/G49-1)</f>
        <v>0</v>
      </c>
      <c r="H113" s="80">
        <f t="shared" si="109"/>
        <v>0</v>
      </c>
      <c r="I113" s="80">
        <f t="shared" si="109"/>
        <v>0</v>
      </c>
      <c r="J113" s="80" t="e">
        <f t="shared" si="109"/>
        <v>#DIV/0!</v>
      </c>
      <c r="K113" s="80" t="e">
        <f>(K17/K49-1)</f>
        <v>#DIV/0!</v>
      </c>
      <c r="L113" s="80" t="e">
        <f>(L17/L49-1)</f>
        <v>#DIV/0!</v>
      </c>
    </row>
    <row r="114" spans="2:12" x14ac:dyDescent="0.35">
      <c r="B114" t="s">
        <v>218</v>
      </c>
      <c r="C114" t="s">
        <v>219</v>
      </c>
      <c r="D114" s="80">
        <f t="shared" ref="D114:F114" si="110">(D18/D50-1)</f>
        <v>0</v>
      </c>
      <c r="E114" s="80">
        <f t="shared" si="110"/>
        <v>0</v>
      </c>
      <c r="F114" s="80">
        <f t="shared" si="110"/>
        <v>0</v>
      </c>
      <c r="G114" s="80">
        <f t="shared" ref="G114:K114" si="111">(G18/G50-1)</f>
        <v>0</v>
      </c>
      <c r="H114" s="80">
        <f t="shared" si="111"/>
        <v>0</v>
      </c>
      <c r="I114" s="80">
        <f t="shared" si="111"/>
        <v>0</v>
      </c>
      <c r="J114" s="80" t="e">
        <f t="shared" si="111"/>
        <v>#DIV/0!</v>
      </c>
      <c r="K114" s="80" t="e">
        <f>(K18/K50-1)</f>
        <v>#DIV/0!</v>
      </c>
      <c r="L114" s="80" t="e">
        <f>(L18/L50-1)</f>
        <v>#DIV/0!</v>
      </c>
    </row>
    <row r="115" spans="2:12" x14ac:dyDescent="0.35">
      <c r="B115" t="s">
        <v>220</v>
      </c>
      <c r="C115" t="s">
        <v>221</v>
      </c>
      <c r="D115" s="80">
        <f t="shared" ref="D115:F115" si="112">(D19/D51-1)</f>
        <v>1.8588232997918119E-4</v>
      </c>
      <c r="E115" s="80">
        <f t="shared" si="112"/>
        <v>1.8517429762221482E-4</v>
      </c>
      <c r="F115" s="80">
        <f t="shared" si="112"/>
        <v>1.8858325505899387E-4</v>
      </c>
      <c r="G115" s="80">
        <f t="shared" ref="G115:K115" si="113">(G19/G51-1)</f>
        <v>1.8801111233091028E-4</v>
      </c>
      <c r="H115" s="80">
        <f t="shared" si="113"/>
        <v>1.8744243074930722E-4</v>
      </c>
      <c r="I115" s="80">
        <f t="shared" si="113"/>
        <v>1.8825312273329509E-4</v>
      </c>
      <c r="J115" s="80">
        <f t="shared" si="113"/>
        <v>1.9150388103184035E-4</v>
      </c>
      <c r="K115" s="80">
        <f>(K19/K51-1)</f>
        <v>1.9099677465472809E-4</v>
      </c>
      <c r="L115" s="80">
        <f>(L19/L51-1)</f>
        <v>1.9034688713470693E-4</v>
      </c>
    </row>
    <row r="116" spans="2:12" x14ac:dyDescent="0.35">
      <c r="B116" t="s">
        <v>222</v>
      </c>
      <c r="C116" t="s">
        <v>223</v>
      </c>
      <c r="D116" s="80">
        <f t="shared" ref="D116:F116" si="114">(D20/D52-1)</f>
        <v>0</v>
      </c>
      <c r="E116" s="80">
        <f t="shared" si="114"/>
        <v>0</v>
      </c>
      <c r="F116" s="80">
        <f t="shared" si="114"/>
        <v>0</v>
      </c>
      <c r="G116" s="80">
        <f t="shared" ref="G116:K116" si="115">(G20/G52-1)</f>
        <v>0</v>
      </c>
      <c r="H116" s="80">
        <f t="shared" si="115"/>
        <v>0</v>
      </c>
      <c r="I116" s="80">
        <f t="shared" si="115"/>
        <v>0</v>
      </c>
      <c r="J116" s="80">
        <f t="shared" si="115"/>
        <v>0</v>
      </c>
      <c r="K116" s="80">
        <f>(K20/K52-1)</f>
        <v>0</v>
      </c>
      <c r="L116" s="80">
        <f>(L20/L52-1)</f>
        <v>0</v>
      </c>
    </row>
    <row r="117" spans="2:12" x14ac:dyDescent="0.35">
      <c r="B117" t="s">
        <v>224</v>
      </c>
      <c r="C117" t="s">
        <v>225</v>
      </c>
      <c r="D117" s="80">
        <f t="shared" ref="D117:F117" si="116">(D21/D53-1)</f>
        <v>-8.5921715770077567E-3</v>
      </c>
      <c r="E117" s="80">
        <f t="shared" si="116"/>
        <v>-1.0506945848143823E-2</v>
      </c>
      <c r="F117" s="80">
        <f t="shared" si="116"/>
        <v>-1.0518502256524398E-2</v>
      </c>
      <c r="G117" s="80">
        <f t="shared" ref="G117:K117" si="117">(G21/G53-1)</f>
        <v>-1.0512023072466903E-2</v>
      </c>
      <c r="H117" s="80">
        <f t="shared" si="117"/>
        <v>-1.0505518988621954E-2</v>
      </c>
      <c r="I117" s="80">
        <f t="shared" si="117"/>
        <v>-1.0498989890066701E-2</v>
      </c>
      <c r="J117" s="80">
        <f t="shared" si="117"/>
        <v>-1.0513231859359484E-2</v>
      </c>
      <c r="K117" s="80">
        <f>(K21/K53-1)</f>
        <v>-1.0506680895108977E-2</v>
      </c>
      <c r="L117" s="80">
        <f>(L21/L53-1)</f>
        <v>-1.0500104519786113E-2</v>
      </c>
    </row>
    <row r="118" spans="2:12" x14ac:dyDescent="0.35">
      <c r="B118" t="s">
        <v>226</v>
      </c>
      <c r="C118" t="s">
        <v>227</v>
      </c>
      <c r="D118" s="80">
        <f t="shared" ref="D118:F118" si="118">(D22/D54-1)</f>
        <v>1.8153945457479725E-3</v>
      </c>
      <c r="E118" s="80">
        <f t="shared" si="118"/>
        <v>3.9202482495643842E-3</v>
      </c>
      <c r="F118" s="80">
        <f t="shared" si="118"/>
        <v>3.927574294056102E-3</v>
      </c>
      <c r="G118" s="80">
        <f t="shared" ref="G118:K118" si="119">(G22/G54-1)</f>
        <v>3.9342857204196502E-3</v>
      </c>
      <c r="H118" s="80">
        <f t="shared" si="119"/>
        <v>3.9413004811914565E-3</v>
      </c>
      <c r="I118" s="80">
        <f t="shared" si="119"/>
        <v>3.9495098920250271E-3</v>
      </c>
      <c r="J118" s="80">
        <f t="shared" si="119"/>
        <v>3.9585444333869457E-3</v>
      </c>
      <c r="K118" s="80">
        <f>(K22/K54-1)</f>
        <v>3.9647664050985743E-3</v>
      </c>
      <c r="L118" s="80">
        <f>(L22/L54-1)</f>
        <v>3.9687294892951641E-3</v>
      </c>
    </row>
    <row r="119" spans="2:12" x14ac:dyDescent="0.35">
      <c r="B119" t="s">
        <v>228</v>
      </c>
      <c r="C119" t="s">
        <v>229</v>
      </c>
      <c r="D119" s="80">
        <f t="shared" ref="D119:F119" si="120">(D23/D55-1)</f>
        <v>-4.4406811682049407E-2</v>
      </c>
      <c r="E119" s="80">
        <f t="shared" si="120"/>
        <v>-4.4406811682049407E-2</v>
      </c>
      <c r="F119" s="80">
        <f t="shared" si="120"/>
        <v>-4.4406811682049518E-2</v>
      </c>
      <c r="G119" s="80">
        <f t="shared" ref="G119:K119" si="121">(G23/G55-1)</f>
        <v>-4.4406811682049629E-2</v>
      </c>
      <c r="H119" s="80">
        <f t="shared" si="121"/>
        <v>-4.4406811682049518E-2</v>
      </c>
      <c r="I119" s="80">
        <f t="shared" si="121"/>
        <v>-4.4406811682049629E-2</v>
      </c>
      <c r="J119" s="80">
        <f t="shared" si="121"/>
        <v>-4.4406811682049518E-2</v>
      </c>
      <c r="K119" s="80">
        <f>(K23/K55-1)</f>
        <v>-4.4406811682049518E-2</v>
      </c>
      <c r="L119" s="80">
        <f>(L23/L55-1)</f>
        <v>-4.4406811682049296E-2</v>
      </c>
    </row>
    <row r="120" spans="2:12" x14ac:dyDescent="0.35">
      <c r="B120" t="s">
        <v>230</v>
      </c>
      <c r="C120" t="s">
        <v>231</v>
      </c>
      <c r="D120" s="80">
        <f t="shared" ref="D120:F120" si="122">(D24/D56-1)</f>
        <v>3.0245428045025946E-2</v>
      </c>
      <c r="E120" s="80">
        <f t="shared" si="122"/>
        <v>1.2329120314773734E-2</v>
      </c>
      <c r="F120" s="80">
        <f t="shared" si="122"/>
        <v>1.2329120314773512E-2</v>
      </c>
      <c r="G120" s="80">
        <f t="shared" ref="G120:K120" si="123">(G24/G56-1)</f>
        <v>1.2329120314773734E-2</v>
      </c>
      <c r="H120" s="80">
        <f t="shared" si="123"/>
        <v>1.2329120314773734E-2</v>
      </c>
      <c r="I120" s="80">
        <f t="shared" si="123"/>
        <v>1.2329120314773734E-2</v>
      </c>
      <c r="J120" s="80">
        <f t="shared" si="123"/>
        <v>1.2329120314773734E-2</v>
      </c>
      <c r="K120" s="80">
        <f>(K24/K56-1)</f>
        <v>1.2329120314773734E-2</v>
      </c>
      <c r="L120" s="80">
        <f>(L24/L56-1)</f>
        <v>1.2329120314773734E-2</v>
      </c>
    </row>
    <row r="121" spans="2:12" x14ac:dyDescent="0.35">
      <c r="B121" s="57" t="s">
        <v>1384</v>
      </c>
      <c r="C121" s="57" t="s">
        <v>1383</v>
      </c>
      <c r="D121" s="80">
        <f t="shared" ref="D121:F121" si="124">(D25/D57-1)</f>
        <v>0</v>
      </c>
      <c r="E121" s="80">
        <f t="shared" si="124"/>
        <v>0</v>
      </c>
      <c r="F121" s="80">
        <f t="shared" si="124"/>
        <v>0</v>
      </c>
      <c r="G121" s="80">
        <f t="shared" ref="G121:K121" si="125">(G25/G57-1)</f>
        <v>0</v>
      </c>
      <c r="H121" s="80">
        <f t="shared" si="125"/>
        <v>0</v>
      </c>
      <c r="I121" s="80">
        <f t="shared" si="125"/>
        <v>0</v>
      </c>
      <c r="J121" s="80">
        <f t="shared" si="125"/>
        <v>0</v>
      </c>
      <c r="K121" s="80">
        <f>(K25/K57-1)</f>
        <v>0</v>
      </c>
      <c r="L121" s="80" t="e">
        <f>(L25/L57-1)</f>
        <v>#DIV/0!</v>
      </c>
    </row>
    <row r="122" spans="2:12" x14ac:dyDescent="0.35">
      <c r="B122" s="57"/>
      <c r="D122" s="80"/>
      <c r="E122" s="80"/>
      <c r="F122" s="80"/>
    </row>
    <row r="123" spans="2:12" x14ac:dyDescent="0.35">
      <c r="B123" s="76" t="s">
        <v>1895</v>
      </c>
      <c r="D123" s="80"/>
      <c r="E123" s="80"/>
      <c r="F123" s="80"/>
    </row>
    <row r="124" spans="2:12" x14ac:dyDescent="0.35">
      <c r="B124" s="57" t="s">
        <v>1709</v>
      </c>
      <c r="D124" s="80">
        <f t="shared" ref="D124:G124" si="126">(D28/D60-1)</f>
        <v>-8.6875286206763436E-3</v>
      </c>
      <c r="E124" s="80">
        <f t="shared" si="126"/>
        <v>0.1000708686981937</v>
      </c>
      <c r="F124" s="80">
        <f t="shared" si="126"/>
        <v>0</v>
      </c>
      <c r="G124" s="80">
        <f t="shared" si="126"/>
        <v>0</v>
      </c>
      <c r="H124" s="80">
        <f t="shared" ref="H124:K124" si="127">(H28/H60-1)</f>
        <v>0</v>
      </c>
      <c r="I124" s="80">
        <f t="shared" si="127"/>
        <v>0</v>
      </c>
      <c r="J124" s="80">
        <f t="shared" si="127"/>
        <v>0</v>
      </c>
      <c r="K124" s="80">
        <f>(K28/K60-1)</f>
        <v>0</v>
      </c>
      <c r="L124" s="80">
        <f>(L28/L60-1)</f>
        <v>0</v>
      </c>
    </row>
    <row r="125" spans="2:12" x14ac:dyDescent="0.35">
      <c r="B125" s="57" t="s">
        <v>1710</v>
      </c>
      <c r="D125" s="80">
        <f t="shared" ref="D125:G125" si="128">(D29/D61-1)</f>
        <v>0.38258040765452606</v>
      </c>
      <c r="E125" s="80">
        <f t="shared" si="128"/>
        <v>0</v>
      </c>
      <c r="F125" s="80">
        <f t="shared" si="128"/>
        <v>0</v>
      </c>
      <c r="G125" s="80">
        <f t="shared" si="128"/>
        <v>0</v>
      </c>
      <c r="H125" s="80">
        <f t="shared" ref="H125:K125" si="129">(H29/H61-1)</f>
        <v>0</v>
      </c>
      <c r="I125" s="80">
        <f t="shared" si="129"/>
        <v>0</v>
      </c>
      <c r="J125" s="80">
        <f t="shared" si="129"/>
        <v>0</v>
      </c>
      <c r="K125" s="80">
        <f>(K29/K61-1)</f>
        <v>0</v>
      </c>
      <c r="L125" s="80">
        <f>(L29/L61-1)</f>
        <v>0</v>
      </c>
    </row>
    <row r="126" spans="2:12" x14ac:dyDescent="0.35">
      <c r="B126" s="57" t="s">
        <v>1711</v>
      </c>
      <c r="D126" s="80">
        <f t="shared" ref="D126:G126" si="130">(D30/D62-1)</f>
        <v>-0.20630724077447526</v>
      </c>
      <c r="E126" s="80">
        <f t="shared" si="130"/>
        <v>0</v>
      </c>
      <c r="F126" s="80">
        <f t="shared" si="130"/>
        <v>0</v>
      </c>
      <c r="G126" s="80">
        <f t="shared" si="130"/>
        <v>0</v>
      </c>
      <c r="H126" s="80" t="e">
        <f t="shared" ref="H126:K126" si="131">(H30/H62-1)</f>
        <v>#DIV/0!</v>
      </c>
      <c r="I126" s="80" t="e">
        <f t="shared" si="131"/>
        <v>#DIV/0!</v>
      </c>
      <c r="J126" s="80" t="e">
        <f t="shared" si="131"/>
        <v>#DIV/0!</v>
      </c>
      <c r="K126" s="80" t="e">
        <f>(K30/K62-1)</f>
        <v>#DIV/0!</v>
      </c>
      <c r="L126" s="80" t="e">
        <f>(L30/L62-1)</f>
        <v>#DIV/0!</v>
      </c>
    </row>
    <row r="127" spans="2:12" x14ac:dyDescent="0.35">
      <c r="B127" s="57" t="s">
        <v>1712</v>
      </c>
      <c r="D127" s="80">
        <f t="shared" ref="D127:G127" si="132">(D31/D63-1)</f>
        <v>-0.27946428171173943</v>
      </c>
      <c r="E127" s="80">
        <f t="shared" si="132"/>
        <v>0</v>
      </c>
      <c r="F127" s="80">
        <f t="shared" si="132"/>
        <v>0</v>
      </c>
      <c r="G127" s="80">
        <f t="shared" si="132"/>
        <v>0</v>
      </c>
      <c r="H127" s="80">
        <f t="shared" ref="H127:K127" si="133">(H31/H63-1)</f>
        <v>0</v>
      </c>
      <c r="I127" s="80">
        <f t="shared" si="133"/>
        <v>0</v>
      </c>
      <c r="J127" s="80">
        <f t="shared" si="133"/>
        <v>0</v>
      </c>
      <c r="K127" s="80">
        <f>(K31/K63-1)</f>
        <v>0</v>
      </c>
      <c r="L127" s="80">
        <f>(L31/L63-1)</f>
        <v>0</v>
      </c>
    </row>
    <row r="128" spans="2:12" x14ac:dyDescent="0.35">
      <c r="B128" s="57" t="s">
        <v>1713</v>
      </c>
      <c r="D128" s="80">
        <f t="shared" ref="D128:G128" si="134">(D32/D64-1)</f>
        <v>0.10286774314952951</v>
      </c>
      <c r="E128" s="80">
        <f t="shared" si="134"/>
        <v>0</v>
      </c>
      <c r="F128" s="80">
        <f t="shared" si="134"/>
        <v>0</v>
      </c>
      <c r="G128" s="80">
        <f t="shared" si="134"/>
        <v>0</v>
      </c>
      <c r="H128" s="80">
        <f t="shared" ref="H128:K128" si="135">(H32/H64-1)</f>
        <v>0</v>
      </c>
      <c r="I128" s="80">
        <f t="shared" si="135"/>
        <v>0</v>
      </c>
      <c r="J128" s="80">
        <f t="shared" si="135"/>
        <v>0</v>
      </c>
      <c r="K128" s="80">
        <f>(K32/K64-1)</f>
        <v>0</v>
      </c>
      <c r="L128" s="80">
        <f>(L32/L64-1)</f>
        <v>0</v>
      </c>
    </row>
  </sheetData>
  <mergeCells count="4">
    <mergeCell ref="B2:L2"/>
    <mergeCell ref="B34:L34"/>
    <mergeCell ref="B66:L66"/>
    <mergeCell ref="B98:L98"/>
  </mergeCells>
  <phoneticPr fontId="65" type="noConversion"/>
  <conditionalFormatting sqref="D100:F123 D68:L96 G100:L121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C20" sqref="C20"/>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83" t="s">
        <v>175</v>
      </c>
      <c r="D1" s="83" t="s">
        <v>176</v>
      </c>
      <c r="E1" s="83" t="s">
        <v>177</v>
      </c>
      <c r="F1" s="83" t="s">
        <v>764</v>
      </c>
      <c r="G1" s="83" t="s">
        <v>765</v>
      </c>
      <c r="H1" s="83" t="s">
        <v>766</v>
      </c>
      <c r="I1" s="83" t="s">
        <v>1156</v>
      </c>
      <c r="J1" s="83" t="s">
        <v>1157</v>
      </c>
      <c r="K1" s="83" t="s">
        <v>1158</v>
      </c>
    </row>
    <row r="2" spans="1:11" x14ac:dyDescent="0.35">
      <c r="A2" t="s">
        <v>192</v>
      </c>
      <c r="B2" t="s">
        <v>193</v>
      </c>
      <c r="C2" s="77">
        <f>Grants!AA73</f>
        <v>461.9273300000001</v>
      </c>
      <c r="D2" s="77">
        <f>Grants!AB73</f>
        <v>467.08702588368681</v>
      </c>
      <c r="E2" s="77">
        <f>Grants!AC73</f>
        <v>450.66879697830359</v>
      </c>
      <c r="F2" s="77">
        <f>Grants!AD73</f>
        <v>446.4122085701693</v>
      </c>
      <c r="G2" s="77">
        <f>Grants!AE73</f>
        <v>449.361288</v>
      </c>
      <c r="H2" s="77">
        <f>Grants!AF73</f>
        <v>448.45372699103427</v>
      </c>
      <c r="I2" s="77">
        <f>Grants!AG73</f>
        <v>451.58735077743574</v>
      </c>
      <c r="J2" s="77">
        <f>Grants!AH73</f>
        <v>451.94885143297614</v>
      </c>
      <c r="K2" s="77">
        <f>Grants!AI73</f>
        <v>456.14453320000007</v>
      </c>
    </row>
    <row r="3" spans="1:11" x14ac:dyDescent="0.35">
      <c r="A3" t="s">
        <v>134</v>
      </c>
      <c r="B3" t="s">
        <v>194</v>
      </c>
      <c r="C3" s="77">
        <f>Grants!AA94</f>
        <v>77.680999999999997</v>
      </c>
      <c r="D3" s="77">
        <f>Grants!AB94</f>
        <v>79.275000000000006</v>
      </c>
      <c r="E3" s="77">
        <f>Grants!AC94</f>
        <v>79.275000000000006</v>
      </c>
      <c r="F3" s="77">
        <f>Grants!AD94</f>
        <v>75.203000000000003</v>
      </c>
      <c r="G3" s="77">
        <f>Grants!AE94</f>
        <v>75.203000000000003</v>
      </c>
      <c r="H3" s="77">
        <f>Grants!AF94</f>
        <v>75.203000000000003</v>
      </c>
      <c r="I3" s="77">
        <f>Grants!AG94</f>
        <v>75.203000000000003</v>
      </c>
      <c r="J3" s="77">
        <f>Grants!AH94</f>
        <v>75.203000000000003</v>
      </c>
      <c r="K3" s="77">
        <f>Grants!AI94</f>
        <v>75.203000000000003</v>
      </c>
    </row>
    <row r="4" spans="1:11" x14ac:dyDescent="0.35">
      <c r="A4" t="s">
        <v>195</v>
      </c>
      <c r="B4" t="s">
        <v>196</v>
      </c>
      <c r="C4" s="77">
        <f>'Federal and State Purchases'!AA11</f>
        <v>1893.4</v>
      </c>
      <c r="D4" s="77">
        <f>'Federal and State Purchases'!AB11</f>
        <v>1885.0932092153364</v>
      </c>
      <c r="E4" s="77">
        <f>'Federal and State Purchases'!AC11</f>
        <v>1907.3318350055031</v>
      </c>
      <c r="F4" s="77">
        <f>'Federal and State Purchases'!AD11</f>
        <v>1930.4539814256966</v>
      </c>
      <c r="G4" s="77">
        <f>'Federal and State Purchases'!AE11</f>
        <v>1954.1589232689989</v>
      </c>
      <c r="H4" s="77">
        <f>'Federal and State Purchases'!AF11</f>
        <v>1968.1128918813563</v>
      </c>
      <c r="I4" s="77">
        <f>'Federal and State Purchases'!AG11</f>
        <v>1980.7151810614209</v>
      </c>
      <c r="J4" s="77">
        <f>'Federal and State Purchases'!AH11</f>
        <v>1995.6774527229115</v>
      </c>
      <c r="K4" s="77">
        <f>'Federal and State Purchases'!AI11</f>
        <v>2009.4002299861645</v>
      </c>
    </row>
    <row r="5" spans="1:11" x14ac:dyDescent="0.35">
      <c r="A5" t="s">
        <v>197</v>
      </c>
      <c r="B5" t="s">
        <v>198</v>
      </c>
      <c r="C5" s="77">
        <f>'Federal and State Purchases'!AA28</f>
        <v>3139.2</v>
      </c>
      <c r="D5" s="77">
        <f>'Federal and State Purchases'!AB28</f>
        <v>3167.8890051480512</v>
      </c>
      <c r="E5" s="77">
        <f>'Federal and State Purchases'!AC28</f>
        <v>3195.5601505741402</v>
      </c>
      <c r="F5" s="77">
        <f>'Federal and State Purchases'!AD28</f>
        <v>3223.3640305199597</v>
      </c>
      <c r="G5" s="77">
        <f>'Federal and State Purchases'!AE28</f>
        <v>3250.1606901215455</v>
      </c>
      <c r="H5" s="77">
        <f>'Federal and State Purchases'!AF28</f>
        <v>3276.9343811976842</v>
      </c>
      <c r="I5" s="77">
        <f>'Federal and State Purchases'!AG28</f>
        <v>3304.8234959558649</v>
      </c>
      <c r="J5" s="77">
        <f>'Federal and State Purchases'!AH28</f>
        <v>3332.329586248482</v>
      </c>
      <c r="K5" s="77">
        <f>'Federal and State Purchases'!AI28</f>
        <v>3360.1458694161415</v>
      </c>
    </row>
    <row r="6" spans="1:11" x14ac:dyDescent="0.35">
      <c r="A6" t="s">
        <v>199</v>
      </c>
      <c r="B6" t="s">
        <v>200</v>
      </c>
      <c r="C6" s="77">
        <f>Subsidies!AA46</f>
        <v>90.734999999999999</v>
      </c>
      <c r="D6" s="77">
        <f>Subsidies!AB46</f>
        <v>97.833999999999989</v>
      </c>
      <c r="E6" s="77">
        <f>Subsidies!AC46</f>
        <v>97.833999999999989</v>
      </c>
      <c r="F6" s="77">
        <f>Subsidies!AD46</f>
        <v>89.811999999999998</v>
      </c>
      <c r="G6" s="77">
        <f>Subsidies!AE46</f>
        <v>89.811999999999998</v>
      </c>
      <c r="H6" s="77">
        <f>Subsidies!AF46</f>
        <v>94.150999999999996</v>
      </c>
      <c r="I6" s="77">
        <f>Subsidies!AG46</f>
        <v>92.000999999999991</v>
      </c>
      <c r="J6" s="77">
        <f>Subsidies!AH46</f>
        <v>92.000999999999991</v>
      </c>
      <c r="K6" s="77">
        <f>Subsidies!AI46</f>
        <v>0</v>
      </c>
    </row>
    <row r="7" spans="1:11" x14ac:dyDescent="0.35">
      <c r="A7" t="s">
        <v>201</v>
      </c>
      <c r="B7" t="s">
        <v>202</v>
      </c>
      <c r="C7" s="77">
        <f>Subsidies!AA45</f>
        <v>1.365</v>
      </c>
      <c r="D7" s="77">
        <f>Subsidies!AB45</f>
        <v>-0.90100000000000025</v>
      </c>
      <c r="E7" s="77">
        <f>Subsidies!AC45</f>
        <v>-0.90100000000000025</v>
      </c>
      <c r="F7" s="77">
        <f>Subsidies!AD45</f>
        <v>-0.90100000000000025</v>
      </c>
      <c r="G7" s="77">
        <f>Subsidies!AE45</f>
        <v>-0.90100000000000025</v>
      </c>
      <c r="H7" s="77">
        <f>Subsidies!AF45</f>
        <v>-2.1500000000000004</v>
      </c>
      <c r="I7" s="77">
        <f>Subsidies!AG45</f>
        <v>0</v>
      </c>
      <c r="J7" s="77">
        <f>Subsidies!AH45</f>
        <v>0</v>
      </c>
      <c r="K7" s="77">
        <f>Subsidies!AI45</f>
        <v>0</v>
      </c>
    </row>
    <row r="8" spans="1:11" x14ac:dyDescent="0.35">
      <c r="A8" t="s">
        <v>203</v>
      </c>
      <c r="B8" t="s">
        <v>204</v>
      </c>
      <c r="C8" s="77">
        <f>'Unemployment Insurance'!AA20</f>
        <v>0</v>
      </c>
      <c r="D8" s="77">
        <f>'Unemployment Insurance'!AB20</f>
        <v>0</v>
      </c>
      <c r="E8" s="77">
        <f>'Unemployment Insurance'!AC20</f>
        <v>0</v>
      </c>
      <c r="F8" s="77">
        <f>'Unemployment Insurance'!AD20</f>
        <v>0</v>
      </c>
      <c r="G8" s="77">
        <f>'Unemployment Insurance'!AE20</f>
        <v>0</v>
      </c>
      <c r="H8" s="77">
        <f>'Unemployment Insurance'!AF20</f>
        <v>0</v>
      </c>
      <c r="I8" s="77">
        <f>'Unemployment Insurance'!AG20</f>
        <v>0</v>
      </c>
      <c r="J8" s="77">
        <f>'Unemployment Insurance'!AH20</f>
        <v>0</v>
      </c>
      <c r="K8" s="77">
        <f>'Unemployment Insurance'!AI20</f>
        <v>0</v>
      </c>
    </row>
    <row r="9" spans="1:11" x14ac:dyDescent="0.35">
      <c r="A9" t="s">
        <v>205</v>
      </c>
      <c r="B9" t="s">
        <v>206</v>
      </c>
      <c r="C9" s="77">
        <f>'Unemployment Insurance'!AA21</f>
        <v>35.700000000000003</v>
      </c>
      <c r="D9" s="77">
        <f>'Unemployment Insurance'!AB21</f>
        <v>35.700000000000003</v>
      </c>
      <c r="E9" s="77">
        <f>'Unemployment Insurance'!AC21</f>
        <v>35.700000000000003</v>
      </c>
      <c r="F9" s="77">
        <f>'Unemployment Insurance'!AD21</f>
        <v>35.700000000000003</v>
      </c>
      <c r="G9" s="77">
        <f>'Unemployment Insurance'!AE21</f>
        <v>35.700000000000003</v>
      </c>
      <c r="H9" s="77">
        <f>'Unemployment Insurance'!AF21</f>
        <v>35.700000000000003</v>
      </c>
      <c r="I9" s="77">
        <f>'Unemployment Insurance'!AG21</f>
        <v>35.700000000000003</v>
      </c>
      <c r="J9" s="77">
        <f>'Unemployment Insurance'!AH21</f>
        <v>35.700000000000003</v>
      </c>
      <c r="K9" s="77">
        <f>'Unemployment Insurance'!AI21</f>
        <v>35.700000000000003</v>
      </c>
    </row>
    <row r="10" spans="1:11" x14ac:dyDescent="0.35">
      <c r="A10" s="57" t="s">
        <v>207</v>
      </c>
      <c r="B10" s="57" t="s">
        <v>208</v>
      </c>
      <c r="C10" s="77">
        <f>Medicaid!AA29</f>
        <v>641.23699999999997</v>
      </c>
      <c r="D10" s="77">
        <f>Medicaid!AB29</f>
        <v>647.0186874478452</v>
      </c>
      <c r="E10" s="77">
        <f>Medicaid!AC29</f>
        <v>647.9263242456733</v>
      </c>
      <c r="F10" s="77">
        <f>Medicaid!AD29</f>
        <v>650.23013747271261</v>
      </c>
      <c r="G10" s="77">
        <f>Medicaid!AE29</f>
        <v>652.53718248532573</v>
      </c>
      <c r="H10" s="77">
        <f>Medicaid!AF29</f>
        <v>656.89001322191177</v>
      </c>
      <c r="I10" s="77">
        <f>Medicaid!AG29</f>
        <v>661.26257518340458</v>
      </c>
      <c r="J10" s="77">
        <f>Medicaid!AH29</f>
        <v>665.65495781073582</v>
      </c>
      <c r="K10" s="77">
        <f>Medicaid!AI29</f>
        <v>670.06725095026979</v>
      </c>
    </row>
    <row r="11" spans="1:11" x14ac:dyDescent="0.35">
      <c r="A11" s="57" t="s">
        <v>209</v>
      </c>
      <c r="B11" s="57" t="s">
        <v>210</v>
      </c>
      <c r="C11" s="77">
        <f>Medicaid!AA27</f>
        <v>919.4</v>
      </c>
      <c r="D11" s="77">
        <f>Medicaid!AB27</f>
        <v>927.68973287497272</v>
      </c>
      <c r="E11" s="77">
        <f>Medicaid!AC27</f>
        <v>928.99109457419343</v>
      </c>
      <c r="F11" s="77">
        <f>Medicaid!AD27</f>
        <v>932.2942818215605</v>
      </c>
      <c r="G11" s="77">
        <f>Medicaid!AE27</f>
        <v>935.60210277480644</v>
      </c>
      <c r="H11" s="77">
        <f>Medicaid!AF27</f>
        <v>941.84315339917327</v>
      </c>
      <c r="I11" s="77">
        <f>Medicaid!AG27</f>
        <v>948.1124944811703</v>
      </c>
      <c r="J11" s="77">
        <f>Medicaid!AH27</f>
        <v>954.41025426042256</v>
      </c>
      <c r="K11" s="77">
        <f>Medicaid!AI27</f>
        <v>960.73656155786091</v>
      </c>
    </row>
    <row r="12" spans="1:11" x14ac:dyDescent="0.35">
      <c r="A12" t="s">
        <v>55</v>
      </c>
      <c r="B12" t="s">
        <v>211</v>
      </c>
      <c r="C12" s="77">
        <f>Medicare!AA10</f>
        <v>1090.2</v>
      </c>
      <c r="D12" s="77">
        <f>Medicare!AB10</f>
        <v>1116.0159349148526</v>
      </c>
      <c r="E12" s="77">
        <f>Medicare!AC10</f>
        <v>1130.1590311547368</v>
      </c>
      <c r="F12" s="77">
        <f>Medicare!AD10</f>
        <v>1144.4813606519542</v>
      </c>
      <c r="G12" s="77">
        <f>Medicare!AE10</f>
        <v>1158.9851948016783</v>
      </c>
      <c r="H12" s="77">
        <f>Medicare!AF10</f>
        <v>1177.2271936647621</v>
      </c>
      <c r="I12" s="77">
        <f>Medicare!AG10</f>
        <v>1195.7563148517663</v>
      </c>
      <c r="J12" s="77">
        <f>Medicare!AH10</f>
        <v>1214.5770775620128</v>
      </c>
      <c r="K12" s="77">
        <f>Medicare!AI10</f>
        <v>1233.6940721253518</v>
      </c>
    </row>
    <row r="13" spans="1:11" x14ac:dyDescent="0.35">
      <c r="A13" t="s">
        <v>212</v>
      </c>
      <c r="B13" t="s">
        <v>213</v>
      </c>
      <c r="C13" s="77">
        <f>'Rebate Checks (expired)'!AA11</f>
        <v>0</v>
      </c>
      <c r="D13" s="77">
        <f>'Rebate Checks (expired)'!AB11</f>
        <v>0</v>
      </c>
      <c r="E13" s="77">
        <f>'Rebate Checks (expired)'!AC11</f>
        <v>0</v>
      </c>
      <c r="F13" s="77">
        <f>'Rebate Checks (expired)'!AD11</f>
        <v>0</v>
      </c>
      <c r="G13" s="77">
        <f>'Rebate Checks (expired)'!AE11</f>
        <v>0</v>
      </c>
      <c r="H13" s="77">
        <f>'Rebate Checks (expired)'!AF11</f>
        <v>0</v>
      </c>
      <c r="I13" s="77">
        <f>'Rebate Checks (expired)'!AG11</f>
        <v>0</v>
      </c>
      <c r="J13" s="77">
        <f>'Rebate Checks (expired)'!AH11</f>
        <v>0</v>
      </c>
      <c r="K13" s="77">
        <f>'Rebate Checks (expired)'!AI11</f>
        <v>0</v>
      </c>
    </row>
    <row r="14" spans="1:11" x14ac:dyDescent="0.35">
      <c r="A14" t="s">
        <v>214</v>
      </c>
      <c r="B14" t="s">
        <v>215</v>
      </c>
      <c r="C14" s="77">
        <f>'Rebate Checks (expired)'!AA10</f>
        <v>0</v>
      </c>
      <c r="D14" s="77">
        <f>'Rebate Checks (expired)'!AB10</f>
        <v>0</v>
      </c>
      <c r="E14" s="77">
        <f>'Rebate Checks (expired)'!AC10</f>
        <v>0</v>
      </c>
      <c r="F14" s="77">
        <f>'Rebate Checks (expired)'!AD10</f>
        <v>0</v>
      </c>
      <c r="G14" s="77">
        <f>'Rebate Checks (expired)'!AE10</f>
        <v>0</v>
      </c>
      <c r="H14" s="77">
        <f>'Rebate Checks (expired)'!AF10</f>
        <v>0</v>
      </c>
      <c r="I14" s="77">
        <f>'Rebate Checks (expired)'!AG10</f>
        <v>0</v>
      </c>
      <c r="J14" s="77">
        <f>'Rebate Checks (expired)'!AH10</f>
        <v>0</v>
      </c>
      <c r="K14" s="77">
        <f>'Rebate Checks (expired)'!AI10</f>
        <v>0</v>
      </c>
    </row>
    <row r="15" spans="1:11" x14ac:dyDescent="0.35">
      <c r="A15" t="s">
        <v>216</v>
      </c>
      <c r="B15" t="s">
        <v>217</v>
      </c>
      <c r="C15" s="77">
        <f>'Social Benefits'!AA24</f>
        <v>4.2219999999999995</v>
      </c>
      <c r="D15" s="77">
        <f>'Social Benefits'!AB24</f>
        <v>2.3719999999999999</v>
      </c>
      <c r="E15" s="77">
        <f>'Social Benefits'!AC24</f>
        <v>2.3719999999999999</v>
      </c>
      <c r="F15" s="77">
        <f>'Social Benefits'!AD24</f>
        <v>2.3719999999999999</v>
      </c>
      <c r="G15" s="77">
        <f>'Social Benefits'!AE24</f>
        <v>2.3719999999999999</v>
      </c>
      <c r="H15" s="77">
        <f>'Social Benefits'!AF24</f>
        <v>0.49</v>
      </c>
      <c r="I15" s="77">
        <f>'Social Benefits'!AG24</f>
        <v>0</v>
      </c>
      <c r="J15" s="77">
        <f>'Social Benefits'!AH24</f>
        <v>0</v>
      </c>
      <c r="K15" s="77">
        <f>'Social Benefits'!AI24</f>
        <v>0</v>
      </c>
    </row>
    <row r="16" spans="1:11" x14ac:dyDescent="0.35">
      <c r="A16" t="s">
        <v>796</v>
      </c>
      <c r="B16" t="s">
        <v>219</v>
      </c>
      <c r="C16" s="77">
        <f>'Social Benefits'!AA30</f>
        <v>1.4790000000000001</v>
      </c>
      <c r="D16" s="77">
        <f>'Social Benefits'!AB30</f>
        <v>1.63</v>
      </c>
      <c r="E16" s="77">
        <f>'Social Benefits'!AC30</f>
        <v>1.63</v>
      </c>
      <c r="F16" s="77">
        <f>'Social Benefits'!AD30</f>
        <v>1.63</v>
      </c>
      <c r="G16" s="77">
        <f>'Social Benefits'!AE30</f>
        <v>1.63</v>
      </c>
      <c r="H16" s="77">
        <f>'Social Benefits'!AF30</f>
        <v>1.671</v>
      </c>
      <c r="I16" s="77">
        <f>'Social Benefits'!AG30</f>
        <v>0</v>
      </c>
      <c r="J16" s="77">
        <f>'Social Benefits'!AH30</f>
        <v>0</v>
      </c>
      <c r="K16" s="77">
        <f>'Social Benefits'!AI30</f>
        <v>0</v>
      </c>
    </row>
    <row r="17" spans="1:11" x14ac:dyDescent="0.35">
      <c r="A17" t="s">
        <v>220</v>
      </c>
      <c r="B17" t="s">
        <v>221</v>
      </c>
      <c r="C17" s="77">
        <f>'Social Benefits'!AA33</f>
        <v>2152.299</v>
      </c>
      <c r="D17" s="77">
        <f>'Social Benefits'!AB33</f>
        <v>2160.527</v>
      </c>
      <c r="E17" s="77">
        <f>'Social Benefits'!AC33</f>
        <v>2202.0938899739999</v>
      </c>
      <c r="F17" s="77">
        <f>'Social Benefits'!AD33</f>
        <v>2208.7938899740002</v>
      </c>
      <c r="G17" s="77">
        <f>'Social Benefits'!AE33</f>
        <v>2215.493889974</v>
      </c>
      <c r="H17" s="77">
        <f>'Social Benefits'!AF33</f>
        <v>2205.9548899740003</v>
      </c>
      <c r="I17" s="77">
        <f>'Social Benefits'!AG33</f>
        <v>2249.7275234174022</v>
      </c>
      <c r="J17" s="77">
        <f>'Social Benefits'!AH33</f>
        <v>2255.6995234174019</v>
      </c>
      <c r="K17" s="77">
        <f>'Social Benefits'!AI33</f>
        <v>2263.3995234174022</v>
      </c>
    </row>
    <row r="18" spans="1:11" x14ac:dyDescent="0.35">
      <c r="A18" t="s">
        <v>222</v>
      </c>
      <c r="B18" t="s">
        <v>223</v>
      </c>
      <c r="C18" s="77">
        <f>'Social Benefits'!AA38</f>
        <v>221.50560454500092</v>
      </c>
      <c r="D18" s="77">
        <f>'Social Benefits'!AB38</f>
        <v>224.74365842066501</v>
      </c>
      <c r="E18" s="77">
        <f>'Social Benefits'!AC38</f>
        <v>228.02904740969223</v>
      </c>
      <c r="F18" s="77">
        <f>'Social Benefits'!AD38</f>
        <v>231.36246347492295</v>
      </c>
      <c r="G18" s="77">
        <f>'Social Benefits'!AE38</f>
        <v>234.7446086945757</v>
      </c>
      <c r="H18" s="77">
        <f>'Social Benefits'!AF38</f>
        <v>238.17619541011769</v>
      </c>
      <c r="I18" s="77">
        <f>'Social Benefits'!AG38</f>
        <v>241.65794637629688</v>
      </c>
      <c r="J18" s="77">
        <f>'Social Benefits'!AH38</f>
        <v>245.19059491336728</v>
      </c>
      <c r="K18" s="77">
        <f>'Social Benefits'!AI38</f>
        <v>248.77488506153966</v>
      </c>
    </row>
    <row r="19" spans="1:11" x14ac:dyDescent="0.35">
      <c r="A19" t="s">
        <v>224</v>
      </c>
      <c r="B19" t="s">
        <v>225</v>
      </c>
      <c r="C19" s="77">
        <f>Taxes!AA9</f>
        <v>4465.3999999999996</v>
      </c>
      <c r="D19" s="77">
        <f>Taxes!AB9</f>
        <v>4505.1502025504833</v>
      </c>
      <c r="E19" s="77">
        <f>Taxes!AC9</f>
        <v>4578.0493140248691</v>
      </c>
      <c r="F19" s="77">
        <f>Taxes!AD9</f>
        <v>4609.7151547543745</v>
      </c>
      <c r="G19" s="77">
        <f>Taxes!AE9</f>
        <v>4641.6278250349551</v>
      </c>
      <c r="H19" s="77">
        <f>Taxes!AF9</f>
        <v>4673.7895125185523</v>
      </c>
      <c r="I19" s="77">
        <f>Taxes!AG9</f>
        <v>4755.9328906734345</v>
      </c>
      <c r="J19" s="77">
        <f>Taxes!AH9</f>
        <v>4788.8460727481806</v>
      </c>
      <c r="K19" s="77">
        <f>Taxes!AI9</f>
        <v>4822.0161930134391</v>
      </c>
    </row>
    <row r="20" spans="1:11" x14ac:dyDescent="0.35">
      <c r="A20" t="s">
        <v>226</v>
      </c>
      <c r="B20" t="s">
        <v>227</v>
      </c>
      <c r="C20" s="77">
        <f>Taxes!AA19</f>
        <v>2483.3000000000002</v>
      </c>
      <c r="D20" s="77">
        <f>Taxes!AB19</f>
        <v>2522.3352032781881</v>
      </c>
      <c r="E20" s="77">
        <f>Taxes!AC19</f>
        <v>2548.4477238015807</v>
      </c>
      <c r="F20" s="77">
        <f>Taxes!AD19</f>
        <v>2574.4889400849438</v>
      </c>
      <c r="G20" s="77">
        <f>Taxes!AE19</f>
        <v>2599.5223654779847</v>
      </c>
      <c r="H20" s="77">
        <f>Taxes!AF19</f>
        <v>2624.2463910483311</v>
      </c>
      <c r="I20" s="77">
        <f>Taxes!AG19</f>
        <v>2646.389283360335</v>
      </c>
      <c r="J20" s="77">
        <f>Taxes!AH19</f>
        <v>2669.3912425599988</v>
      </c>
      <c r="K20" s="77">
        <f>Taxes!AI19</f>
        <v>2692.9029408733345</v>
      </c>
    </row>
    <row r="21" spans="1:11" x14ac:dyDescent="0.35">
      <c r="A21" t="s">
        <v>228</v>
      </c>
      <c r="B21" t="s">
        <v>229</v>
      </c>
      <c r="C21" s="77">
        <f>Taxes!AA16</f>
        <v>483.1</v>
      </c>
      <c r="D21" s="77">
        <f>Taxes!AB16</f>
        <v>492.80191224668437</v>
      </c>
      <c r="E21" s="77">
        <f>Taxes!AC16</f>
        <v>502.69866428066405</v>
      </c>
      <c r="F21" s="77">
        <f>Taxes!AD16</f>
        <v>512.79416899475314</v>
      </c>
      <c r="G21" s="77">
        <f>Taxes!AE16</f>
        <v>523.09241786289329</v>
      </c>
      <c r="H21" s="77">
        <f>Taxes!AF16</f>
        <v>521.77153758845338</v>
      </c>
      <c r="I21" s="77">
        <f>Taxes!AG16</f>
        <v>520.45399271831275</v>
      </c>
      <c r="J21" s="77">
        <f>Taxes!AH16</f>
        <v>519.13977483011683</v>
      </c>
      <c r="K21" s="77">
        <f>Taxes!AI16</f>
        <v>517.82887552277884</v>
      </c>
    </row>
    <row r="22" spans="1:11" x14ac:dyDescent="0.35">
      <c r="A22" t="s">
        <v>230</v>
      </c>
      <c r="B22" t="s">
        <v>231</v>
      </c>
      <c r="C22" s="77">
        <f>Taxes!AA25</f>
        <v>164.8</v>
      </c>
      <c r="D22" s="77">
        <f>Taxes!AB25</f>
        <v>163.15466849793015</v>
      </c>
      <c r="E22" s="77">
        <f>Taxes!AC25</f>
        <v>164.64893931448725</v>
      </c>
      <c r="F22" s="77">
        <f>Taxes!AD25</f>
        <v>166.13773661156984</v>
      </c>
      <c r="G22" s="77">
        <f>Taxes!AE25</f>
        <v>167.08465548067014</v>
      </c>
      <c r="H22" s="77">
        <f>Taxes!AF25</f>
        <v>167.16675827278866</v>
      </c>
      <c r="I22" s="77">
        <f>Taxes!AG25</f>
        <v>166.4333066631965</v>
      </c>
      <c r="J22" s="77">
        <f>Taxes!AH25</f>
        <v>166.31288923475603</v>
      </c>
      <c r="K22" s="77">
        <f>Taxes!AI25</f>
        <v>166.75624431219603</v>
      </c>
    </row>
    <row r="23" spans="1:11" x14ac:dyDescent="0.35">
      <c r="A23" s="57" t="s">
        <v>1384</v>
      </c>
      <c r="B23" t="s">
        <v>1383</v>
      </c>
      <c r="C23" s="77">
        <f>'Student loans'!AA11</f>
        <v>2.626465</v>
      </c>
      <c r="D23" s="77">
        <f>'Student loans'!AB11</f>
        <v>2.6498349999999999</v>
      </c>
      <c r="E23" s="77">
        <f>'Student loans'!AC11</f>
        <v>2.6454420000000001</v>
      </c>
      <c r="F23" s="77">
        <f>'Student loans'!AD11</f>
        <v>2.6696</v>
      </c>
      <c r="G23" s="77">
        <f>'Student loans'!AE11</f>
        <v>2.693006</v>
      </c>
      <c r="H23" s="77">
        <f>'Student loans'!AF11</f>
        <v>2.7175400000000001</v>
      </c>
      <c r="I23" s="77">
        <f>'Student loans'!AG11</f>
        <v>2.7175400000000001</v>
      </c>
      <c r="J23" s="77">
        <f>'Student loans'!AH11</f>
        <v>2.7175400000000001</v>
      </c>
      <c r="K23" s="77">
        <f>'Student loans'!AI11</f>
        <v>0</v>
      </c>
    </row>
    <row r="24" spans="1:11" x14ac:dyDescent="0.35">
      <c r="A24" s="82" t="s">
        <v>1952</v>
      </c>
      <c r="B24" t="s">
        <v>1884</v>
      </c>
      <c r="C24" s="77">
        <f>'Supply Side IRA'!AA14</f>
        <v>79.813256511764848</v>
      </c>
      <c r="D24" s="77">
        <f>'Supply Side IRA'!AB14</f>
        <v>71.273911547282538</v>
      </c>
      <c r="E24" s="77">
        <f>'Supply Side IRA'!AC14</f>
        <v>74.056247742351616</v>
      </c>
      <c r="F24" s="77">
        <f>'Supply Side IRA'!AD14</f>
        <v>88.486802161935842</v>
      </c>
      <c r="G24" s="77">
        <f>'Supply Side IRA'!AE14</f>
        <v>103.1617647413514</v>
      </c>
      <c r="H24" s="77">
        <f>'Supply Side IRA'!AF14</f>
        <v>109.6909516030525</v>
      </c>
      <c r="I24" s="77">
        <f>'Supply Side IRA'!AG14</f>
        <v>134.69219639112575</v>
      </c>
      <c r="J24" s="77">
        <f>'Supply Side IRA'!AH14</f>
        <v>155.1546813780385</v>
      </c>
      <c r="K24" s="77">
        <f>'Supply Side IRA'!AI14</f>
        <v>162.72574530545867</v>
      </c>
    </row>
    <row r="25" spans="1:11" x14ac:dyDescent="0.35">
      <c r="A25" s="68"/>
      <c r="C25" s="79"/>
      <c r="D25" s="79"/>
      <c r="E25" s="79"/>
    </row>
    <row r="26" spans="1:11" x14ac:dyDescent="0.35">
      <c r="A26" s="68"/>
      <c r="C26" s="79"/>
      <c r="D26" s="79"/>
      <c r="E26" s="79"/>
    </row>
    <row r="27" spans="1:11" x14ac:dyDescent="0.35">
      <c r="A27" s="68"/>
      <c r="C27" s="79"/>
      <c r="D27" s="79"/>
      <c r="E27" s="79"/>
    </row>
    <row r="28" spans="1:11" x14ac:dyDescent="0.35">
      <c r="A28" s="57"/>
      <c r="C28" s="79"/>
      <c r="D28" s="79"/>
      <c r="E28" s="79"/>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E94"/>
  <sheetViews>
    <sheetView zoomScale="115" zoomScaleNormal="115" workbookViewId="0">
      <pane xSplit="2" ySplit="7" topLeftCell="S78" activePane="bottomRight" state="frozen"/>
      <selection pane="topRight" activeCell="C1" sqref="C1"/>
      <selection pane="bottomLeft" activeCell="A8" sqref="A8"/>
      <selection pane="bottomRight" activeCell="AD90" sqref="AD90"/>
    </sheetView>
  </sheetViews>
  <sheetFormatPr defaultColWidth="10.90625" defaultRowHeight="14.5" x14ac:dyDescent="0.35"/>
  <cols>
    <col min="1" max="1" width="9" customWidth="1"/>
    <col min="2" max="2" width="65" customWidth="1"/>
    <col min="3" max="30" width="11.54296875" customWidth="1"/>
  </cols>
  <sheetData>
    <row r="2" spans="1:31" ht="21" customHeight="1" x14ac:dyDescent="0.5">
      <c r="A2" s="1253" t="s">
        <v>1811</v>
      </c>
      <c r="B2" s="1253"/>
      <c r="C2" s="1253"/>
      <c r="D2" s="1253"/>
      <c r="E2" s="1253"/>
      <c r="F2" s="1253"/>
      <c r="G2" s="1253"/>
      <c r="H2" s="1253"/>
      <c r="I2" s="1253"/>
      <c r="J2" s="1253"/>
      <c r="K2" s="102"/>
      <c r="L2" s="183"/>
      <c r="M2" s="195"/>
      <c r="N2" s="170"/>
      <c r="O2" s="183"/>
      <c r="P2" s="195"/>
      <c r="Q2" s="170"/>
      <c r="R2" s="183"/>
      <c r="S2" s="195"/>
      <c r="T2" s="170"/>
      <c r="U2" s="183"/>
      <c r="V2" s="195"/>
      <c r="W2" s="170"/>
      <c r="X2" s="183"/>
      <c r="Y2" s="195"/>
      <c r="Z2" s="170"/>
      <c r="AA2" s="183"/>
      <c r="AB2" s="195"/>
      <c r="AC2" s="170"/>
      <c r="AD2" s="183"/>
      <c r="AE2" s="76"/>
    </row>
    <row r="3" spans="1:31" x14ac:dyDescent="0.35">
      <c r="A3" s="76" t="s">
        <v>883</v>
      </c>
      <c r="B3" s="76"/>
      <c r="C3" s="76"/>
      <c r="D3" s="76"/>
      <c r="E3" s="76"/>
      <c r="F3" s="76"/>
      <c r="G3" s="76"/>
      <c r="H3" s="76"/>
      <c r="I3" s="76"/>
      <c r="J3" s="76"/>
      <c r="K3" s="76"/>
      <c r="L3" s="184"/>
      <c r="M3" s="196"/>
      <c r="N3" s="171"/>
      <c r="O3" s="184"/>
      <c r="P3" s="196"/>
      <c r="Q3" s="171"/>
      <c r="R3" s="184"/>
      <c r="S3" s="196"/>
      <c r="T3" s="171"/>
      <c r="U3" s="184"/>
      <c r="V3" s="196"/>
      <c r="W3" s="171"/>
      <c r="X3" s="184"/>
      <c r="Y3" s="196"/>
      <c r="Z3" s="171"/>
      <c r="AA3" s="184"/>
      <c r="AB3" s="196"/>
      <c r="AC3" s="171"/>
      <c r="AD3" s="184"/>
      <c r="AE3" s="76"/>
    </row>
    <row r="4" spans="1:31" ht="15" customHeight="1" x14ac:dyDescent="0.35">
      <c r="A4" s="1254"/>
      <c r="B4" s="1254"/>
      <c r="C4" s="1254"/>
      <c r="D4" s="70"/>
      <c r="E4" s="70"/>
      <c r="F4" s="70"/>
      <c r="G4" s="70"/>
      <c r="H4" s="70"/>
      <c r="I4" s="70"/>
      <c r="J4" s="70"/>
      <c r="K4" s="70"/>
      <c r="L4" s="185"/>
      <c r="M4" s="85"/>
      <c r="N4" s="173"/>
      <c r="O4" s="185"/>
      <c r="P4" s="85"/>
      <c r="Q4" s="173"/>
      <c r="R4" s="185"/>
      <c r="S4" s="85"/>
      <c r="T4" s="173"/>
      <c r="U4" s="185"/>
      <c r="V4" s="85"/>
      <c r="W4" s="173"/>
      <c r="X4" s="185"/>
      <c r="Y4" s="85"/>
      <c r="Z4" s="173"/>
      <c r="AA4" s="185"/>
      <c r="AB4" s="85"/>
      <c r="AC4" s="173"/>
      <c r="AD4" s="185"/>
    </row>
    <row r="5" spans="1:31" x14ac:dyDescent="0.35">
      <c r="A5" s="1255" t="s">
        <v>814</v>
      </c>
      <c r="B5" s="1258"/>
      <c r="C5" s="1261" t="s">
        <v>895</v>
      </c>
      <c r="D5" s="1261" t="s">
        <v>895</v>
      </c>
      <c r="E5" s="1261" t="s">
        <v>895</v>
      </c>
      <c r="F5" s="1261" t="s">
        <v>895</v>
      </c>
      <c r="G5" s="1261" t="s">
        <v>895</v>
      </c>
      <c r="H5" s="1261" t="s">
        <v>895</v>
      </c>
      <c r="I5" s="1261" t="s">
        <v>895</v>
      </c>
      <c r="J5" s="1262" t="s">
        <v>895</v>
      </c>
      <c r="K5" s="135"/>
      <c r="L5" s="186"/>
      <c r="M5" s="91"/>
      <c r="N5" s="174"/>
      <c r="O5" s="186"/>
      <c r="P5" s="91"/>
      <c r="Q5" s="174"/>
      <c r="R5" s="186"/>
      <c r="S5" s="91"/>
      <c r="T5" s="174"/>
      <c r="U5" s="186"/>
      <c r="V5" s="91"/>
      <c r="W5" s="174"/>
      <c r="X5" s="186"/>
      <c r="Y5" s="91"/>
      <c r="Z5" s="174"/>
      <c r="AA5" s="186"/>
      <c r="AB5" s="91"/>
      <c r="AC5" s="174"/>
      <c r="AD5" s="186"/>
    </row>
    <row r="6" spans="1:31" x14ac:dyDescent="0.35">
      <c r="A6" s="1256" t="s">
        <v>814</v>
      </c>
      <c r="B6" s="1259"/>
      <c r="C6" s="1263">
        <v>2022</v>
      </c>
      <c r="D6" s="1264"/>
      <c r="E6" s="1264"/>
      <c r="F6" s="1264"/>
      <c r="G6" s="1264"/>
      <c r="H6" s="1265"/>
      <c r="I6" s="1263">
        <v>2023</v>
      </c>
      <c r="J6" s="1264">
        <v>2023</v>
      </c>
      <c r="K6" s="1265">
        <v>2023</v>
      </c>
      <c r="L6" s="187"/>
      <c r="M6" s="95"/>
      <c r="N6" s="175"/>
      <c r="O6" s="187"/>
      <c r="P6" s="95"/>
      <c r="Q6" s="175"/>
      <c r="R6" s="187"/>
      <c r="S6" s="95"/>
      <c r="T6" s="175"/>
      <c r="U6" s="187"/>
      <c r="V6" s="95"/>
      <c r="W6" s="175"/>
      <c r="X6" s="187"/>
      <c r="Y6" s="95"/>
      <c r="Z6" s="175"/>
      <c r="AA6" s="187"/>
      <c r="AB6" s="95"/>
      <c r="AC6" s="175"/>
      <c r="AD6" s="187"/>
    </row>
    <row r="7" spans="1:31" ht="32.5" customHeight="1" x14ac:dyDescent="0.35">
      <c r="A7" s="1257" t="s">
        <v>814</v>
      </c>
      <c r="B7" s="1260"/>
      <c r="C7" s="138" t="s">
        <v>1753</v>
      </c>
      <c r="D7" s="138" t="s">
        <v>1830</v>
      </c>
      <c r="E7" s="138" t="s">
        <v>1831</v>
      </c>
      <c r="F7" s="138" t="s">
        <v>1835</v>
      </c>
      <c r="G7" s="138" t="s">
        <v>1836</v>
      </c>
      <c r="H7" s="138" t="s">
        <v>1837</v>
      </c>
      <c r="I7" s="138" t="s">
        <v>234</v>
      </c>
      <c r="J7" s="138" t="s">
        <v>235</v>
      </c>
      <c r="K7" s="138" t="s">
        <v>1885</v>
      </c>
      <c r="L7" s="105" t="s">
        <v>1893</v>
      </c>
      <c r="M7" s="112" t="s">
        <v>1894</v>
      </c>
      <c r="N7" s="118" t="s">
        <v>1899</v>
      </c>
      <c r="O7" s="105" t="s">
        <v>1900</v>
      </c>
      <c r="P7" s="112" t="s">
        <v>1830</v>
      </c>
      <c r="Q7" s="118" t="s">
        <v>1831</v>
      </c>
      <c r="R7" s="105" t="s">
        <v>1835</v>
      </c>
      <c r="S7" s="112" t="s">
        <v>1948</v>
      </c>
      <c r="T7" s="118" t="s">
        <v>1941</v>
      </c>
      <c r="U7" s="105" t="s">
        <v>234</v>
      </c>
      <c r="V7" s="112" t="s">
        <v>235</v>
      </c>
      <c r="W7" s="118" t="s">
        <v>1885</v>
      </c>
      <c r="X7" s="105" t="s">
        <v>2287</v>
      </c>
      <c r="Y7" s="112" t="s">
        <v>2288</v>
      </c>
      <c r="Z7" s="118" t="s">
        <v>2289</v>
      </c>
      <c r="AA7" s="105" t="s">
        <v>2290</v>
      </c>
      <c r="AB7" s="112" t="s">
        <v>2291</v>
      </c>
      <c r="AC7" s="118" t="s">
        <v>2292</v>
      </c>
      <c r="AD7" s="186" t="s">
        <v>2293</v>
      </c>
    </row>
    <row r="8" spans="1:31" x14ac:dyDescent="0.35">
      <c r="A8" s="130">
        <v>1</v>
      </c>
      <c r="B8" s="47" t="s">
        <v>239</v>
      </c>
      <c r="C8" s="139">
        <v>21852.3</v>
      </c>
      <c r="D8" s="139">
        <v>21975.8</v>
      </c>
      <c r="E8" s="140">
        <v>22080.400000000001</v>
      </c>
      <c r="F8" s="140">
        <v>22201.9</v>
      </c>
      <c r="G8" s="140">
        <v>22240.1</v>
      </c>
      <c r="H8" s="140">
        <v>22281.9</v>
      </c>
      <c r="I8" s="139">
        <v>22525.3</v>
      </c>
      <c r="J8" s="140">
        <v>22648.400000000001</v>
      </c>
      <c r="K8" s="139">
        <v>22757.9</v>
      </c>
      <c r="L8" s="106">
        <v>22806.1</v>
      </c>
      <c r="M8" s="113">
        <v>22876.6</v>
      </c>
      <c r="N8" s="155">
        <v>22921.4</v>
      </c>
      <c r="O8" s="92">
        <v>22986.400000000001</v>
      </c>
      <c r="P8" s="113">
        <v>23094.5</v>
      </c>
      <c r="Q8" s="155">
        <v>23176.2</v>
      </c>
      <c r="R8" s="106">
        <v>23189.4</v>
      </c>
      <c r="S8" s="113">
        <v>23241.5</v>
      </c>
      <c r="T8" s="197">
        <v>23311.599999999999</v>
      </c>
      <c r="U8" s="92">
        <v>24226.7</v>
      </c>
      <c r="V8" s="113">
        <v>24330.9</v>
      </c>
      <c r="W8" s="197">
        <v>24474.9</v>
      </c>
      <c r="X8" s="106">
        <v>24511.1</v>
      </c>
      <c r="Y8" s="113">
        <v>24584.2</v>
      </c>
      <c r="Z8" s="197">
        <v>24626.7</v>
      </c>
      <c r="AA8" s="106">
        <v>24695.1</v>
      </c>
      <c r="AB8" s="113">
        <v>24740.2</v>
      </c>
      <c r="AC8" s="119">
        <v>24814.6</v>
      </c>
      <c r="AD8" s="108">
        <v>24962</v>
      </c>
    </row>
    <row r="9" spans="1:31" x14ac:dyDescent="0.35">
      <c r="A9" s="131">
        <v>2</v>
      </c>
      <c r="B9" s="166" t="s">
        <v>1754</v>
      </c>
      <c r="C9" s="141">
        <v>13654.1</v>
      </c>
      <c r="D9" s="141">
        <v>13754.9</v>
      </c>
      <c r="E9" s="142">
        <v>13856.1</v>
      </c>
      <c r="F9" s="142">
        <v>13828.8</v>
      </c>
      <c r="G9" s="142">
        <v>13822.8</v>
      </c>
      <c r="H9" s="142">
        <v>13832.7</v>
      </c>
      <c r="I9" s="141">
        <v>13885.2</v>
      </c>
      <c r="J9" s="142">
        <v>13968.7</v>
      </c>
      <c r="K9" s="141">
        <v>14041.7</v>
      </c>
      <c r="L9" s="108">
        <v>14092.7</v>
      </c>
      <c r="M9" s="114">
        <v>14151.1</v>
      </c>
      <c r="N9" s="157">
        <v>14218.6</v>
      </c>
      <c r="O9" s="93">
        <v>14296.4</v>
      </c>
      <c r="P9" s="114">
        <v>14372.7</v>
      </c>
      <c r="Q9" s="157">
        <v>14437.1</v>
      </c>
      <c r="R9" s="108">
        <v>14416.2</v>
      </c>
      <c r="S9" s="114">
        <v>14436.6</v>
      </c>
      <c r="T9" s="84">
        <v>14491.6</v>
      </c>
      <c r="U9" s="93">
        <v>14686.6</v>
      </c>
      <c r="V9" s="114">
        <v>14836.5</v>
      </c>
      <c r="W9" s="84">
        <v>14948.1</v>
      </c>
      <c r="X9" s="108">
        <v>14914.1</v>
      </c>
      <c r="Y9" s="114">
        <v>14955.1</v>
      </c>
      <c r="Z9" s="84">
        <v>14967.6</v>
      </c>
      <c r="AA9" s="108">
        <v>15022.7</v>
      </c>
      <c r="AB9" s="114">
        <v>15099.2</v>
      </c>
      <c r="AC9" s="120">
        <v>15158.1</v>
      </c>
      <c r="AD9" s="108">
        <v>15232.8</v>
      </c>
    </row>
    <row r="10" spans="1:31" x14ac:dyDescent="0.35">
      <c r="A10" s="131">
        <v>3</v>
      </c>
      <c r="B10" s="167" t="s">
        <v>1755</v>
      </c>
      <c r="C10" s="141">
        <v>11271.8</v>
      </c>
      <c r="D10" s="141">
        <v>11360.7</v>
      </c>
      <c r="E10" s="142">
        <v>11450.6</v>
      </c>
      <c r="F10" s="142">
        <v>11420.4</v>
      </c>
      <c r="G10" s="142">
        <v>11408.7</v>
      </c>
      <c r="H10" s="142">
        <v>11412.7</v>
      </c>
      <c r="I10" s="141">
        <v>11494.7</v>
      </c>
      <c r="J10" s="142">
        <v>11568.5</v>
      </c>
      <c r="K10" s="141">
        <v>11633.1</v>
      </c>
      <c r="L10" s="108">
        <v>11680.1</v>
      </c>
      <c r="M10" s="114">
        <v>11730.8</v>
      </c>
      <c r="N10" s="157">
        <v>11788.9</v>
      </c>
      <c r="O10" s="93">
        <v>11855.6</v>
      </c>
      <c r="P10" s="114">
        <v>11921.2</v>
      </c>
      <c r="Q10" s="157">
        <v>11975.7</v>
      </c>
      <c r="R10" s="108">
        <v>11950.9</v>
      </c>
      <c r="S10" s="114">
        <v>11965.4</v>
      </c>
      <c r="T10" s="84">
        <v>12011.8</v>
      </c>
      <c r="U10" s="93">
        <v>12129</v>
      </c>
      <c r="V10" s="114">
        <v>12263.3</v>
      </c>
      <c r="W10" s="84">
        <v>12360.5</v>
      </c>
      <c r="X10" s="108">
        <v>12321.5</v>
      </c>
      <c r="Y10" s="114">
        <v>12352.2</v>
      </c>
      <c r="Z10" s="84">
        <v>12355.3</v>
      </c>
      <c r="AA10" s="108">
        <v>12398.9</v>
      </c>
      <c r="AB10" s="114">
        <v>12462.8</v>
      </c>
      <c r="AC10" s="120">
        <v>12511</v>
      </c>
      <c r="AD10" s="108">
        <v>12573.8</v>
      </c>
    </row>
    <row r="11" spans="1:31" x14ac:dyDescent="0.35">
      <c r="A11" s="131">
        <v>4</v>
      </c>
      <c r="B11" s="172" t="s">
        <v>1756</v>
      </c>
      <c r="C11" s="143">
        <v>9656.4</v>
      </c>
      <c r="D11" s="143">
        <v>9735.9</v>
      </c>
      <c r="E11" s="144">
        <v>9819.5</v>
      </c>
      <c r="F11" s="144">
        <v>9785.7999999999993</v>
      </c>
      <c r="G11" s="144">
        <v>9763.9</v>
      </c>
      <c r="H11" s="144">
        <v>9762.2999999999993</v>
      </c>
      <c r="I11" s="143">
        <v>9818.2999999999993</v>
      </c>
      <c r="J11" s="144">
        <v>9882.7999999999993</v>
      </c>
      <c r="K11" s="143">
        <v>9937.7000000000007</v>
      </c>
      <c r="L11" s="109">
        <v>9976.9</v>
      </c>
      <c r="M11" s="115">
        <v>10019.799999999999</v>
      </c>
      <c r="N11" s="158">
        <v>10070.4</v>
      </c>
      <c r="O11" s="94">
        <v>10117.4</v>
      </c>
      <c r="P11" s="115">
        <v>10167.9</v>
      </c>
      <c r="Q11" s="158">
        <v>10207.1</v>
      </c>
      <c r="R11" s="109">
        <v>10171.700000000001</v>
      </c>
      <c r="S11" s="115">
        <v>10179.4</v>
      </c>
      <c r="T11" s="86">
        <v>10214.799999999999</v>
      </c>
      <c r="U11" s="94">
        <v>10325.4</v>
      </c>
      <c r="V11" s="115">
        <v>10447.5</v>
      </c>
      <c r="W11" s="86">
        <v>10531.2</v>
      </c>
      <c r="X11" s="109">
        <v>10485.8</v>
      </c>
      <c r="Y11" s="115">
        <v>10509.4</v>
      </c>
      <c r="Z11" s="86">
        <v>10504</v>
      </c>
      <c r="AA11" s="109">
        <v>10539.9</v>
      </c>
      <c r="AB11" s="115">
        <v>10596.2</v>
      </c>
      <c r="AC11" s="121">
        <v>10637.1</v>
      </c>
      <c r="AD11" s="109">
        <v>10689.6</v>
      </c>
    </row>
    <row r="12" spans="1:31" x14ac:dyDescent="0.35">
      <c r="A12" s="131">
        <v>5</v>
      </c>
      <c r="B12" s="168" t="s">
        <v>1757</v>
      </c>
      <c r="C12" s="143">
        <v>1767.7</v>
      </c>
      <c r="D12" s="143">
        <v>1780.1</v>
      </c>
      <c r="E12" s="144">
        <v>1797.4</v>
      </c>
      <c r="F12" s="144">
        <v>1795.8</v>
      </c>
      <c r="G12" s="144">
        <v>1793.7</v>
      </c>
      <c r="H12" s="144">
        <v>1789.6</v>
      </c>
      <c r="I12" s="143">
        <v>1804.5</v>
      </c>
      <c r="J12" s="144">
        <v>1806.7</v>
      </c>
      <c r="K12" s="143">
        <v>1818.5</v>
      </c>
      <c r="L12" s="109">
        <v>1828.4</v>
      </c>
      <c r="M12" s="115">
        <v>1836.7</v>
      </c>
      <c r="N12" s="158">
        <v>1847.2</v>
      </c>
      <c r="O12" s="94">
        <v>1859</v>
      </c>
      <c r="P12" s="115">
        <v>1867.1</v>
      </c>
      <c r="Q12" s="158">
        <v>1876.1</v>
      </c>
      <c r="R12" s="109">
        <v>1875.9</v>
      </c>
      <c r="S12" s="115">
        <v>1879.8</v>
      </c>
      <c r="T12" s="86">
        <v>1881.1</v>
      </c>
      <c r="U12" s="94">
        <v>1904</v>
      </c>
      <c r="V12" s="115">
        <v>1929.1</v>
      </c>
      <c r="W12" s="86">
        <v>1951.7</v>
      </c>
      <c r="X12" s="109">
        <v>1920.1</v>
      </c>
      <c r="Y12" s="115">
        <v>1907.4</v>
      </c>
      <c r="Z12" s="86">
        <v>1904.4</v>
      </c>
      <c r="AA12" s="109">
        <v>1906.9</v>
      </c>
      <c r="AB12" s="115">
        <v>1915.2</v>
      </c>
      <c r="AC12" s="121">
        <v>1923.9</v>
      </c>
      <c r="AD12" s="109">
        <v>1926.5</v>
      </c>
    </row>
    <row r="13" spans="1:31" x14ac:dyDescent="0.35">
      <c r="A13" s="131">
        <v>6</v>
      </c>
      <c r="B13" s="182" t="s">
        <v>1758</v>
      </c>
      <c r="C13" s="143">
        <v>1046.3</v>
      </c>
      <c r="D13" s="143">
        <v>1054.4000000000001</v>
      </c>
      <c r="E13" s="144">
        <v>1064.8</v>
      </c>
      <c r="F13" s="144">
        <v>1061.4000000000001</v>
      </c>
      <c r="G13" s="144">
        <v>1055.5</v>
      </c>
      <c r="H13" s="144">
        <v>1046.9000000000001</v>
      </c>
      <c r="I13" s="143">
        <v>1066</v>
      </c>
      <c r="J13" s="144">
        <v>1064.3</v>
      </c>
      <c r="K13" s="143">
        <v>1071.2</v>
      </c>
      <c r="L13" s="109">
        <v>1077.3</v>
      </c>
      <c r="M13" s="115">
        <v>1079.5</v>
      </c>
      <c r="N13" s="158">
        <v>1088.5999999999999</v>
      </c>
      <c r="O13" s="94">
        <v>1096.9000000000001</v>
      </c>
      <c r="P13" s="115">
        <v>1102.2</v>
      </c>
      <c r="Q13" s="158">
        <v>1108.5999999999999</v>
      </c>
      <c r="R13" s="109">
        <v>1103.3</v>
      </c>
      <c r="S13" s="115">
        <v>1103.3</v>
      </c>
      <c r="T13" s="86">
        <v>1101</v>
      </c>
      <c r="U13" s="94">
        <v>1108.9000000000001</v>
      </c>
      <c r="V13" s="115">
        <v>1124</v>
      </c>
      <c r="W13" s="86">
        <v>1136.7</v>
      </c>
      <c r="X13" s="109">
        <v>1112.5</v>
      </c>
      <c r="Y13" s="115">
        <v>1106.2</v>
      </c>
      <c r="Z13" s="86">
        <v>1102.7</v>
      </c>
      <c r="AA13" s="109">
        <v>1104.7</v>
      </c>
      <c r="AB13" s="115">
        <v>1107.2</v>
      </c>
      <c r="AC13" s="121">
        <v>1109</v>
      </c>
      <c r="AD13" s="109">
        <v>1107.7</v>
      </c>
    </row>
    <row r="14" spans="1:31" x14ac:dyDescent="0.35">
      <c r="A14" s="131">
        <v>7</v>
      </c>
      <c r="B14" s="168" t="s">
        <v>1759</v>
      </c>
      <c r="C14" s="143">
        <v>7888.7</v>
      </c>
      <c r="D14" s="143">
        <v>7955.8</v>
      </c>
      <c r="E14" s="144">
        <v>8022.1</v>
      </c>
      <c r="F14" s="144">
        <v>7990</v>
      </c>
      <c r="G14" s="144">
        <v>7970.1</v>
      </c>
      <c r="H14" s="144">
        <v>7972.7</v>
      </c>
      <c r="I14" s="143">
        <v>8013.8</v>
      </c>
      <c r="J14" s="144">
        <v>8076.2</v>
      </c>
      <c r="K14" s="143">
        <v>8119.2</v>
      </c>
      <c r="L14" s="109">
        <v>8148.5</v>
      </c>
      <c r="M14" s="115">
        <v>8183.1</v>
      </c>
      <c r="N14" s="158">
        <v>8223.2000000000007</v>
      </c>
      <c r="O14" s="94">
        <v>8258.4</v>
      </c>
      <c r="P14" s="115">
        <v>8300.7999999999993</v>
      </c>
      <c r="Q14" s="158">
        <v>8331</v>
      </c>
      <c r="R14" s="109">
        <v>8295.7000000000007</v>
      </c>
      <c r="S14" s="115">
        <v>8299.6</v>
      </c>
      <c r="T14" s="86">
        <v>8333.7000000000007</v>
      </c>
      <c r="U14" s="94">
        <v>8421.4</v>
      </c>
      <c r="V14" s="115">
        <v>8518.5</v>
      </c>
      <c r="W14" s="86">
        <v>8579.5</v>
      </c>
      <c r="X14" s="109">
        <v>8565.7000000000007</v>
      </c>
      <c r="Y14" s="115">
        <v>8601.9</v>
      </c>
      <c r="Z14" s="86">
        <v>8599.6</v>
      </c>
      <c r="AA14" s="109">
        <v>8633</v>
      </c>
      <c r="AB14" s="115">
        <v>8681</v>
      </c>
      <c r="AC14" s="121">
        <v>8713.2000000000007</v>
      </c>
      <c r="AD14" s="109">
        <v>8763</v>
      </c>
    </row>
    <row r="15" spans="1:31" x14ac:dyDescent="0.35">
      <c r="A15" s="131">
        <v>8</v>
      </c>
      <c r="B15" s="188" t="s">
        <v>1760</v>
      </c>
      <c r="C15" s="143">
        <v>1734</v>
      </c>
      <c r="D15" s="143">
        <v>1748.4</v>
      </c>
      <c r="E15" s="144">
        <v>1762.3</v>
      </c>
      <c r="F15" s="144">
        <v>1757.7</v>
      </c>
      <c r="G15" s="144">
        <v>1749.7</v>
      </c>
      <c r="H15" s="144">
        <v>1745.6</v>
      </c>
      <c r="I15" s="143">
        <v>1778.8</v>
      </c>
      <c r="J15" s="144">
        <v>1795.8</v>
      </c>
      <c r="K15" s="143">
        <v>1796</v>
      </c>
      <c r="L15" s="109">
        <v>1797.8</v>
      </c>
      <c r="M15" s="115">
        <v>1793.1</v>
      </c>
      <c r="N15" s="158">
        <v>1804.5</v>
      </c>
      <c r="O15" s="94">
        <v>1816.7</v>
      </c>
      <c r="P15" s="115">
        <v>1828</v>
      </c>
      <c r="Q15" s="158">
        <v>1837.3</v>
      </c>
      <c r="R15" s="109">
        <v>1825.7</v>
      </c>
      <c r="S15" s="115">
        <v>1822.5</v>
      </c>
      <c r="T15" s="86">
        <v>1833.5</v>
      </c>
      <c r="U15" s="94">
        <v>1842.8</v>
      </c>
      <c r="V15" s="115">
        <v>1865</v>
      </c>
      <c r="W15" s="86">
        <v>1867.7</v>
      </c>
      <c r="X15" s="109">
        <v>1863.4</v>
      </c>
      <c r="Y15" s="115">
        <v>1873.4</v>
      </c>
      <c r="Z15" s="86">
        <v>1874.4</v>
      </c>
      <c r="AA15" s="109">
        <v>1878.4</v>
      </c>
      <c r="AB15" s="115">
        <v>1891</v>
      </c>
      <c r="AC15" s="121">
        <v>1894</v>
      </c>
      <c r="AD15" s="109">
        <v>1912.6</v>
      </c>
    </row>
    <row r="16" spans="1:31" x14ac:dyDescent="0.35">
      <c r="A16" s="131">
        <v>9</v>
      </c>
      <c r="B16" s="188" t="s">
        <v>1761</v>
      </c>
      <c r="C16" s="143">
        <v>6154.8</v>
      </c>
      <c r="D16" s="143">
        <v>6207.4</v>
      </c>
      <c r="E16" s="144">
        <v>6259.8</v>
      </c>
      <c r="F16" s="144">
        <v>6232.2</v>
      </c>
      <c r="G16" s="144">
        <v>6220.4</v>
      </c>
      <c r="H16" s="144">
        <v>6227.2</v>
      </c>
      <c r="I16" s="143">
        <v>6235</v>
      </c>
      <c r="J16" s="144">
        <v>6280.4</v>
      </c>
      <c r="K16" s="143">
        <v>6323.1</v>
      </c>
      <c r="L16" s="109">
        <v>6350.7</v>
      </c>
      <c r="M16" s="115">
        <v>6390</v>
      </c>
      <c r="N16" s="158">
        <v>6418.7</v>
      </c>
      <c r="O16" s="94">
        <v>6441.7</v>
      </c>
      <c r="P16" s="115">
        <v>6472.8</v>
      </c>
      <c r="Q16" s="158">
        <v>6493.8</v>
      </c>
      <c r="R16" s="109">
        <v>6470.1</v>
      </c>
      <c r="S16" s="115">
        <v>6477.1</v>
      </c>
      <c r="T16" s="86">
        <v>6500.2</v>
      </c>
      <c r="U16" s="94">
        <v>6578.6</v>
      </c>
      <c r="V16" s="115">
        <v>6653.4</v>
      </c>
      <c r="W16" s="86">
        <v>6711.8</v>
      </c>
      <c r="X16" s="109">
        <v>6702.3</v>
      </c>
      <c r="Y16" s="115">
        <v>6728.5</v>
      </c>
      <c r="Z16" s="86">
        <v>6725.2</v>
      </c>
      <c r="AA16" s="109">
        <v>6754.6</v>
      </c>
      <c r="AB16" s="115">
        <v>6790</v>
      </c>
      <c r="AC16" s="121">
        <v>6819.2</v>
      </c>
      <c r="AD16" s="109">
        <v>6850.4</v>
      </c>
    </row>
    <row r="17" spans="1:31" ht="16.399999999999999" customHeight="1" x14ac:dyDescent="0.35">
      <c r="A17" s="131">
        <v>10</v>
      </c>
      <c r="B17" s="172" t="s">
        <v>1762</v>
      </c>
      <c r="C17" s="143">
        <v>1615.4</v>
      </c>
      <c r="D17" s="143">
        <v>1624.8</v>
      </c>
      <c r="E17" s="144">
        <v>1631.1</v>
      </c>
      <c r="F17" s="144">
        <v>1634.6</v>
      </c>
      <c r="G17" s="144">
        <v>1644.8</v>
      </c>
      <c r="H17" s="144">
        <v>1650.4</v>
      </c>
      <c r="I17" s="143">
        <v>1676.4</v>
      </c>
      <c r="J17" s="144">
        <v>1685.7</v>
      </c>
      <c r="K17" s="143">
        <v>1695.5</v>
      </c>
      <c r="L17" s="109">
        <v>1703.2</v>
      </c>
      <c r="M17" s="115">
        <v>1711</v>
      </c>
      <c r="N17" s="158">
        <v>1718.6</v>
      </c>
      <c r="O17" s="94">
        <v>1738.2</v>
      </c>
      <c r="P17" s="115">
        <v>1753.3</v>
      </c>
      <c r="Q17" s="158">
        <v>1768.6</v>
      </c>
      <c r="R17" s="109">
        <v>1779.3</v>
      </c>
      <c r="S17" s="115">
        <v>1786</v>
      </c>
      <c r="T17" s="86">
        <v>1797</v>
      </c>
      <c r="U17" s="94">
        <v>1803.6</v>
      </c>
      <c r="V17" s="115">
        <v>1815.8</v>
      </c>
      <c r="W17" s="86">
        <v>1829.3</v>
      </c>
      <c r="X17" s="109">
        <v>1835.7</v>
      </c>
      <c r="Y17" s="115">
        <v>1842.9</v>
      </c>
      <c r="Z17" s="86">
        <v>1851.3</v>
      </c>
      <c r="AA17" s="109">
        <v>1859</v>
      </c>
      <c r="AB17" s="115">
        <v>1866.6</v>
      </c>
      <c r="AC17" s="121">
        <v>1873.9</v>
      </c>
      <c r="AD17" s="109">
        <v>1884.2</v>
      </c>
    </row>
    <row r="18" spans="1:31" ht="16.399999999999999" customHeight="1" x14ac:dyDescent="0.35">
      <c r="A18" s="131">
        <v>11</v>
      </c>
      <c r="B18" s="167" t="s">
        <v>1763</v>
      </c>
      <c r="C18" s="141">
        <v>2382.3000000000002</v>
      </c>
      <c r="D18" s="141">
        <v>2394.1</v>
      </c>
      <c r="E18" s="142">
        <v>2405.5</v>
      </c>
      <c r="F18" s="142">
        <v>2408.5</v>
      </c>
      <c r="G18" s="142">
        <v>2414.1</v>
      </c>
      <c r="H18" s="142">
        <v>2420</v>
      </c>
      <c r="I18" s="141">
        <v>2390.6</v>
      </c>
      <c r="J18" s="142">
        <v>2400.1999999999998</v>
      </c>
      <c r="K18" s="141">
        <v>2408.6</v>
      </c>
      <c r="L18" s="108">
        <v>2412.6</v>
      </c>
      <c r="M18" s="114">
        <v>2420.3000000000002</v>
      </c>
      <c r="N18" s="157">
        <v>2429.6</v>
      </c>
      <c r="O18" s="93">
        <v>2440.8000000000002</v>
      </c>
      <c r="P18" s="114">
        <v>2451.5</v>
      </c>
      <c r="Q18" s="157">
        <v>2461.4</v>
      </c>
      <c r="R18" s="108">
        <v>2465.3000000000002</v>
      </c>
      <c r="S18" s="114">
        <v>2471.1999999999998</v>
      </c>
      <c r="T18" s="84">
        <v>2479.8000000000002</v>
      </c>
      <c r="U18" s="93">
        <v>2557.6</v>
      </c>
      <c r="V18" s="114">
        <v>2573.1999999999998</v>
      </c>
      <c r="W18" s="84">
        <v>2587.6</v>
      </c>
      <c r="X18" s="108">
        <v>2592.6</v>
      </c>
      <c r="Y18" s="114">
        <v>2602.9</v>
      </c>
      <c r="Z18" s="84">
        <v>2612.3000000000002</v>
      </c>
      <c r="AA18" s="108">
        <v>2623.8</v>
      </c>
      <c r="AB18" s="114">
        <v>2636.3</v>
      </c>
      <c r="AC18" s="120">
        <v>2647.1</v>
      </c>
      <c r="AD18" s="108">
        <v>2659</v>
      </c>
    </row>
    <row r="19" spans="1:31" ht="16.5" customHeight="1" x14ac:dyDescent="0.35">
      <c r="A19" s="132">
        <v>12</v>
      </c>
      <c r="B19" s="103" t="s">
        <v>1764</v>
      </c>
      <c r="C19" s="143">
        <v>1614.2</v>
      </c>
      <c r="D19" s="143">
        <v>1620.2</v>
      </c>
      <c r="E19" s="144">
        <v>1625.6</v>
      </c>
      <c r="F19" s="144">
        <v>1630.6</v>
      </c>
      <c r="G19" s="144">
        <v>1637.1</v>
      </c>
      <c r="H19" s="144">
        <v>1642.9</v>
      </c>
      <c r="I19" s="143">
        <v>1594</v>
      </c>
      <c r="J19" s="144">
        <v>1599</v>
      </c>
      <c r="K19" s="143">
        <v>1603.5</v>
      </c>
      <c r="L19" s="109">
        <v>1604.7</v>
      </c>
      <c r="M19" s="115">
        <v>1609.4</v>
      </c>
      <c r="N19" s="158">
        <v>1615</v>
      </c>
      <c r="O19" s="94">
        <v>1622</v>
      </c>
      <c r="P19" s="115">
        <v>1628.6</v>
      </c>
      <c r="Q19" s="158">
        <v>1635</v>
      </c>
      <c r="R19" s="109">
        <v>1640.6</v>
      </c>
      <c r="S19" s="115">
        <v>1645.5</v>
      </c>
      <c r="T19" s="86">
        <v>1650.9</v>
      </c>
      <c r="U19" s="94">
        <v>1712.3</v>
      </c>
      <c r="V19" s="115">
        <v>1722.8</v>
      </c>
      <c r="W19" s="86">
        <v>1733</v>
      </c>
      <c r="X19" s="109">
        <v>1741.4</v>
      </c>
      <c r="Y19" s="115">
        <v>1749.9</v>
      </c>
      <c r="Z19" s="86">
        <v>1759.5</v>
      </c>
      <c r="AA19" s="109">
        <v>1768.4</v>
      </c>
      <c r="AB19" s="115">
        <v>1776.8</v>
      </c>
      <c r="AC19" s="121">
        <v>1784.6</v>
      </c>
      <c r="AD19" s="109">
        <v>1792.3</v>
      </c>
    </row>
    <row r="20" spans="1:31" x14ac:dyDescent="0.35">
      <c r="A20" s="132">
        <v>13</v>
      </c>
      <c r="B20" s="103" t="s">
        <v>1765</v>
      </c>
      <c r="C20" s="143">
        <v>768.1</v>
      </c>
      <c r="D20" s="143">
        <v>774</v>
      </c>
      <c r="E20" s="144">
        <v>779.9</v>
      </c>
      <c r="F20" s="144">
        <v>777.9</v>
      </c>
      <c r="G20" s="144">
        <v>777</v>
      </c>
      <c r="H20" s="144">
        <v>777.1</v>
      </c>
      <c r="I20" s="143">
        <v>796.6</v>
      </c>
      <c r="J20" s="144">
        <v>801.1</v>
      </c>
      <c r="K20" s="143">
        <v>805.1</v>
      </c>
      <c r="L20" s="109">
        <v>807.9</v>
      </c>
      <c r="M20" s="115">
        <v>811</v>
      </c>
      <c r="N20" s="158">
        <v>814.6</v>
      </c>
      <c r="O20" s="94">
        <v>818.7</v>
      </c>
      <c r="P20" s="115">
        <v>822.9</v>
      </c>
      <c r="Q20" s="158">
        <v>826.4</v>
      </c>
      <c r="R20" s="109">
        <v>824.7</v>
      </c>
      <c r="S20" s="115">
        <v>825.7</v>
      </c>
      <c r="T20" s="86">
        <v>828.9</v>
      </c>
      <c r="U20" s="94">
        <v>845.2</v>
      </c>
      <c r="V20" s="115">
        <v>850.4</v>
      </c>
      <c r="W20" s="86">
        <v>854.6</v>
      </c>
      <c r="X20" s="109">
        <v>851.3</v>
      </c>
      <c r="Y20" s="115">
        <v>853</v>
      </c>
      <c r="Z20" s="86">
        <v>852.7</v>
      </c>
      <c r="AA20" s="109">
        <v>855.4</v>
      </c>
      <c r="AB20" s="115">
        <v>859.5</v>
      </c>
      <c r="AC20" s="121">
        <v>862.5</v>
      </c>
      <c r="AD20" s="109">
        <v>866.7</v>
      </c>
    </row>
    <row r="21" spans="1:31" ht="16.399999999999999" customHeight="1" x14ac:dyDescent="0.35">
      <c r="A21" s="132">
        <v>14</v>
      </c>
      <c r="B21" s="90" t="s">
        <v>1766</v>
      </c>
      <c r="C21" s="141">
        <v>1846.5</v>
      </c>
      <c r="D21" s="141">
        <v>1869.7</v>
      </c>
      <c r="E21" s="142">
        <v>1874.4</v>
      </c>
      <c r="F21" s="142">
        <v>1877.2</v>
      </c>
      <c r="G21" s="142">
        <v>1882.7</v>
      </c>
      <c r="H21" s="142">
        <v>1888.6</v>
      </c>
      <c r="I21" s="141">
        <v>1832.2</v>
      </c>
      <c r="J21" s="142">
        <v>1828.6</v>
      </c>
      <c r="K21" s="141">
        <v>1821.5</v>
      </c>
      <c r="L21" s="108">
        <v>1821.1</v>
      </c>
      <c r="M21" s="114">
        <v>1821.3</v>
      </c>
      <c r="N21" s="157">
        <v>1829.9</v>
      </c>
      <c r="O21" s="93">
        <v>1839.7</v>
      </c>
      <c r="P21" s="114">
        <v>1861.1</v>
      </c>
      <c r="Q21" s="157">
        <v>1877.8</v>
      </c>
      <c r="R21" s="108">
        <v>1880.2</v>
      </c>
      <c r="S21" s="114">
        <v>1886.2</v>
      </c>
      <c r="T21" s="84">
        <v>1881.5</v>
      </c>
      <c r="U21" s="93">
        <v>1969.7</v>
      </c>
      <c r="V21" s="114">
        <v>1971.2</v>
      </c>
      <c r="W21" s="84">
        <v>1975.6</v>
      </c>
      <c r="X21" s="108">
        <v>1995.2</v>
      </c>
      <c r="Y21" s="114">
        <v>2003</v>
      </c>
      <c r="Z21" s="84">
        <v>2008.7</v>
      </c>
      <c r="AA21" s="108">
        <v>2013.8</v>
      </c>
      <c r="AB21" s="114">
        <v>2012.8</v>
      </c>
      <c r="AC21" s="120">
        <v>2002</v>
      </c>
      <c r="AD21" s="108">
        <v>2010.6</v>
      </c>
    </row>
    <row r="22" spans="1:31" x14ac:dyDescent="0.35">
      <c r="A22" s="131">
        <v>15</v>
      </c>
      <c r="B22" s="45" t="s">
        <v>1767</v>
      </c>
      <c r="C22" s="143">
        <v>94.8</v>
      </c>
      <c r="D22" s="143">
        <v>95.9</v>
      </c>
      <c r="E22" s="144">
        <v>97.1</v>
      </c>
      <c r="F22" s="144">
        <v>99</v>
      </c>
      <c r="G22" s="144">
        <v>100.9</v>
      </c>
      <c r="H22" s="144">
        <v>102.8</v>
      </c>
      <c r="I22" s="143">
        <v>78.7</v>
      </c>
      <c r="J22" s="144">
        <v>71.2</v>
      </c>
      <c r="K22" s="143">
        <v>63.8</v>
      </c>
      <c r="L22" s="109">
        <v>61</v>
      </c>
      <c r="M22" s="115">
        <v>58.2</v>
      </c>
      <c r="N22" s="158">
        <v>55.5</v>
      </c>
      <c r="O22" s="94">
        <v>52.7</v>
      </c>
      <c r="P22" s="115">
        <v>49.9</v>
      </c>
      <c r="Q22" s="158">
        <v>47.2</v>
      </c>
      <c r="R22" s="109">
        <v>42.6</v>
      </c>
      <c r="S22" s="115">
        <v>38</v>
      </c>
      <c r="T22" s="86">
        <v>33.4</v>
      </c>
      <c r="U22" s="94">
        <v>39.5</v>
      </c>
      <c r="V22" s="115">
        <v>38.1</v>
      </c>
      <c r="W22" s="86">
        <v>37.9</v>
      </c>
      <c r="X22" s="109">
        <v>39.5</v>
      </c>
      <c r="Y22" s="115">
        <v>41.1</v>
      </c>
      <c r="Z22" s="86">
        <v>42.6</v>
      </c>
      <c r="AA22" s="109">
        <v>43.9</v>
      </c>
      <c r="AB22" s="115">
        <v>45.2</v>
      </c>
      <c r="AC22" s="121">
        <v>33.700000000000003</v>
      </c>
      <c r="AD22" s="109">
        <v>39.6</v>
      </c>
    </row>
    <row r="23" spans="1:31" x14ac:dyDescent="0.35">
      <c r="A23" s="131">
        <v>16</v>
      </c>
      <c r="B23" s="45" t="s">
        <v>1768</v>
      </c>
      <c r="C23" s="143">
        <v>1751.7</v>
      </c>
      <c r="D23" s="143">
        <v>1773.7</v>
      </c>
      <c r="E23" s="144">
        <v>1777.4</v>
      </c>
      <c r="F23" s="144">
        <v>1778.3</v>
      </c>
      <c r="G23" s="144">
        <v>1781.9</v>
      </c>
      <c r="H23" s="144">
        <v>1785.8</v>
      </c>
      <c r="I23" s="143">
        <v>1753.5</v>
      </c>
      <c r="J23" s="144">
        <v>1757.4</v>
      </c>
      <c r="K23" s="143">
        <v>1757.7</v>
      </c>
      <c r="L23" s="109">
        <v>1760.1</v>
      </c>
      <c r="M23" s="115">
        <v>1763.1</v>
      </c>
      <c r="N23" s="158">
        <v>1774.4</v>
      </c>
      <c r="O23" s="94">
        <v>1787</v>
      </c>
      <c r="P23" s="115">
        <v>1811.2</v>
      </c>
      <c r="Q23" s="158">
        <v>1830.6</v>
      </c>
      <c r="R23" s="109">
        <v>1837.6</v>
      </c>
      <c r="S23" s="115">
        <v>1848.2</v>
      </c>
      <c r="T23" s="86">
        <v>1848.1</v>
      </c>
      <c r="U23" s="94">
        <v>1930.1</v>
      </c>
      <c r="V23" s="115">
        <v>1933</v>
      </c>
      <c r="W23" s="86">
        <v>1937.7</v>
      </c>
      <c r="X23" s="109">
        <v>1955.7</v>
      </c>
      <c r="Y23" s="115">
        <v>1961.9</v>
      </c>
      <c r="Z23" s="86">
        <v>1966.1</v>
      </c>
      <c r="AA23" s="109">
        <v>1969.9</v>
      </c>
      <c r="AB23" s="115">
        <v>1967.6</v>
      </c>
      <c r="AC23" s="121">
        <v>1968.3</v>
      </c>
      <c r="AD23" s="109">
        <v>1970.9</v>
      </c>
    </row>
    <row r="24" spans="1:31" x14ac:dyDescent="0.35">
      <c r="A24" s="132">
        <v>17</v>
      </c>
      <c r="B24" s="90" t="s">
        <v>1769</v>
      </c>
      <c r="C24" s="141">
        <v>792.9</v>
      </c>
      <c r="D24" s="141">
        <v>794.9</v>
      </c>
      <c r="E24" s="142">
        <v>797</v>
      </c>
      <c r="F24" s="142">
        <v>804.7</v>
      </c>
      <c r="G24" s="142">
        <v>810.6</v>
      </c>
      <c r="H24" s="142">
        <v>820</v>
      </c>
      <c r="I24" s="141">
        <v>930.9</v>
      </c>
      <c r="J24" s="142">
        <v>945.7</v>
      </c>
      <c r="K24" s="141">
        <v>960.7</v>
      </c>
      <c r="L24" s="108">
        <v>960.6</v>
      </c>
      <c r="M24" s="114">
        <v>960.8</v>
      </c>
      <c r="N24" s="157">
        <v>961.8</v>
      </c>
      <c r="O24" s="93">
        <v>967.2</v>
      </c>
      <c r="P24" s="114">
        <v>974.5</v>
      </c>
      <c r="Q24" s="157">
        <v>981.5</v>
      </c>
      <c r="R24" s="108">
        <v>985.3</v>
      </c>
      <c r="S24" s="114">
        <v>988.1</v>
      </c>
      <c r="T24" s="84">
        <v>991</v>
      </c>
      <c r="U24" s="93">
        <v>1032</v>
      </c>
      <c r="V24" s="114">
        <v>1046.4000000000001</v>
      </c>
      <c r="W24" s="84">
        <v>1059.9000000000001</v>
      </c>
      <c r="X24" s="108">
        <v>1060.7</v>
      </c>
      <c r="Y24" s="114">
        <v>1053.5</v>
      </c>
      <c r="Z24" s="84">
        <v>1046</v>
      </c>
      <c r="AA24" s="108">
        <v>1051</v>
      </c>
      <c r="AB24" s="114">
        <v>1055.7</v>
      </c>
      <c r="AC24" s="120">
        <v>1060.4000000000001</v>
      </c>
      <c r="AD24" s="108">
        <v>1064.2</v>
      </c>
    </row>
    <row r="25" spans="1:31" x14ac:dyDescent="0.35">
      <c r="A25" s="131">
        <v>18</v>
      </c>
      <c r="B25" s="166" t="s">
        <v>1770</v>
      </c>
      <c r="C25" s="141">
        <v>3350.6</v>
      </c>
      <c r="D25" s="141">
        <v>3358.1</v>
      </c>
      <c r="E25" s="142">
        <v>3367.7</v>
      </c>
      <c r="F25" s="142">
        <v>3413.8</v>
      </c>
      <c r="G25" s="142">
        <v>3424.7</v>
      </c>
      <c r="H25" s="142">
        <v>3433.5</v>
      </c>
      <c r="I25" s="141">
        <v>3559.3</v>
      </c>
      <c r="J25" s="142">
        <v>3570.9</v>
      </c>
      <c r="K25" s="141">
        <v>3600.9</v>
      </c>
      <c r="L25" s="108">
        <v>3606.8</v>
      </c>
      <c r="M25" s="114">
        <v>3610.2</v>
      </c>
      <c r="N25" s="157">
        <v>3590.7</v>
      </c>
      <c r="O25" s="93">
        <v>3594.4</v>
      </c>
      <c r="P25" s="114">
        <v>3607.3</v>
      </c>
      <c r="Q25" s="157">
        <v>3617.9</v>
      </c>
      <c r="R25" s="108">
        <v>3645.6</v>
      </c>
      <c r="S25" s="114">
        <v>3672.7</v>
      </c>
      <c r="T25" s="84">
        <v>3683.6</v>
      </c>
      <c r="U25" s="93">
        <v>3999.7</v>
      </c>
      <c r="V25" s="114">
        <v>3912.2</v>
      </c>
      <c r="W25" s="84">
        <v>3904.9</v>
      </c>
      <c r="X25" s="108">
        <v>3929.6</v>
      </c>
      <c r="Y25" s="114">
        <v>3953.7</v>
      </c>
      <c r="Z25" s="84">
        <v>3967.4</v>
      </c>
      <c r="AA25" s="108">
        <v>3959.4</v>
      </c>
      <c r="AB25" s="114">
        <v>3929.5</v>
      </c>
      <c r="AC25" s="120">
        <v>3927.4</v>
      </c>
      <c r="AD25" s="108">
        <v>3965.5</v>
      </c>
    </row>
    <row r="26" spans="1:31" x14ac:dyDescent="0.35">
      <c r="A26" s="131">
        <v>19</v>
      </c>
      <c r="B26" s="45" t="s">
        <v>1771</v>
      </c>
      <c r="C26" s="143">
        <v>1731.1</v>
      </c>
      <c r="D26" s="143">
        <v>1738</v>
      </c>
      <c r="E26" s="144">
        <v>1745.2</v>
      </c>
      <c r="F26" s="144">
        <v>1766.6</v>
      </c>
      <c r="G26" s="144">
        <v>1788.7</v>
      </c>
      <c r="H26" s="144">
        <v>1811.6</v>
      </c>
      <c r="I26" s="143">
        <v>1736.2</v>
      </c>
      <c r="J26" s="144">
        <v>1744.3</v>
      </c>
      <c r="K26" s="143">
        <v>1752.6</v>
      </c>
      <c r="L26" s="109">
        <v>1753.6</v>
      </c>
      <c r="M26" s="115">
        <v>1754.7</v>
      </c>
      <c r="N26" s="158">
        <v>1756.1</v>
      </c>
      <c r="O26" s="94">
        <v>1766.1</v>
      </c>
      <c r="P26" s="115">
        <v>1776.3</v>
      </c>
      <c r="Q26" s="158">
        <v>1786.7</v>
      </c>
      <c r="R26" s="109">
        <v>1801</v>
      </c>
      <c r="S26" s="115">
        <v>1815.5</v>
      </c>
      <c r="T26" s="86">
        <v>1830.2</v>
      </c>
      <c r="U26" s="94">
        <v>1967.6</v>
      </c>
      <c r="V26" s="115">
        <v>1951</v>
      </c>
      <c r="W26" s="86">
        <v>1934.3</v>
      </c>
      <c r="X26" s="109">
        <v>1950.4</v>
      </c>
      <c r="Y26" s="115">
        <v>1966.3</v>
      </c>
      <c r="Z26" s="86">
        <v>1982</v>
      </c>
      <c r="AA26" s="109">
        <v>1973.1</v>
      </c>
      <c r="AB26" s="115">
        <v>1964.1</v>
      </c>
      <c r="AC26" s="121">
        <v>1955</v>
      </c>
      <c r="AD26" s="109">
        <v>1966.5</v>
      </c>
    </row>
    <row r="27" spans="1:31" x14ac:dyDescent="0.35">
      <c r="A27" s="131">
        <v>20</v>
      </c>
      <c r="B27" s="45" t="s">
        <v>1772</v>
      </c>
      <c r="C27" s="143">
        <v>1619.5</v>
      </c>
      <c r="D27" s="143">
        <v>1620.1</v>
      </c>
      <c r="E27" s="144">
        <v>1622.6</v>
      </c>
      <c r="F27" s="144">
        <v>1647.2</v>
      </c>
      <c r="G27" s="144">
        <v>1636</v>
      </c>
      <c r="H27" s="144">
        <v>1622</v>
      </c>
      <c r="I27" s="143">
        <v>1823.1</v>
      </c>
      <c r="J27" s="144">
        <v>1826.6</v>
      </c>
      <c r="K27" s="143">
        <v>1848.3</v>
      </c>
      <c r="L27" s="109">
        <v>1853.3</v>
      </c>
      <c r="M27" s="115">
        <v>1855.5</v>
      </c>
      <c r="N27" s="158">
        <v>1834.7</v>
      </c>
      <c r="O27" s="94">
        <v>1828.3</v>
      </c>
      <c r="P27" s="115">
        <v>1831</v>
      </c>
      <c r="Q27" s="158">
        <v>1831.2</v>
      </c>
      <c r="R27" s="109">
        <v>1844.6</v>
      </c>
      <c r="S27" s="115">
        <v>1857.2</v>
      </c>
      <c r="T27" s="86">
        <v>1853.4</v>
      </c>
      <c r="U27" s="94">
        <v>2032.1</v>
      </c>
      <c r="V27" s="115">
        <v>1961.2</v>
      </c>
      <c r="W27" s="86">
        <v>1970.6</v>
      </c>
      <c r="X27" s="109">
        <v>1979.2</v>
      </c>
      <c r="Y27" s="115">
        <v>1987.5</v>
      </c>
      <c r="Z27" s="86">
        <v>1985.3</v>
      </c>
      <c r="AA27" s="109">
        <v>1986.3</v>
      </c>
      <c r="AB27" s="115">
        <v>1965.4</v>
      </c>
      <c r="AC27" s="121">
        <v>1972.4</v>
      </c>
      <c r="AD27" s="109">
        <v>1999</v>
      </c>
    </row>
    <row r="28" spans="1:31" x14ac:dyDescent="0.35">
      <c r="A28" s="131">
        <v>21</v>
      </c>
      <c r="B28" s="166" t="s">
        <v>1773</v>
      </c>
      <c r="C28" s="141">
        <v>3891.7</v>
      </c>
      <c r="D28" s="141">
        <v>3893.9</v>
      </c>
      <c r="E28" s="142">
        <v>3892.9</v>
      </c>
      <c r="F28" s="142">
        <v>3981.6</v>
      </c>
      <c r="G28" s="142">
        <v>4002.2</v>
      </c>
      <c r="H28" s="142">
        <v>4010.8</v>
      </c>
      <c r="I28" s="141">
        <v>4083.3</v>
      </c>
      <c r="J28" s="142">
        <v>4108.8</v>
      </c>
      <c r="K28" s="141">
        <v>4115.1000000000004</v>
      </c>
      <c r="L28" s="108">
        <v>4112.3</v>
      </c>
      <c r="M28" s="114">
        <v>4126.8</v>
      </c>
      <c r="N28" s="157">
        <v>4121.3</v>
      </c>
      <c r="O28" s="93">
        <v>4097.8999999999996</v>
      </c>
      <c r="P28" s="114">
        <v>4096.5</v>
      </c>
      <c r="Q28" s="157">
        <v>4086.6</v>
      </c>
      <c r="R28" s="108">
        <v>4083.8</v>
      </c>
      <c r="S28" s="114">
        <v>4082</v>
      </c>
      <c r="T28" s="84">
        <v>4094.6</v>
      </c>
      <c r="U28" s="93">
        <v>4411.3</v>
      </c>
      <c r="V28" s="114">
        <v>4448.1000000000004</v>
      </c>
      <c r="W28" s="84">
        <v>4478.8999999999996</v>
      </c>
      <c r="X28" s="108">
        <v>4498.6000000000004</v>
      </c>
      <c r="Y28" s="114">
        <v>4510.1000000000004</v>
      </c>
      <c r="Z28" s="84">
        <v>4528.3999999999996</v>
      </c>
      <c r="AA28" s="108">
        <v>4545.3</v>
      </c>
      <c r="AB28" s="114">
        <v>4548.6000000000004</v>
      </c>
      <c r="AC28" s="120">
        <v>4578.7</v>
      </c>
      <c r="AD28" s="108">
        <v>4609.3999999999996</v>
      </c>
    </row>
    <row r="29" spans="1:31" x14ac:dyDescent="0.35">
      <c r="A29" s="131">
        <v>22</v>
      </c>
      <c r="B29" s="45" t="s">
        <v>1774</v>
      </c>
      <c r="C29" s="143">
        <v>3821.1</v>
      </c>
      <c r="D29" s="143">
        <v>3824.5</v>
      </c>
      <c r="E29" s="144">
        <v>3823.5</v>
      </c>
      <c r="F29" s="144">
        <v>3912.2</v>
      </c>
      <c r="G29" s="144">
        <v>3932.8</v>
      </c>
      <c r="H29" s="144">
        <v>3941.2</v>
      </c>
      <c r="I29" s="143">
        <v>3983.1</v>
      </c>
      <c r="J29" s="144">
        <v>4007.9</v>
      </c>
      <c r="K29" s="143">
        <v>4013.6</v>
      </c>
      <c r="L29" s="109">
        <v>4010.1</v>
      </c>
      <c r="M29" s="115">
        <v>4024</v>
      </c>
      <c r="N29" s="158">
        <v>4017.8</v>
      </c>
      <c r="O29" s="94">
        <v>3993.8</v>
      </c>
      <c r="P29" s="115">
        <v>3991.8</v>
      </c>
      <c r="Q29" s="158">
        <v>3977.7</v>
      </c>
      <c r="R29" s="109">
        <v>3977.9</v>
      </c>
      <c r="S29" s="115">
        <v>3972.1</v>
      </c>
      <c r="T29" s="86">
        <v>3987.7</v>
      </c>
      <c r="U29" s="94">
        <v>4271.8</v>
      </c>
      <c r="V29" s="115">
        <v>4321</v>
      </c>
      <c r="W29" s="86">
        <v>4350.8999999999996</v>
      </c>
      <c r="X29" s="109">
        <v>4362.3</v>
      </c>
      <c r="Y29" s="115">
        <v>4380.3</v>
      </c>
      <c r="Z29" s="86">
        <v>4397.6000000000004</v>
      </c>
      <c r="AA29" s="109">
        <v>4413.6000000000004</v>
      </c>
      <c r="AB29" s="115">
        <v>4416</v>
      </c>
      <c r="AC29" s="121">
        <v>4445.2</v>
      </c>
      <c r="AD29" s="109">
        <v>4474.8999999999996</v>
      </c>
      <c r="AE29" s="134"/>
    </row>
    <row r="30" spans="1:31" ht="16.5" customHeight="1" x14ac:dyDescent="0.35">
      <c r="A30" s="149">
        <v>23</v>
      </c>
      <c r="B30" s="151" t="s">
        <v>1775</v>
      </c>
      <c r="C30" s="152">
        <v>1211.0999999999999</v>
      </c>
      <c r="D30" s="152">
        <v>1215.9000000000001</v>
      </c>
      <c r="E30" s="153">
        <v>1216.9000000000001</v>
      </c>
      <c r="F30" s="144">
        <v>1229.0999999999999</v>
      </c>
      <c r="G30" s="144">
        <v>1224.3</v>
      </c>
      <c r="H30" s="144">
        <v>1223.5999999999999</v>
      </c>
      <c r="I30" s="143">
        <v>1335.4</v>
      </c>
      <c r="J30" s="144">
        <v>1340.1</v>
      </c>
      <c r="K30" s="143">
        <v>1344.5</v>
      </c>
      <c r="L30" s="109">
        <v>1349.9</v>
      </c>
      <c r="M30" s="115">
        <v>1354.7</v>
      </c>
      <c r="N30" s="158">
        <v>1356.7</v>
      </c>
      <c r="O30" s="94">
        <v>1358.3</v>
      </c>
      <c r="P30" s="115">
        <v>1362.1</v>
      </c>
      <c r="Q30" s="158">
        <v>1363.4</v>
      </c>
      <c r="R30" s="109">
        <v>1378.6</v>
      </c>
      <c r="S30" s="115">
        <v>1370.3</v>
      </c>
      <c r="T30" s="86">
        <v>1373.8</v>
      </c>
      <c r="U30" s="94">
        <v>1421.9</v>
      </c>
      <c r="V30" s="115">
        <v>1425</v>
      </c>
      <c r="W30" s="86">
        <v>1432.7</v>
      </c>
      <c r="X30" s="109">
        <v>1435.9</v>
      </c>
      <c r="Y30" s="115">
        <v>1438.7</v>
      </c>
      <c r="Z30" s="86">
        <v>1444.6</v>
      </c>
      <c r="AA30" s="109">
        <v>1448.9</v>
      </c>
      <c r="AB30" s="115">
        <v>1453</v>
      </c>
      <c r="AC30" s="121">
        <v>1457.7</v>
      </c>
      <c r="AD30" s="109">
        <v>1474.3</v>
      </c>
      <c r="AE30" s="154">
        <f>'Social Benefits'!AB70</f>
        <v>1467.2059999999999</v>
      </c>
    </row>
    <row r="31" spans="1:31" ht="16.399999999999999" customHeight="1" x14ac:dyDescent="0.35">
      <c r="A31" s="149">
        <v>24</v>
      </c>
      <c r="B31" s="151" t="s">
        <v>1776</v>
      </c>
      <c r="C31" s="152">
        <v>914.1</v>
      </c>
      <c r="D31" s="152">
        <v>920.1</v>
      </c>
      <c r="E31" s="153">
        <v>926.7</v>
      </c>
      <c r="F31" s="144">
        <v>933.8</v>
      </c>
      <c r="G31" s="144">
        <v>941.5</v>
      </c>
      <c r="H31" s="144">
        <v>949.7</v>
      </c>
      <c r="I31" s="143">
        <v>936.9</v>
      </c>
      <c r="J31" s="144">
        <v>938.1</v>
      </c>
      <c r="K31" s="143">
        <v>939.3</v>
      </c>
      <c r="L31" s="109">
        <v>940.6</v>
      </c>
      <c r="M31" s="115">
        <v>941.9</v>
      </c>
      <c r="N31" s="158">
        <v>943.3</v>
      </c>
      <c r="O31" s="94">
        <v>944.8</v>
      </c>
      <c r="P31" s="115">
        <v>946.3</v>
      </c>
      <c r="Q31" s="158">
        <v>947.9</v>
      </c>
      <c r="R31" s="109">
        <v>949.6</v>
      </c>
      <c r="S31" s="115">
        <v>951.3</v>
      </c>
      <c r="T31" s="86">
        <v>953.1</v>
      </c>
      <c r="U31" s="94">
        <v>1044.2</v>
      </c>
      <c r="V31" s="115">
        <v>1049</v>
      </c>
      <c r="W31" s="86">
        <v>1054.4000000000001</v>
      </c>
      <c r="X31" s="109">
        <v>1060.4000000000001</v>
      </c>
      <c r="Y31" s="115">
        <v>1066.9000000000001</v>
      </c>
      <c r="Z31" s="86">
        <v>1074.0999999999999</v>
      </c>
      <c r="AA31" s="109">
        <v>1081.8</v>
      </c>
      <c r="AB31" s="115">
        <v>1090</v>
      </c>
      <c r="AC31" s="121">
        <v>1098.9000000000001</v>
      </c>
      <c r="AD31" s="109">
        <v>1108.3</v>
      </c>
      <c r="AE31" s="156">
        <f>Medicare!AB10</f>
        <v>1116.0159349148526</v>
      </c>
    </row>
    <row r="32" spans="1:31" x14ac:dyDescent="0.35">
      <c r="A32" s="149">
        <v>25</v>
      </c>
      <c r="B32" s="151" t="s">
        <v>54</v>
      </c>
      <c r="C32" s="152">
        <v>790.3</v>
      </c>
      <c r="D32" s="152">
        <v>785.3</v>
      </c>
      <c r="E32" s="153">
        <v>782.8</v>
      </c>
      <c r="F32" s="144">
        <v>791.2</v>
      </c>
      <c r="G32" s="144">
        <v>796.9</v>
      </c>
      <c r="H32" s="144">
        <v>800.6</v>
      </c>
      <c r="I32" s="143">
        <v>856.7</v>
      </c>
      <c r="J32" s="144">
        <v>871.5</v>
      </c>
      <c r="K32" s="143">
        <v>886.1</v>
      </c>
      <c r="L32" s="109">
        <v>908.2</v>
      </c>
      <c r="M32" s="115">
        <v>916.2</v>
      </c>
      <c r="N32" s="158">
        <v>909.8</v>
      </c>
      <c r="O32" s="94">
        <v>893.4</v>
      </c>
      <c r="P32" s="115">
        <v>879.5</v>
      </c>
      <c r="Q32" s="158">
        <v>868.8</v>
      </c>
      <c r="R32" s="109">
        <v>863.5</v>
      </c>
      <c r="S32" s="115">
        <v>865.8</v>
      </c>
      <c r="T32" s="86">
        <v>875.6</v>
      </c>
      <c r="U32" s="94">
        <v>889.7</v>
      </c>
      <c r="V32" s="115">
        <v>906.4</v>
      </c>
      <c r="W32" s="86">
        <v>918.4</v>
      </c>
      <c r="X32" s="109">
        <v>922.3</v>
      </c>
      <c r="Y32" s="115">
        <v>925.2</v>
      </c>
      <c r="Z32" s="86">
        <v>926.4</v>
      </c>
      <c r="AA32" s="109">
        <v>921</v>
      </c>
      <c r="AB32" s="115">
        <v>918.5</v>
      </c>
      <c r="AC32" s="121">
        <v>918.8</v>
      </c>
      <c r="AD32" s="109">
        <v>922</v>
      </c>
      <c r="AE32" s="156">
        <f>forecast!D11</f>
        <v>927.68973287497272</v>
      </c>
    </row>
    <row r="33" spans="1:31" x14ac:dyDescent="0.35">
      <c r="A33" s="149">
        <v>26</v>
      </c>
      <c r="B33" s="151" t="s">
        <v>262</v>
      </c>
      <c r="C33" s="152">
        <v>18.7</v>
      </c>
      <c r="D33" s="152">
        <v>18.899999999999999</v>
      </c>
      <c r="E33" s="153">
        <v>18</v>
      </c>
      <c r="F33" s="144">
        <v>18.899999999999999</v>
      </c>
      <c r="G33" s="144">
        <v>20.6</v>
      </c>
      <c r="H33" s="144">
        <v>21.6</v>
      </c>
      <c r="I33" s="143">
        <v>21.1</v>
      </c>
      <c r="J33" s="144">
        <v>22</v>
      </c>
      <c r="K33" s="143">
        <v>22.8</v>
      </c>
      <c r="L33" s="109">
        <v>22.8</v>
      </c>
      <c r="M33" s="115">
        <v>22.3</v>
      </c>
      <c r="N33" s="158">
        <v>21.6</v>
      </c>
      <c r="O33" s="94">
        <v>21.1</v>
      </c>
      <c r="P33" s="115">
        <v>21.1</v>
      </c>
      <c r="Q33" s="158">
        <v>20.8</v>
      </c>
      <c r="R33" s="109">
        <v>22.1</v>
      </c>
      <c r="S33" s="115">
        <v>23.1</v>
      </c>
      <c r="T33" s="86">
        <v>22.9</v>
      </c>
      <c r="U33" s="94">
        <v>34.799999999999997</v>
      </c>
      <c r="V33" s="115">
        <v>35</v>
      </c>
      <c r="W33" s="86">
        <v>35</v>
      </c>
      <c r="X33" s="109">
        <v>34.5</v>
      </c>
      <c r="Y33" s="115">
        <v>34.799999999999997</v>
      </c>
      <c r="Z33" s="86">
        <v>35.6</v>
      </c>
      <c r="AA33" s="109">
        <v>35.9</v>
      </c>
      <c r="AB33" s="115">
        <v>35.700000000000003</v>
      </c>
      <c r="AC33" s="121">
        <v>35.4</v>
      </c>
      <c r="AD33" s="109">
        <v>36.1</v>
      </c>
      <c r="AE33" s="156">
        <f>forecast!D9+forecast!D8</f>
        <v>35.700000000000003</v>
      </c>
    </row>
    <row r="34" spans="1:31" ht="16.399999999999999" customHeight="1" x14ac:dyDescent="0.35">
      <c r="A34" s="131">
        <v>27</v>
      </c>
      <c r="B34" s="172" t="s">
        <v>1777</v>
      </c>
      <c r="C34" s="143">
        <v>161.1</v>
      </c>
      <c r="D34" s="143">
        <v>161.6</v>
      </c>
      <c r="E34" s="144">
        <v>162.5</v>
      </c>
      <c r="F34" s="144">
        <v>163.19999999999999</v>
      </c>
      <c r="G34" s="144">
        <v>164</v>
      </c>
      <c r="H34" s="144">
        <v>164.8</v>
      </c>
      <c r="I34" s="143">
        <v>173.1</v>
      </c>
      <c r="J34" s="144">
        <v>172.9</v>
      </c>
      <c r="K34" s="143">
        <v>172.7</v>
      </c>
      <c r="L34" s="109">
        <v>172.7</v>
      </c>
      <c r="M34" s="115">
        <v>172.4</v>
      </c>
      <c r="N34" s="158">
        <v>172.5</v>
      </c>
      <c r="O34" s="94">
        <v>172.7</v>
      </c>
      <c r="P34" s="115">
        <v>172.9</v>
      </c>
      <c r="Q34" s="158">
        <v>173</v>
      </c>
      <c r="R34" s="109">
        <v>173.3</v>
      </c>
      <c r="S34" s="115">
        <v>173.6</v>
      </c>
      <c r="T34" s="86">
        <v>173.9</v>
      </c>
      <c r="U34" s="94">
        <v>210.1</v>
      </c>
      <c r="V34" s="115">
        <v>211.7</v>
      </c>
      <c r="W34" s="86">
        <v>213.4</v>
      </c>
      <c r="X34" s="109">
        <v>215.1</v>
      </c>
      <c r="Y34" s="115">
        <v>216.8</v>
      </c>
      <c r="Z34" s="86">
        <v>218.4</v>
      </c>
      <c r="AA34" s="109">
        <v>219.9</v>
      </c>
      <c r="AB34" s="115">
        <v>221.6</v>
      </c>
      <c r="AC34" s="121">
        <v>223.1</v>
      </c>
      <c r="AD34" s="109">
        <v>224.7</v>
      </c>
    </row>
    <row r="35" spans="1:31" x14ac:dyDescent="0.35">
      <c r="A35" s="131">
        <v>28</v>
      </c>
      <c r="B35" s="172" t="s">
        <v>531</v>
      </c>
      <c r="C35" s="143">
        <v>725.8</v>
      </c>
      <c r="D35" s="143">
        <v>722.7</v>
      </c>
      <c r="E35" s="144">
        <v>716.6</v>
      </c>
      <c r="F35" s="144">
        <v>776</v>
      </c>
      <c r="G35" s="144">
        <v>785.4</v>
      </c>
      <c r="H35" s="144">
        <v>780.9</v>
      </c>
      <c r="I35" s="143">
        <v>659.8</v>
      </c>
      <c r="J35" s="144">
        <v>663.3</v>
      </c>
      <c r="K35" s="143">
        <v>648.20000000000005</v>
      </c>
      <c r="L35" s="109">
        <v>615.9</v>
      </c>
      <c r="M35" s="115">
        <v>616.4</v>
      </c>
      <c r="N35" s="158">
        <v>613.79999999999995</v>
      </c>
      <c r="O35" s="94">
        <v>603.5</v>
      </c>
      <c r="P35" s="115">
        <v>610</v>
      </c>
      <c r="Q35" s="158">
        <v>603.79999999999995</v>
      </c>
      <c r="R35" s="109">
        <v>590.79999999999995</v>
      </c>
      <c r="S35" s="115">
        <v>588.1</v>
      </c>
      <c r="T35" s="86">
        <v>588.29999999999995</v>
      </c>
      <c r="U35" s="94">
        <v>671.2</v>
      </c>
      <c r="V35" s="115">
        <v>693.9</v>
      </c>
      <c r="W35" s="86">
        <v>697.1</v>
      </c>
      <c r="X35" s="109">
        <v>694.1</v>
      </c>
      <c r="Y35" s="115">
        <v>697.8</v>
      </c>
      <c r="Z35" s="86">
        <v>698.6</v>
      </c>
      <c r="AA35" s="109">
        <v>706.1</v>
      </c>
      <c r="AB35" s="115">
        <v>697.2</v>
      </c>
      <c r="AC35" s="121">
        <v>711.3</v>
      </c>
      <c r="AD35" s="109">
        <v>709.4</v>
      </c>
    </row>
    <row r="36" spans="1:31" x14ac:dyDescent="0.35">
      <c r="A36" s="131">
        <v>29</v>
      </c>
      <c r="B36" s="169" t="s">
        <v>1778</v>
      </c>
      <c r="C36" s="143">
        <v>70.7</v>
      </c>
      <c r="D36" s="143">
        <v>69.400000000000006</v>
      </c>
      <c r="E36" s="144">
        <v>69.400000000000006</v>
      </c>
      <c r="F36" s="144">
        <v>69.400000000000006</v>
      </c>
      <c r="G36" s="144">
        <v>69.5</v>
      </c>
      <c r="H36" s="144">
        <v>69.599999999999994</v>
      </c>
      <c r="I36" s="143">
        <v>100.2</v>
      </c>
      <c r="J36" s="144">
        <v>100.9</v>
      </c>
      <c r="K36" s="143">
        <v>101.6</v>
      </c>
      <c r="L36" s="109">
        <v>102.2</v>
      </c>
      <c r="M36" s="115">
        <v>102.8</v>
      </c>
      <c r="N36" s="158">
        <v>103.5</v>
      </c>
      <c r="O36" s="94">
        <v>104.1</v>
      </c>
      <c r="P36" s="115">
        <v>104.7</v>
      </c>
      <c r="Q36" s="158">
        <v>108.9</v>
      </c>
      <c r="R36" s="109">
        <v>105.8</v>
      </c>
      <c r="S36" s="115">
        <v>109.9</v>
      </c>
      <c r="T36" s="86">
        <v>106.9</v>
      </c>
      <c r="U36" s="94">
        <v>139.5</v>
      </c>
      <c r="V36" s="115">
        <v>127.1</v>
      </c>
      <c r="W36" s="86">
        <v>128</v>
      </c>
      <c r="X36" s="109">
        <v>136.30000000000001</v>
      </c>
      <c r="Y36" s="115">
        <v>129.80000000000001</v>
      </c>
      <c r="Z36" s="86">
        <v>130.80000000000001</v>
      </c>
      <c r="AA36" s="109">
        <v>131.69999999999999</v>
      </c>
      <c r="AB36" s="115">
        <v>132.6</v>
      </c>
      <c r="AC36" s="121">
        <v>133.6</v>
      </c>
      <c r="AD36" s="109">
        <v>134.5</v>
      </c>
    </row>
    <row r="37" spans="1:31" ht="42" customHeight="1" x14ac:dyDescent="0.35">
      <c r="A37" s="149">
        <v>30</v>
      </c>
      <c r="B37" s="161" t="s">
        <v>1779</v>
      </c>
      <c r="C37" s="162">
        <v>1683.6</v>
      </c>
      <c r="D37" s="162">
        <v>1695.6</v>
      </c>
      <c r="E37" s="163">
        <v>1707.7</v>
      </c>
      <c r="F37" s="142">
        <v>1704.3</v>
      </c>
      <c r="G37" s="142">
        <v>1703.1</v>
      </c>
      <c r="H37" s="142">
        <v>1703.8</v>
      </c>
      <c r="I37" s="141">
        <v>1765.5</v>
      </c>
      <c r="J37" s="142">
        <v>1774.3</v>
      </c>
      <c r="K37" s="141">
        <v>1782</v>
      </c>
      <c r="L37" s="108">
        <v>1787.4</v>
      </c>
      <c r="M37" s="114">
        <v>1793.6</v>
      </c>
      <c r="N37" s="157">
        <v>1800.9</v>
      </c>
      <c r="O37" s="93">
        <v>1809.2</v>
      </c>
      <c r="P37" s="114">
        <v>1817.6</v>
      </c>
      <c r="Q37" s="157">
        <v>1824.6</v>
      </c>
      <c r="R37" s="108">
        <v>1821.7</v>
      </c>
      <c r="S37" s="114">
        <v>1824.1</v>
      </c>
      <c r="T37" s="84">
        <v>1830.7</v>
      </c>
      <c r="U37" s="93">
        <v>1872.5</v>
      </c>
      <c r="V37" s="114">
        <v>1883.5</v>
      </c>
      <c r="W37" s="84">
        <v>1892.5</v>
      </c>
      <c r="X37" s="108">
        <v>1887</v>
      </c>
      <c r="Y37" s="114">
        <v>1891.2</v>
      </c>
      <c r="Z37" s="84">
        <v>1891.4</v>
      </c>
      <c r="AA37" s="108">
        <v>1897.2</v>
      </c>
      <c r="AB37" s="114">
        <v>1905.6</v>
      </c>
      <c r="AC37" s="120">
        <v>1912.1</v>
      </c>
      <c r="AD37" s="108">
        <v>1920.5</v>
      </c>
      <c r="AE37" s="154">
        <f>Taxes!AB12+Taxes!AB23</f>
        <v>1928.0396182106313</v>
      </c>
    </row>
    <row r="38" spans="1:31" x14ac:dyDescent="0.35">
      <c r="A38" s="149">
        <v>31</v>
      </c>
      <c r="B38" s="164" t="s">
        <v>242</v>
      </c>
      <c r="C38" s="162">
        <v>3224.2</v>
      </c>
      <c r="D38" s="162">
        <v>3236.7</v>
      </c>
      <c r="E38" s="163">
        <v>3248.6</v>
      </c>
      <c r="F38" s="142">
        <v>3232.7</v>
      </c>
      <c r="G38" s="142">
        <v>3213.6</v>
      </c>
      <c r="H38" s="142">
        <v>3202.1</v>
      </c>
      <c r="I38" s="141">
        <v>2767.2</v>
      </c>
      <c r="J38" s="142">
        <v>2763.4</v>
      </c>
      <c r="K38" s="141">
        <v>2760.4</v>
      </c>
      <c r="L38" s="108">
        <v>2707.4</v>
      </c>
      <c r="M38" s="114">
        <v>2691.2</v>
      </c>
      <c r="N38" s="157">
        <v>2712.9</v>
      </c>
      <c r="O38" s="93">
        <v>2744.1</v>
      </c>
      <c r="P38" s="114">
        <v>2768.2</v>
      </c>
      <c r="Q38" s="157">
        <v>2783.7</v>
      </c>
      <c r="R38" s="108">
        <v>2785.6</v>
      </c>
      <c r="S38" s="114">
        <v>2791.7</v>
      </c>
      <c r="T38" s="84">
        <v>2800.1</v>
      </c>
      <c r="U38" s="93">
        <v>2947.9</v>
      </c>
      <c r="V38" s="114">
        <v>2966.4</v>
      </c>
      <c r="W38" s="84">
        <v>2982.6</v>
      </c>
      <c r="X38" s="108">
        <v>2989.7</v>
      </c>
      <c r="Y38" s="114">
        <v>3007.5</v>
      </c>
      <c r="Z38" s="84">
        <v>3019</v>
      </c>
      <c r="AA38" s="108">
        <v>3042.6</v>
      </c>
      <c r="AB38" s="114">
        <v>3062</v>
      </c>
      <c r="AC38" s="120">
        <v>3070.7</v>
      </c>
      <c r="AD38" s="108">
        <v>3073.9</v>
      </c>
      <c r="AE38" s="154">
        <f>Taxes!AB10+Taxes!AB21</f>
        <v>3097.2500832855058</v>
      </c>
    </row>
    <row r="39" spans="1:31" x14ac:dyDescent="0.35">
      <c r="A39" s="131">
        <v>32</v>
      </c>
      <c r="B39" s="47" t="s">
        <v>1780</v>
      </c>
      <c r="C39" s="141">
        <v>18628.099999999999</v>
      </c>
      <c r="D39" s="141">
        <v>18739.099999999999</v>
      </c>
      <c r="E39" s="142">
        <v>18831.7</v>
      </c>
      <c r="F39" s="142">
        <v>18969.2</v>
      </c>
      <c r="G39" s="142">
        <v>19026.5</v>
      </c>
      <c r="H39" s="142">
        <v>19079.7</v>
      </c>
      <c r="I39" s="141">
        <v>19758.099999999999</v>
      </c>
      <c r="J39" s="142">
        <v>19885</v>
      </c>
      <c r="K39" s="141">
        <v>19997.5</v>
      </c>
      <c r="L39" s="108">
        <v>20098.7</v>
      </c>
      <c r="M39" s="114">
        <v>20185.400000000001</v>
      </c>
      <c r="N39" s="157">
        <v>20208.400000000001</v>
      </c>
      <c r="O39" s="93">
        <v>20242.2</v>
      </c>
      <c r="P39" s="114">
        <v>20326.400000000001</v>
      </c>
      <c r="Q39" s="157">
        <v>20392.5</v>
      </c>
      <c r="R39" s="108">
        <v>20403.8</v>
      </c>
      <c r="S39" s="114">
        <v>20449.8</v>
      </c>
      <c r="T39" s="84">
        <v>20511.5</v>
      </c>
      <c r="U39" s="93">
        <v>21278.799999999999</v>
      </c>
      <c r="V39" s="114">
        <v>21364.6</v>
      </c>
      <c r="W39" s="84">
        <v>21492.3</v>
      </c>
      <c r="X39" s="108">
        <v>21521.4</v>
      </c>
      <c r="Y39" s="114">
        <v>21576.7</v>
      </c>
      <c r="Z39" s="84">
        <v>21607.7</v>
      </c>
      <c r="AA39" s="108">
        <v>21652.400000000001</v>
      </c>
      <c r="AB39" s="114">
        <v>21678.2</v>
      </c>
      <c r="AC39" s="120">
        <v>21743.9</v>
      </c>
      <c r="AD39" s="108">
        <v>21888</v>
      </c>
    </row>
    <row r="40" spans="1:31" x14ac:dyDescent="0.35">
      <c r="A40" s="131">
        <v>33</v>
      </c>
      <c r="B40" s="47" t="s">
        <v>243</v>
      </c>
      <c r="C40" s="141">
        <v>17983.400000000001</v>
      </c>
      <c r="D40" s="141">
        <v>18132.7</v>
      </c>
      <c r="E40" s="142">
        <v>18257.400000000001</v>
      </c>
      <c r="F40" s="142">
        <v>18391.8</v>
      </c>
      <c r="G40" s="142">
        <v>18362.3</v>
      </c>
      <c r="H40" s="142">
        <v>18377.400000000001</v>
      </c>
      <c r="I40" s="141">
        <v>18887</v>
      </c>
      <c r="J40" s="142">
        <v>18959</v>
      </c>
      <c r="K40" s="141">
        <v>18950</v>
      </c>
      <c r="L40" s="108">
        <v>19056.2</v>
      </c>
      <c r="M40" s="114">
        <v>19125.400000000001</v>
      </c>
      <c r="N40" s="157">
        <v>19228.3</v>
      </c>
      <c r="O40" s="93">
        <v>19351.5</v>
      </c>
      <c r="P40" s="114">
        <v>19417</v>
      </c>
      <c r="Q40" s="157">
        <v>19600.900000000001</v>
      </c>
      <c r="R40" s="108">
        <v>19622.8</v>
      </c>
      <c r="S40" s="114">
        <v>19683.8</v>
      </c>
      <c r="T40" s="84">
        <v>19779.3</v>
      </c>
      <c r="U40" s="93">
        <v>20105.3</v>
      </c>
      <c r="V40" s="114">
        <v>20218.400000000001</v>
      </c>
      <c r="W40" s="84">
        <v>20367.8</v>
      </c>
      <c r="X40" s="108">
        <v>20423.3</v>
      </c>
      <c r="Y40" s="114">
        <v>20522.099999999999</v>
      </c>
      <c r="Z40" s="84">
        <v>20577.099999999999</v>
      </c>
      <c r="AA40" s="108">
        <v>20688.8</v>
      </c>
      <c r="AB40" s="114">
        <v>20727</v>
      </c>
      <c r="AC40" s="120">
        <v>20855.5</v>
      </c>
      <c r="AD40" s="108">
        <v>20925.3</v>
      </c>
    </row>
    <row r="41" spans="1:31" x14ac:dyDescent="0.35">
      <c r="A41" s="131">
        <v>34</v>
      </c>
      <c r="B41" s="107" t="s">
        <v>1714</v>
      </c>
      <c r="C41" s="143">
        <v>17420.3</v>
      </c>
      <c r="D41" s="143">
        <v>17550.900000000001</v>
      </c>
      <c r="E41" s="144">
        <v>17656.8</v>
      </c>
      <c r="F41" s="144">
        <v>17778.2</v>
      </c>
      <c r="G41" s="144">
        <v>17735</v>
      </c>
      <c r="H41" s="144">
        <v>17736.5</v>
      </c>
      <c r="I41" s="143">
        <v>18229.599999999999</v>
      </c>
      <c r="J41" s="144">
        <v>18296.5</v>
      </c>
      <c r="K41" s="143">
        <v>18282.599999999999</v>
      </c>
      <c r="L41" s="109">
        <v>18363.8</v>
      </c>
      <c r="M41" s="115">
        <v>18407.8</v>
      </c>
      <c r="N41" s="158">
        <v>18485.400000000001</v>
      </c>
      <c r="O41" s="94">
        <v>18595.400000000001</v>
      </c>
      <c r="P41" s="115">
        <v>18651.599999999999</v>
      </c>
      <c r="Q41" s="158">
        <v>18791.5</v>
      </c>
      <c r="R41" s="109">
        <v>18826.8</v>
      </c>
      <c r="S41" s="115">
        <v>18903</v>
      </c>
      <c r="T41" s="86">
        <v>19013.7</v>
      </c>
      <c r="U41" s="94">
        <v>19308.5</v>
      </c>
      <c r="V41" s="115">
        <v>19412.7</v>
      </c>
      <c r="W41" s="86">
        <v>19553.2</v>
      </c>
      <c r="X41" s="109">
        <v>19603.3</v>
      </c>
      <c r="Y41" s="115">
        <v>19697.3</v>
      </c>
      <c r="Z41" s="86">
        <v>19747.5</v>
      </c>
      <c r="AA41" s="109">
        <v>19859.3</v>
      </c>
      <c r="AB41" s="115">
        <v>19898</v>
      </c>
      <c r="AC41" s="121">
        <v>20027.2</v>
      </c>
      <c r="AD41" s="109">
        <v>20099.5</v>
      </c>
    </row>
    <row r="42" spans="1:31" ht="16.399999999999999" customHeight="1" x14ac:dyDescent="0.35">
      <c r="A42" s="131">
        <v>35</v>
      </c>
      <c r="B42" s="45" t="s">
        <v>1737</v>
      </c>
      <c r="C42" s="143">
        <v>5988.2</v>
      </c>
      <c r="D42" s="143">
        <v>5981.9</v>
      </c>
      <c r="E42" s="144">
        <v>5995.6</v>
      </c>
      <c r="F42" s="144">
        <v>6064.4</v>
      </c>
      <c r="G42" s="144">
        <v>5974.1</v>
      </c>
      <c r="H42" s="144">
        <v>5901.5</v>
      </c>
      <c r="I42" s="143">
        <v>6148.2</v>
      </c>
      <c r="J42" s="144">
        <v>6164.2</v>
      </c>
      <c r="K42" s="143">
        <v>6089.2</v>
      </c>
      <c r="L42" s="109">
        <v>6139.1</v>
      </c>
      <c r="M42" s="115">
        <v>6144.7</v>
      </c>
      <c r="N42" s="158">
        <v>6150.1</v>
      </c>
      <c r="O42" s="94">
        <v>6188.2</v>
      </c>
      <c r="P42" s="115">
        <v>6228.7</v>
      </c>
      <c r="Q42" s="158">
        <v>6278.4</v>
      </c>
      <c r="R42" s="109">
        <v>6250.7</v>
      </c>
      <c r="S42" s="115">
        <v>6242.4</v>
      </c>
      <c r="T42" s="86">
        <v>6273.8</v>
      </c>
      <c r="U42" s="94">
        <v>6115.8</v>
      </c>
      <c r="V42" s="115">
        <v>6134.2</v>
      </c>
      <c r="W42" s="86">
        <v>6196.5</v>
      </c>
      <c r="X42" s="109">
        <v>6186</v>
      </c>
      <c r="Y42" s="115">
        <v>6218.9</v>
      </c>
      <c r="Z42" s="86">
        <v>6209</v>
      </c>
      <c r="AA42" s="109">
        <v>6267.5</v>
      </c>
      <c r="AB42" s="115">
        <v>6231.5</v>
      </c>
      <c r="AC42" s="121">
        <v>6293.7</v>
      </c>
      <c r="AD42" s="109">
        <v>6291.4</v>
      </c>
    </row>
    <row r="43" spans="1:31" ht="16.399999999999999" customHeight="1" x14ac:dyDescent="0.35">
      <c r="A43" s="131">
        <v>36</v>
      </c>
      <c r="B43" s="172" t="s">
        <v>1781</v>
      </c>
      <c r="C43" s="143">
        <v>2189.5</v>
      </c>
      <c r="D43" s="143">
        <v>2197.8000000000002</v>
      </c>
      <c r="E43" s="144">
        <v>2200.1999999999998</v>
      </c>
      <c r="F43" s="144">
        <v>2238.9</v>
      </c>
      <c r="G43" s="144">
        <v>2167.3000000000002</v>
      </c>
      <c r="H43" s="144">
        <v>2134.9</v>
      </c>
      <c r="I43" s="143">
        <v>2213.6999999999998</v>
      </c>
      <c r="J43" s="144">
        <v>2203.6</v>
      </c>
      <c r="K43" s="143">
        <v>2167.3000000000002</v>
      </c>
      <c r="L43" s="109">
        <v>2183.6999999999998</v>
      </c>
      <c r="M43" s="115">
        <v>2202.8000000000002</v>
      </c>
      <c r="N43" s="158">
        <v>2194.1999999999998</v>
      </c>
      <c r="O43" s="94">
        <v>2206.9</v>
      </c>
      <c r="P43" s="115">
        <v>2193.1</v>
      </c>
      <c r="Q43" s="158">
        <v>2213.4</v>
      </c>
      <c r="R43" s="109">
        <v>2191.1</v>
      </c>
      <c r="S43" s="115">
        <v>2195.6999999999998</v>
      </c>
      <c r="T43" s="86">
        <v>2219.8000000000002</v>
      </c>
      <c r="U43" s="94">
        <v>2113</v>
      </c>
      <c r="V43" s="115">
        <v>2128.6</v>
      </c>
      <c r="W43" s="86">
        <v>2140.3000000000002</v>
      </c>
      <c r="X43" s="109">
        <v>2129.3000000000002</v>
      </c>
      <c r="Y43" s="115">
        <v>2151.6999999999998</v>
      </c>
      <c r="Z43" s="86">
        <v>2144.5</v>
      </c>
      <c r="AA43" s="109">
        <v>2171.1</v>
      </c>
      <c r="AB43" s="115">
        <v>2151</v>
      </c>
      <c r="AC43" s="121">
        <v>2182.5</v>
      </c>
      <c r="AD43" s="109">
        <v>2190</v>
      </c>
    </row>
    <row r="44" spans="1:31" ht="16.399999999999999" customHeight="1" x14ac:dyDescent="0.35">
      <c r="A44" s="131">
        <v>37</v>
      </c>
      <c r="B44" s="172" t="s">
        <v>1782</v>
      </c>
      <c r="C44" s="143">
        <v>3798.7</v>
      </c>
      <c r="D44" s="143">
        <v>3784.1</v>
      </c>
      <c r="E44" s="144">
        <v>3795.4</v>
      </c>
      <c r="F44" s="144">
        <v>3825.6</v>
      </c>
      <c r="G44" s="144">
        <v>3806.8</v>
      </c>
      <c r="H44" s="144">
        <v>3766.5</v>
      </c>
      <c r="I44" s="143">
        <v>3934.5</v>
      </c>
      <c r="J44" s="144">
        <v>3960.6</v>
      </c>
      <c r="K44" s="143">
        <v>3921.9</v>
      </c>
      <c r="L44" s="109">
        <v>3955.4</v>
      </c>
      <c r="M44" s="115">
        <v>3941.9</v>
      </c>
      <c r="N44" s="158">
        <v>3955.9</v>
      </c>
      <c r="O44" s="94">
        <v>3981.3</v>
      </c>
      <c r="P44" s="115">
        <v>4035.5</v>
      </c>
      <c r="Q44" s="158">
        <v>4065</v>
      </c>
      <c r="R44" s="109">
        <v>4059.7</v>
      </c>
      <c r="S44" s="115">
        <v>4046.7</v>
      </c>
      <c r="T44" s="86">
        <v>4054</v>
      </c>
      <c r="U44" s="94">
        <v>4002.8</v>
      </c>
      <c r="V44" s="115">
        <v>4005.6</v>
      </c>
      <c r="W44" s="86">
        <v>4056.2</v>
      </c>
      <c r="X44" s="109">
        <v>4056.7</v>
      </c>
      <c r="Y44" s="115">
        <v>4067.2</v>
      </c>
      <c r="Z44" s="86">
        <v>4064.5</v>
      </c>
      <c r="AA44" s="109">
        <v>4096.3999999999996</v>
      </c>
      <c r="AB44" s="115">
        <v>4080.6</v>
      </c>
      <c r="AC44" s="121">
        <v>4111.3</v>
      </c>
      <c r="AD44" s="109">
        <v>4101.3999999999996</v>
      </c>
      <c r="AE44" s="134"/>
    </row>
    <row r="45" spans="1:31" ht="16.399999999999999" customHeight="1" x14ac:dyDescent="0.35">
      <c r="A45" s="131">
        <v>38</v>
      </c>
      <c r="B45" s="45" t="s">
        <v>1738</v>
      </c>
      <c r="C45" s="143">
        <v>11432.1</v>
      </c>
      <c r="D45" s="143">
        <v>11568.9</v>
      </c>
      <c r="E45" s="144">
        <v>11661.2</v>
      </c>
      <c r="F45" s="144">
        <v>11713.7</v>
      </c>
      <c r="G45" s="144">
        <v>11760.9</v>
      </c>
      <c r="H45" s="144">
        <v>11835</v>
      </c>
      <c r="I45" s="143">
        <v>12081.4</v>
      </c>
      <c r="J45" s="144">
        <v>12132.4</v>
      </c>
      <c r="K45" s="143">
        <v>12193.4</v>
      </c>
      <c r="L45" s="109">
        <v>12224.7</v>
      </c>
      <c r="M45" s="115">
        <v>12263</v>
      </c>
      <c r="N45" s="158">
        <v>12335.3</v>
      </c>
      <c r="O45" s="94">
        <v>12407.2</v>
      </c>
      <c r="P45" s="115">
        <v>12422.9</v>
      </c>
      <c r="Q45" s="158">
        <v>12513</v>
      </c>
      <c r="R45" s="109">
        <v>12576.1</v>
      </c>
      <c r="S45" s="115">
        <v>12660.5</v>
      </c>
      <c r="T45" s="86">
        <v>12739.9</v>
      </c>
      <c r="U45" s="94">
        <v>13192.6</v>
      </c>
      <c r="V45" s="115">
        <v>13278.5</v>
      </c>
      <c r="W45" s="86">
        <v>13356.7</v>
      </c>
      <c r="X45" s="109">
        <v>13417.3</v>
      </c>
      <c r="Y45" s="115">
        <v>13478.5</v>
      </c>
      <c r="Z45" s="86">
        <v>13538.5</v>
      </c>
      <c r="AA45" s="109">
        <v>13591.7</v>
      </c>
      <c r="AB45" s="115">
        <v>13666.5</v>
      </c>
      <c r="AC45" s="121">
        <v>13733.5</v>
      </c>
      <c r="AD45" s="109">
        <v>13808.1</v>
      </c>
      <c r="AE45" s="134"/>
    </row>
    <row r="46" spans="1:31" ht="16.399999999999999" customHeight="1" x14ac:dyDescent="0.35">
      <c r="A46" s="131">
        <v>39</v>
      </c>
      <c r="B46" s="107" t="s">
        <v>1783</v>
      </c>
      <c r="C46" s="143">
        <v>338.7</v>
      </c>
      <c r="D46" s="143">
        <v>357.1</v>
      </c>
      <c r="E46" s="144">
        <v>375.6</v>
      </c>
      <c r="F46" s="144">
        <v>389.1</v>
      </c>
      <c r="G46" s="144">
        <v>402.6</v>
      </c>
      <c r="H46" s="144">
        <v>416.1</v>
      </c>
      <c r="I46" s="143">
        <v>415</v>
      </c>
      <c r="J46" s="144">
        <v>419.8</v>
      </c>
      <c r="K46" s="143">
        <v>424.7</v>
      </c>
      <c r="L46" s="109">
        <v>449.7</v>
      </c>
      <c r="M46" s="115">
        <v>474.7</v>
      </c>
      <c r="N46" s="158">
        <v>499.8</v>
      </c>
      <c r="O46" s="94">
        <v>510</v>
      </c>
      <c r="P46" s="115">
        <v>519</v>
      </c>
      <c r="Q46" s="158">
        <v>562.79999999999995</v>
      </c>
      <c r="R46" s="109">
        <v>547.29999999999995</v>
      </c>
      <c r="S46" s="115">
        <v>531.70000000000005</v>
      </c>
      <c r="T46" s="86">
        <v>516.1</v>
      </c>
      <c r="U46" s="94">
        <v>525.79999999999995</v>
      </c>
      <c r="V46" s="115">
        <v>534.4</v>
      </c>
      <c r="W46" s="86">
        <v>542.9</v>
      </c>
      <c r="X46" s="109">
        <v>547.29999999999995</v>
      </c>
      <c r="Y46" s="115">
        <v>551.70000000000005</v>
      </c>
      <c r="Z46" s="86">
        <v>556.1</v>
      </c>
      <c r="AA46" s="109">
        <v>555.1</v>
      </c>
      <c r="AB46" s="115">
        <v>554</v>
      </c>
      <c r="AC46" s="121">
        <v>552.9</v>
      </c>
      <c r="AD46" s="109">
        <v>549.9</v>
      </c>
      <c r="AE46" s="134"/>
    </row>
    <row r="47" spans="1:31" x14ac:dyDescent="0.35">
      <c r="A47" s="131">
        <v>40</v>
      </c>
      <c r="B47" s="107" t="s">
        <v>1784</v>
      </c>
      <c r="C47" s="143">
        <v>224.4</v>
      </c>
      <c r="D47" s="143">
        <v>224.7</v>
      </c>
      <c r="E47" s="144">
        <v>225</v>
      </c>
      <c r="F47" s="144">
        <v>224.5</v>
      </c>
      <c r="G47" s="144">
        <v>224.7</v>
      </c>
      <c r="H47" s="144">
        <v>224.8</v>
      </c>
      <c r="I47" s="143">
        <v>242.4</v>
      </c>
      <c r="J47" s="144">
        <v>242.6</v>
      </c>
      <c r="K47" s="143">
        <v>242.8</v>
      </c>
      <c r="L47" s="109">
        <v>242.6</v>
      </c>
      <c r="M47" s="115">
        <v>242.9</v>
      </c>
      <c r="N47" s="158">
        <v>243.1</v>
      </c>
      <c r="O47" s="94">
        <v>246.1</v>
      </c>
      <c r="P47" s="115">
        <v>246.4</v>
      </c>
      <c r="Q47" s="158">
        <v>246.7</v>
      </c>
      <c r="R47" s="109">
        <v>248.8</v>
      </c>
      <c r="S47" s="115">
        <v>249.1</v>
      </c>
      <c r="T47" s="86">
        <v>249.5</v>
      </c>
      <c r="U47" s="94">
        <v>271</v>
      </c>
      <c r="V47" s="115">
        <v>271.39999999999998</v>
      </c>
      <c r="W47" s="86">
        <v>271.7</v>
      </c>
      <c r="X47" s="109">
        <v>272.7</v>
      </c>
      <c r="Y47" s="115">
        <v>273.10000000000002</v>
      </c>
      <c r="Z47" s="86">
        <v>273.5</v>
      </c>
      <c r="AA47" s="109">
        <v>274.5</v>
      </c>
      <c r="AB47" s="115">
        <v>274.89999999999998</v>
      </c>
      <c r="AC47" s="121">
        <v>275.39999999999998</v>
      </c>
      <c r="AD47" s="109">
        <v>275.89999999999998</v>
      </c>
      <c r="AE47" s="134"/>
    </row>
    <row r="48" spans="1:31" x14ac:dyDescent="0.35">
      <c r="A48" s="131">
        <v>41</v>
      </c>
      <c r="B48" s="45" t="s">
        <v>1785</v>
      </c>
      <c r="C48" s="143">
        <v>116.1</v>
      </c>
      <c r="D48" s="143">
        <v>116.4</v>
      </c>
      <c r="E48" s="144">
        <v>116.7</v>
      </c>
      <c r="F48" s="144">
        <v>116.9</v>
      </c>
      <c r="G48" s="144">
        <v>117.1</v>
      </c>
      <c r="H48" s="144">
        <v>117.2</v>
      </c>
      <c r="I48" s="143">
        <v>129.5</v>
      </c>
      <c r="J48" s="144">
        <v>129.69999999999999</v>
      </c>
      <c r="K48" s="143">
        <v>129.9</v>
      </c>
      <c r="L48" s="109">
        <v>130.1</v>
      </c>
      <c r="M48" s="115">
        <v>130.4</v>
      </c>
      <c r="N48" s="158">
        <v>130.6</v>
      </c>
      <c r="O48" s="94">
        <v>130.9</v>
      </c>
      <c r="P48" s="115">
        <v>131.19999999999999</v>
      </c>
      <c r="Q48" s="158">
        <v>131.5</v>
      </c>
      <c r="R48" s="109">
        <v>131.80000000000001</v>
      </c>
      <c r="S48" s="115">
        <v>132.1</v>
      </c>
      <c r="T48" s="86">
        <v>132.5</v>
      </c>
      <c r="U48" s="94">
        <v>137.5</v>
      </c>
      <c r="V48" s="115">
        <v>137.9</v>
      </c>
      <c r="W48" s="86">
        <v>138.19999999999999</v>
      </c>
      <c r="X48" s="109">
        <v>138.6</v>
      </c>
      <c r="Y48" s="115">
        <v>139</v>
      </c>
      <c r="Z48" s="86">
        <v>139.4</v>
      </c>
      <c r="AA48" s="109">
        <v>139.80000000000001</v>
      </c>
      <c r="AB48" s="115">
        <v>140.19999999999999</v>
      </c>
      <c r="AC48" s="121">
        <v>140.69999999999999</v>
      </c>
      <c r="AD48" s="109">
        <v>141.19999999999999</v>
      </c>
      <c r="AE48" s="134"/>
    </row>
    <row r="49" spans="1:31" x14ac:dyDescent="0.35">
      <c r="A49" s="131">
        <v>42</v>
      </c>
      <c r="B49" s="45" t="s">
        <v>1786</v>
      </c>
      <c r="C49" s="143">
        <v>108.3</v>
      </c>
      <c r="D49" s="143">
        <v>108.3</v>
      </c>
      <c r="E49" s="144">
        <v>108.3</v>
      </c>
      <c r="F49" s="144">
        <v>107.6</v>
      </c>
      <c r="G49" s="144">
        <v>107.6</v>
      </c>
      <c r="H49" s="144">
        <v>107.6</v>
      </c>
      <c r="I49" s="143">
        <v>112.9</v>
      </c>
      <c r="J49" s="144">
        <v>112.9</v>
      </c>
      <c r="K49" s="143">
        <v>112.9</v>
      </c>
      <c r="L49" s="109">
        <v>112.5</v>
      </c>
      <c r="M49" s="115">
        <v>112.5</v>
      </c>
      <c r="N49" s="158">
        <v>112.5</v>
      </c>
      <c r="O49" s="94">
        <v>115.2</v>
      </c>
      <c r="P49" s="115">
        <v>115.2</v>
      </c>
      <c r="Q49" s="158">
        <v>115.2</v>
      </c>
      <c r="R49" s="109">
        <v>117</v>
      </c>
      <c r="S49" s="115">
        <v>117</v>
      </c>
      <c r="T49" s="86">
        <v>117</v>
      </c>
      <c r="U49" s="94">
        <v>133.5</v>
      </c>
      <c r="V49" s="115">
        <v>133.5</v>
      </c>
      <c r="W49" s="86">
        <v>133.5</v>
      </c>
      <c r="X49" s="109">
        <v>134.1</v>
      </c>
      <c r="Y49" s="115">
        <v>134.1</v>
      </c>
      <c r="Z49" s="86">
        <v>134.1</v>
      </c>
      <c r="AA49" s="109">
        <v>134.69999999999999</v>
      </c>
      <c r="AB49" s="115">
        <v>134.69999999999999</v>
      </c>
      <c r="AC49" s="121">
        <v>134.69999999999999</v>
      </c>
      <c r="AD49" s="109">
        <v>134.69999999999999</v>
      </c>
      <c r="AE49" s="134"/>
    </row>
    <row r="50" spans="1:31" x14ac:dyDescent="0.35">
      <c r="A50" s="131">
        <v>43</v>
      </c>
      <c r="B50" s="47" t="s">
        <v>244</v>
      </c>
      <c r="C50" s="141">
        <v>644.70000000000005</v>
      </c>
      <c r="D50" s="141">
        <v>606.4</v>
      </c>
      <c r="E50" s="142">
        <v>574.4</v>
      </c>
      <c r="F50" s="142">
        <v>577.4</v>
      </c>
      <c r="G50" s="142">
        <v>664.1</v>
      </c>
      <c r="H50" s="142">
        <v>702.3</v>
      </c>
      <c r="I50" s="141">
        <v>871.1</v>
      </c>
      <c r="J50" s="142">
        <v>926</v>
      </c>
      <c r="K50" s="141">
        <v>1047.5</v>
      </c>
      <c r="L50" s="108">
        <v>1042.5</v>
      </c>
      <c r="M50" s="114">
        <v>1060</v>
      </c>
      <c r="N50" s="157">
        <v>980.1</v>
      </c>
      <c r="O50" s="93">
        <v>890.7</v>
      </c>
      <c r="P50" s="114">
        <v>909.4</v>
      </c>
      <c r="Q50" s="157">
        <v>791.6</v>
      </c>
      <c r="R50" s="108">
        <v>781</v>
      </c>
      <c r="S50" s="114">
        <v>766</v>
      </c>
      <c r="T50" s="84">
        <v>732.3</v>
      </c>
      <c r="U50" s="93">
        <v>1173.5</v>
      </c>
      <c r="V50" s="114">
        <v>1146.2</v>
      </c>
      <c r="W50" s="84">
        <v>1124.5</v>
      </c>
      <c r="X50" s="108">
        <v>1098.0999999999999</v>
      </c>
      <c r="Y50" s="114">
        <v>1054.5999999999999</v>
      </c>
      <c r="Z50" s="84">
        <v>1030.5999999999999</v>
      </c>
      <c r="AA50" s="108">
        <v>963.6</v>
      </c>
      <c r="AB50" s="114">
        <v>951.3</v>
      </c>
      <c r="AC50" s="120">
        <v>888.4</v>
      </c>
      <c r="AD50" s="108">
        <v>962.7</v>
      </c>
    </row>
    <row r="51" spans="1:31" x14ac:dyDescent="0.35">
      <c r="A51" s="132">
        <v>44</v>
      </c>
      <c r="B51" s="90" t="s">
        <v>1787</v>
      </c>
      <c r="C51" s="141">
        <v>3.5</v>
      </c>
      <c r="D51" s="141">
        <v>3.2</v>
      </c>
      <c r="E51" s="142">
        <v>3</v>
      </c>
      <c r="F51" s="142">
        <v>3</v>
      </c>
      <c r="G51" s="142">
        <v>3.5</v>
      </c>
      <c r="H51" s="142">
        <v>3.7</v>
      </c>
      <c r="I51" s="141">
        <v>4.4000000000000004</v>
      </c>
      <c r="J51" s="142">
        <v>4.7</v>
      </c>
      <c r="K51" s="141">
        <v>5.2</v>
      </c>
      <c r="L51" s="108">
        <v>5.2</v>
      </c>
      <c r="M51" s="114">
        <v>5.3</v>
      </c>
      <c r="N51" s="157">
        <v>4.8</v>
      </c>
      <c r="O51" s="93">
        <v>4.4000000000000004</v>
      </c>
      <c r="P51" s="114">
        <v>4.5</v>
      </c>
      <c r="Q51" s="157">
        <v>3.9</v>
      </c>
      <c r="R51" s="108">
        <v>3.8</v>
      </c>
      <c r="S51" s="114">
        <v>3.7</v>
      </c>
      <c r="T51" s="84">
        <v>3.6</v>
      </c>
      <c r="U51" s="93">
        <v>5.5</v>
      </c>
      <c r="V51" s="114">
        <v>5.4</v>
      </c>
      <c r="W51" s="84">
        <v>5.2</v>
      </c>
      <c r="X51" s="108">
        <v>5.0999999999999996</v>
      </c>
      <c r="Y51" s="114">
        <v>4.9000000000000004</v>
      </c>
      <c r="Z51" s="84">
        <v>4.8</v>
      </c>
      <c r="AA51" s="108">
        <v>4.5</v>
      </c>
      <c r="AB51" s="114">
        <v>4.4000000000000004</v>
      </c>
      <c r="AC51" s="120">
        <v>4.0999999999999996</v>
      </c>
      <c r="AD51" s="108">
        <v>4.4000000000000004</v>
      </c>
    </row>
    <row r="52" spans="1:31" x14ac:dyDescent="0.35">
      <c r="A52" s="131"/>
      <c r="B52" s="47" t="s">
        <v>1739</v>
      </c>
      <c r="C52" s="141"/>
      <c r="D52" s="141"/>
      <c r="E52" s="142"/>
      <c r="F52" s="142"/>
      <c r="G52" s="142"/>
      <c r="H52" s="142"/>
      <c r="I52" s="141"/>
      <c r="J52" s="142"/>
      <c r="K52" s="141"/>
      <c r="L52" s="108"/>
      <c r="M52" s="114"/>
      <c r="N52" s="157"/>
      <c r="O52" s="93"/>
      <c r="P52" s="114"/>
      <c r="Q52" s="157"/>
      <c r="R52" s="108"/>
      <c r="S52" s="114"/>
      <c r="T52" s="84"/>
      <c r="U52" s="93"/>
      <c r="V52" s="114"/>
      <c r="W52" s="84"/>
      <c r="X52" s="108"/>
      <c r="Y52" s="114"/>
      <c r="Z52" s="84"/>
      <c r="AA52" s="108"/>
      <c r="AB52" s="114"/>
      <c r="AC52" s="120"/>
      <c r="AD52" s="108"/>
    </row>
    <row r="53" spans="1:31" ht="31" customHeight="1" x14ac:dyDescent="0.35">
      <c r="A53" s="132">
        <v>45</v>
      </c>
      <c r="B53" s="90" t="s">
        <v>1788</v>
      </c>
      <c r="C53" s="141">
        <v>14559.1</v>
      </c>
      <c r="D53" s="141">
        <v>14618.2</v>
      </c>
      <c r="E53" s="142">
        <v>14653.2</v>
      </c>
      <c r="F53" s="142">
        <v>14618.1</v>
      </c>
      <c r="G53" s="142">
        <v>14607</v>
      </c>
      <c r="H53" s="142">
        <v>14604.2</v>
      </c>
      <c r="I53" s="141">
        <v>15496.1</v>
      </c>
      <c r="J53" s="142">
        <v>15529.2</v>
      </c>
      <c r="K53" s="141">
        <v>15596.8</v>
      </c>
      <c r="L53" s="108">
        <v>15592.2</v>
      </c>
      <c r="M53" s="114">
        <v>15622.4</v>
      </c>
      <c r="N53" s="157">
        <v>15638</v>
      </c>
      <c r="O53" s="93">
        <v>15691.7</v>
      </c>
      <c r="P53" s="114">
        <v>15726.6</v>
      </c>
      <c r="Q53" s="157">
        <v>15741.9</v>
      </c>
      <c r="R53" s="108">
        <v>15749.7</v>
      </c>
      <c r="S53" s="114">
        <v>15795.9</v>
      </c>
      <c r="T53" s="84">
        <v>15823.3</v>
      </c>
      <c r="U53" s="93">
        <v>16227.8</v>
      </c>
      <c r="V53" s="114">
        <v>16232.7</v>
      </c>
      <c r="W53" s="84">
        <v>16269.5</v>
      </c>
      <c r="X53" s="108">
        <v>16240.4</v>
      </c>
      <c r="Y53" s="114">
        <v>16291.7</v>
      </c>
      <c r="Z53" s="84">
        <v>16292.1</v>
      </c>
      <c r="AA53" s="108">
        <v>16308</v>
      </c>
      <c r="AB53" s="114">
        <v>16322.9</v>
      </c>
      <c r="AC53" s="120">
        <v>16329.2</v>
      </c>
      <c r="AD53" s="108">
        <v>16384.3</v>
      </c>
    </row>
    <row r="54" spans="1:31" x14ac:dyDescent="0.35">
      <c r="A54" s="131"/>
      <c r="B54" s="166" t="s">
        <v>1789</v>
      </c>
      <c r="C54" s="141"/>
      <c r="D54" s="141"/>
      <c r="E54" s="142"/>
      <c r="F54" s="142"/>
      <c r="G54" s="142"/>
      <c r="H54" s="142"/>
      <c r="I54" s="141"/>
      <c r="J54" s="142"/>
      <c r="K54" s="141"/>
      <c r="L54" s="108"/>
      <c r="M54" s="114"/>
      <c r="N54" s="157"/>
      <c r="O54" s="93"/>
      <c r="P54" s="114"/>
      <c r="Q54" s="157"/>
      <c r="R54" s="108"/>
      <c r="S54" s="114"/>
      <c r="T54" s="84"/>
      <c r="U54" s="93"/>
      <c r="V54" s="114"/>
      <c r="W54" s="84"/>
      <c r="X54" s="108"/>
      <c r="Y54" s="114"/>
      <c r="Z54" s="84"/>
      <c r="AA54" s="108"/>
      <c r="AB54" s="114"/>
      <c r="AC54" s="120"/>
      <c r="AD54" s="108"/>
    </row>
    <row r="55" spans="1:31" ht="16.399999999999999" customHeight="1" x14ac:dyDescent="0.35">
      <c r="A55" s="131">
        <v>46</v>
      </c>
      <c r="B55" s="169" t="s">
        <v>1790</v>
      </c>
      <c r="C55" s="143">
        <v>15100.2</v>
      </c>
      <c r="D55" s="143">
        <v>15149.6</v>
      </c>
      <c r="E55" s="144">
        <v>15172.2</v>
      </c>
      <c r="F55" s="144">
        <v>15218.9</v>
      </c>
      <c r="G55" s="144">
        <v>15238.7</v>
      </c>
      <c r="H55" s="144">
        <v>15250.6</v>
      </c>
      <c r="I55" s="143">
        <v>16601.900000000001</v>
      </c>
      <c r="J55" s="144">
        <v>16656.099999999999</v>
      </c>
      <c r="K55" s="143">
        <v>16730.2</v>
      </c>
      <c r="L55" s="109">
        <v>16763.900000000001</v>
      </c>
      <c r="M55" s="115">
        <v>16818.5</v>
      </c>
      <c r="N55" s="158">
        <v>16809.5</v>
      </c>
      <c r="O55" s="94">
        <v>16816.400000000001</v>
      </c>
      <c r="P55" s="115">
        <v>16826.2</v>
      </c>
      <c r="Q55" s="158">
        <v>16816.3</v>
      </c>
      <c r="R55" s="109">
        <v>16819.900000000001</v>
      </c>
      <c r="S55" s="115">
        <v>16859.599999999999</v>
      </c>
      <c r="T55" s="86">
        <v>16889.2</v>
      </c>
      <c r="U55" s="94">
        <v>17426.2</v>
      </c>
      <c r="V55" s="115">
        <v>17442.400000000001</v>
      </c>
      <c r="W55" s="86">
        <v>17486.900000000001</v>
      </c>
      <c r="X55" s="109">
        <v>17464.900000000001</v>
      </c>
      <c r="Y55" s="115">
        <v>17511.099999999999</v>
      </c>
      <c r="Z55" s="86">
        <v>17515.599999999999</v>
      </c>
      <c r="AA55" s="109">
        <v>17524.2</v>
      </c>
      <c r="AB55" s="115">
        <v>17524.7</v>
      </c>
      <c r="AC55" s="121">
        <v>17546.099999999999</v>
      </c>
      <c r="AD55" s="109">
        <v>17620.400000000001</v>
      </c>
    </row>
    <row r="56" spans="1:31" x14ac:dyDescent="0.35">
      <c r="A56" s="131"/>
      <c r="B56" s="45" t="s">
        <v>1791</v>
      </c>
      <c r="C56" s="143"/>
      <c r="D56" s="143"/>
      <c r="E56" s="144"/>
      <c r="F56" s="144"/>
      <c r="G56" s="144"/>
      <c r="H56" s="144"/>
      <c r="I56" s="143"/>
      <c r="J56" s="144"/>
      <c r="K56" s="143"/>
      <c r="L56" s="109"/>
      <c r="M56" s="115"/>
      <c r="N56" s="158"/>
      <c r="O56" s="94"/>
      <c r="P56" s="115"/>
      <c r="Q56" s="158"/>
      <c r="R56" s="109"/>
      <c r="S56" s="115"/>
      <c r="T56" s="86"/>
      <c r="U56" s="94"/>
      <c r="V56" s="115"/>
      <c r="W56" s="86"/>
      <c r="X56" s="109"/>
      <c r="Y56" s="115"/>
      <c r="Z56" s="86"/>
      <c r="AA56" s="109"/>
      <c r="AB56" s="115"/>
      <c r="AC56" s="121"/>
      <c r="AD56" s="109"/>
    </row>
    <row r="57" spans="1:31" x14ac:dyDescent="0.35">
      <c r="A57" s="131">
        <v>47</v>
      </c>
      <c r="B57" s="172" t="s">
        <v>1792</v>
      </c>
      <c r="C57" s="145">
        <v>55836</v>
      </c>
      <c r="D57" s="145">
        <v>56139</v>
      </c>
      <c r="E57" s="146">
        <v>56387</v>
      </c>
      <c r="F57" s="146">
        <v>56770</v>
      </c>
      <c r="G57" s="146">
        <v>56917</v>
      </c>
      <c r="H57" s="146">
        <v>57053</v>
      </c>
      <c r="I57" s="145">
        <v>59062</v>
      </c>
      <c r="J57" s="146">
        <v>59423</v>
      </c>
      <c r="K57" s="145">
        <v>59738</v>
      </c>
      <c r="L57" s="110">
        <v>60018</v>
      </c>
      <c r="M57" s="116">
        <v>60253</v>
      </c>
      <c r="N57" s="159">
        <v>60309</v>
      </c>
      <c r="O57" s="96">
        <v>60380</v>
      </c>
      <c r="P57" s="116">
        <v>60598</v>
      </c>
      <c r="Q57" s="159">
        <v>60762</v>
      </c>
      <c r="R57" s="110">
        <v>60767</v>
      </c>
      <c r="S57" s="116">
        <v>60876</v>
      </c>
      <c r="T57" s="87">
        <v>61033</v>
      </c>
      <c r="U57" s="96">
        <v>63293</v>
      </c>
      <c r="V57" s="116">
        <v>63527</v>
      </c>
      <c r="W57" s="87">
        <v>63885</v>
      </c>
      <c r="X57" s="110">
        <v>63947</v>
      </c>
      <c r="Y57" s="116">
        <v>64085</v>
      </c>
      <c r="Z57" s="87">
        <v>64149</v>
      </c>
      <c r="AA57" s="110">
        <v>64250</v>
      </c>
      <c r="AB57" s="116">
        <v>64292</v>
      </c>
      <c r="AC57" s="122">
        <v>64453</v>
      </c>
      <c r="AD57" s="110">
        <v>64849</v>
      </c>
    </row>
    <row r="58" spans="1:31" x14ac:dyDescent="0.35">
      <c r="A58" s="131">
        <v>48</v>
      </c>
      <c r="B58" s="172" t="s">
        <v>1793</v>
      </c>
      <c r="C58" s="145">
        <v>45261</v>
      </c>
      <c r="D58" s="145">
        <v>45385</v>
      </c>
      <c r="E58" s="146">
        <v>45429</v>
      </c>
      <c r="F58" s="146">
        <v>45546</v>
      </c>
      <c r="G58" s="146">
        <v>45586</v>
      </c>
      <c r="H58" s="146">
        <v>45603</v>
      </c>
      <c r="I58" s="145">
        <v>49627</v>
      </c>
      <c r="J58" s="146">
        <v>49774</v>
      </c>
      <c r="K58" s="145">
        <v>49978</v>
      </c>
      <c r="L58" s="110">
        <v>50060</v>
      </c>
      <c r="M58" s="116">
        <v>50203</v>
      </c>
      <c r="N58" s="159">
        <v>50166</v>
      </c>
      <c r="O58" s="96">
        <v>50161</v>
      </c>
      <c r="P58" s="116">
        <v>50163</v>
      </c>
      <c r="Q58" s="159">
        <v>50106</v>
      </c>
      <c r="R58" s="110">
        <v>50093</v>
      </c>
      <c r="S58" s="116">
        <v>50188</v>
      </c>
      <c r="T58" s="87">
        <v>50255</v>
      </c>
      <c r="U58" s="96">
        <v>51834</v>
      </c>
      <c r="V58" s="116">
        <v>51865</v>
      </c>
      <c r="W58" s="87">
        <v>51979</v>
      </c>
      <c r="X58" s="110">
        <v>51894</v>
      </c>
      <c r="Y58" s="116">
        <v>52010</v>
      </c>
      <c r="Z58" s="87">
        <v>52000</v>
      </c>
      <c r="AA58" s="110">
        <v>52000</v>
      </c>
      <c r="AB58" s="116">
        <v>51974</v>
      </c>
      <c r="AC58" s="122">
        <v>52010</v>
      </c>
      <c r="AD58" s="110">
        <v>52205</v>
      </c>
    </row>
    <row r="59" spans="1:31" ht="15" customHeight="1" x14ac:dyDescent="0.35">
      <c r="A59" s="133">
        <v>49</v>
      </c>
      <c r="B59" s="107" t="s">
        <v>1794</v>
      </c>
      <c r="C59" s="147">
        <v>333624</v>
      </c>
      <c r="D59" s="147">
        <v>333799</v>
      </c>
      <c r="E59" s="148">
        <v>333976</v>
      </c>
      <c r="F59" s="148">
        <v>334141</v>
      </c>
      <c r="G59" s="148">
        <v>334287</v>
      </c>
      <c r="H59" s="148">
        <v>334420</v>
      </c>
      <c r="I59" s="147">
        <v>334533</v>
      </c>
      <c r="J59" s="148">
        <v>334637</v>
      </c>
      <c r="K59" s="147">
        <v>334753</v>
      </c>
      <c r="L59" s="111">
        <v>334880</v>
      </c>
      <c r="M59" s="117">
        <v>335013</v>
      </c>
      <c r="N59" s="160">
        <v>335080</v>
      </c>
      <c r="O59" s="97">
        <v>335248</v>
      </c>
      <c r="P59" s="117">
        <v>335431</v>
      </c>
      <c r="Q59" s="160">
        <v>335612</v>
      </c>
      <c r="R59" s="111">
        <v>335773</v>
      </c>
      <c r="S59" s="117">
        <v>335925</v>
      </c>
      <c r="T59" s="88">
        <v>336070</v>
      </c>
      <c r="U59" s="97">
        <v>336194</v>
      </c>
      <c r="V59" s="117">
        <v>336306</v>
      </c>
      <c r="W59" s="88">
        <v>336423</v>
      </c>
      <c r="X59" s="111">
        <v>336550</v>
      </c>
      <c r="Y59" s="117">
        <v>336687</v>
      </c>
      <c r="Z59" s="88">
        <v>336839</v>
      </c>
      <c r="AA59" s="111">
        <v>337005</v>
      </c>
      <c r="AB59" s="117">
        <v>337185</v>
      </c>
      <c r="AC59" s="123">
        <v>337362</v>
      </c>
      <c r="AD59" s="110">
        <v>337521</v>
      </c>
    </row>
    <row r="60" spans="1:31" x14ac:dyDescent="0.35">
      <c r="A60" s="1266" t="s">
        <v>1795</v>
      </c>
      <c r="B60" s="1266"/>
      <c r="C60" s="1266"/>
      <c r="D60" s="1266"/>
      <c r="E60" s="1266"/>
      <c r="F60" s="1266"/>
      <c r="G60" s="1266"/>
      <c r="H60" s="1266"/>
      <c r="I60" s="1266"/>
      <c r="J60" s="1266"/>
      <c r="K60" s="137"/>
      <c r="L60" s="189"/>
      <c r="M60" s="99"/>
      <c r="N60" s="176"/>
      <c r="O60" s="189"/>
      <c r="P60" s="99"/>
      <c r="Q60" s="176"/>
      <c r="R60" s="189"/>
      <c r="S60" s="99"/>
      <c r="T60" s="176"/>
      <c r="U60" s="189"/>
      <c r="V60" s="99"/>
      <c r="W60" s="176"/>
      <c r="X60" s="189"/>
      <c r="Y60" s="99"/>
      <c r="Z60" s="176"/>
      <c r="AA60" s="189"/>
      <c r="AB60" s="99"/>
      <c r="AC60" s="176"/>
      <c r="AD60" s="189"/>
    </row>
    <row r="61" spans="1:31" x14ac:dyDescent="0.35">
      <c r="A61" s="1249" t="s">
        <v>1796</v>
      </c>
      <c r="B61" s="1249"/>
      <c r="C61" s="1249"/>
      <c r="D61" s="1249"/>
      <c r="E61" s="1249"/>
      <c r="F61" s="1249"/>
      <c r="G61" s="1249"/>
      <c r="H61" s="1249"/>
      <c r="I61" s="1249"/>
      <c r="J61" s="1249"/>
      <c r="K61" s="101"/>
      <c r="L61" s="190"/>
      <c r="M61" s="100"/>
      <c r="N61" s="177"/>
      <c r="O61" s="190"/>
      <c r="P61" s="100"/>
      <c r="Q61" s="177"/>
      <c r="R61" s="190"/>
      <c r="S61" s="100"/>
      <c r="T61" s="177"/>
      <c r="U61" s="190"/>
      <c r="V61" s="100"/>
      <c r="W61" s="177"/>
      <c r="X61" s="190"/>
      <c r="Y61" s="100"/>
      <c r="Z61" s="177"/>
      <c r="AA61" s="190"/>
      <c r="AB61" s="100"/>
      <c r="AC61" s="177"/>
      <c r="AD61" s="190"/>
    </row>
    <row r="62" spans="1:31" x14ac:dyDescent="0.35">
      <c r="A62" s="1249" t="s">
        <v>1797</v>
      </c>
      <c r="B62" s="1249"/>
      <c r="C62" s="1249"/>
      <c r="D62" s="1249"/>
      <c r="E62" s="1249"/>
      <c r="F62" s="1249"/>
      <c r="G62" s="1249"/>
      <c r="H62" s="1249"/>
      <c r="I62" s="1249"/>
      <c r="J62" s="1249"/>
      <c r="K62" s="101"/>
      <c r="L62" s="190"/>
      <c r="M62" s="100"/>
      <c r="N62" s="177"/>
      <c r="O62" s="190"/>
      <c r="P62" s="100"/>
      <c r="Q62" s="177"/>
      <c r="R62" s="190"/>
      <c r="S62" s="100"/>
      <c r="T62" s="177"/>
      <c r="U62" s="190"/>
      <c r="V62" s="100"/>
      <c r="W62" s="177"/>
      <c r="X62" s="190"/>
      <c r="Y62" s="100"/>
      <c r="Z62" s="177"/>
      <c r="AA62" s="190"/>
      <c r="AB62" s="100"/>
      <c r="AC62" s="177"/>
      <c r="AD62" s="190"/>
    </row>
    <row r="63" spans="1:31" x14ac:dyDescent="0.35">
      <c r="A63" s="1249" t="s">
        <v>1798</v>
      </c>
      <c r="B63" s="1249"/>
      <c r="C63" s="1249"/>
      <c r="D63" s="1249"/>
      <c r="E63" s="1249"/>
      <c r="F63" s="1249"/>
      <c r="G63" s="1249"/>
      <c r="H63" s="1249"/>
      <c r="I63" s="1249"/>
      <c r="J63" s="1249"/>
      <c r="K63" s="101"/>
      <c r="L63" s="190"/>
      <c r="M63" s="100"/>
      <c r="N63" s="177"/>
      <c r="O63" s="190"/>
      <c r="P63" s="100"/>
      <c r="Q63" s="177"/>
      <c r="R63" s="190"/>
      <c r="S63" s="100"/>
      <c r="T63" s="177"/>
      <c r="U63" s="190"/>
      <c r="V63" s="100"/>
      <c r="W63" s="177"/>
      <c r="X63" s="190"/>
      <c r="Y63" s="100"/>
      <c r="Z63" s="177"/>
      <c r="AA63" s="190"/>
      <c r="AB63" s="100"/>
      <c r="AC63" s="177"/>
      <c r="AD63" s="190"/>
    </row>
    <row r="64" spans="1:31" x14ac:dyDescent="0.35">
      <c r="A64" s="1249" t="s">
        <v>1799</v>
      </c>
      <c r="B64" s="1249"/>
      <c r="C64" s="1249"/>
      <c r="D64" s="1249"/>
      <c r="E64" s="1249"/>
      <c r="F64" s="1249"/>
      <c r="G64" s="1249"/>
      <c r="H64" s="1249"/>
      <c r="I64" s="1249"/>
      <c r="J64" s="1249"/>
      <c r="K64" s="101"/>
      <c r="L64" s="190"/>
      <c r="M64" s="100"/>
      <c r="N64" s="177"/>
      <c r="O64" s="190"/>
      <c r="P64" s="100"/>
      <c r="Q64" s="177"/>
      <c r="R64" s="190"/>
      <c r="S64" s="100"/>
      <c r="T64" s="177"/>
      <c r="U64" s="190"/>
      <c r="V64" s="100"/>
      <c r="W64" s="177"/>
      <c r="X64" s="190"/>
      <c r="Y64" s="100"/>
      <c r="Z64" s="177"/>
      <c r="AA64" s="190"/>
      <c r="AB64" s="100"/>
      <c r="AC64" s="177"/>
      <c r="AD64" s="190"/>
    </row>
    <row r="65" spans="1:30" x14ac:dyDescent="0.35">
      <c r="A65" s="1249" t="s">
        <v>1800</v>
      </c>
      <c r="B65" s="1249"/>
      <c r="C65" s="1249"/>
      <c r="D65" s="1249"/>
      <c r="E65" s="1249"/>
      <c r="F65" s="1249"/>
      <c r="G65" s="1249"/>
      <c r="H65" s="1249"/>
      <c r="I65" s="1249"/>
      <c r="J65" s="1249"/>
      <c r="K65" s="101"/>
      <c r="L65" s="190"/>
      <c r="M65" s="100"/>
      <c r="N65" s="177"/>
      <c r="O65" s="190"/>
      <c r="P65" s="100"/>
      <c r="Q65" s="177"/>
      <c r="R65" s="190"/>
      <c r="S65" s="100"/>
      <c r="T65" s="177"/>
      <c r="U65" s="190"/>
      <c r="V65" s="100"/>
      <c r="W65" s="177"/>
      <c r="X65" s="190"/>
      <c r="Y65" s="100"/>
      <c r="Z65" s="177"/>
      <c r="AA65" s="190"/>
      <c r="AB65" s="100"/>
      <c r="AC65" s="177"/>
      <c r="AD65" s="190"/>
    </row>
    <row r="66" spans="1:30" ht="14.5" customHeight="1" x14ac:dyDescent="0.35">
      <c r="A66" s="1249" t="s">
        <v>1801</v>
      </c>
      <c r="B66" s="1249"/>
      <c r="C66" s="1249"/>
      <c r="D66" s="1249"/>
      <c r="E66" s="1249"/>
      <c r="F66" s="1249"/>
      <c r="G66" s="1249"/>
      <c r="H66" s="1249"/>
      <c r="I66" s="1249"/>
      <c r="J66" s="1249"/>
      <c r="K66" s="101"/>
      <c r="L66" s="190"/>
      <c r="M66" s="100"/>
      <c r="N66" s="177"/>
      <c r="O66" s="190"/>
      <c r="P66" s="100"/>
      <c r="Q66" s="177"/>
      <c r="R66" s="190"/>
      <c r="S66" s="100"/>
      <c r="T66" s="177"/>
      <c r="U66" s="190"/>
      <c r="V66" s="100"/>
      <c r="W66" s="177"/>
      <c r="X66" s="190"/>
      <c r="Y66" s="100"/>
      <c r="Z66" s="177"/>
      <c r="AA66" s="190"/>
      <c r="AB66" s="100"/>
      <c r="AC66" s="177"/>
      <c r="AD66" s="190"/>
    </row>
    <row r="67" spans="1:30" ht="14.5" customHeight="1" x14ac:dyDescent="0.35">
      <c r="A67" s="1250" t="s">
        <v>1802</v>
      </c>
      <c r="B67" s="1250"/>
      <c r="C67" s="1250"/>
      <c r="D67" s="1250"/>
      <c r="E67" s="1250"/>
      <c r="F67" s="1250"/>
      <c r="G67" s="1250"/>
      <c r="H67" s="1250"/>
      <c r="I67" s="1250"/>
      <c r="J67" s="1250"/>
      <c r="K67" s="104"/>
      <c r="L67" s="191"/>
      <c r="M67" s="125"/>
      <c r="N67" s="178"/>
      <c r="O67" s="191"/>
      <c r="P67" s="125"/>
      <c r="Q67" s="178"/>
      <c r="R67" s="191"/>
      <c r="S67" s="125"/>
      <c r="T67" s="178"/>
      <c r="U67" s="191"/>
      <c r="V67" s="125"/>
      <c r="W67" s="178"/>
      <c r="X67" s="191"/>
      <c r="Y67" s="125"/>
      <c r="Z67" s="178"/>
      <c r="AA67" s="191"/>
      <c r="AB67" s="125"/>
      <c r="AC67" s="178"/>
      <c r="AD67" s="191"/>
    </row>
    <row r="68" spans="1:30" ht="14.5" customHeight="1" x14ac:dyDescent="0.35">
      <c r="A68" s="1251" t="s">
        <v>246</v>
      </c>
      <c r="B68" s="1251"/>
      <c r="C68" s="1251"/>
      <c r="D68" s="1251"/>
      <c r="E68" s="1251"/>
      <c r="F68" s="1251"/>
      <c r="G68" s="1251"/>
      <c r="H68" s="1251"/>
      <c r="I68" s="1251"/>
      <c r="J68" s="1251"/>
      <c r="K68" s="107"/>
      <c r="L68" s="192"/>
      <c r="M68" s="126"/>
      <c r="N68" s="179"/>
      <c r="O68" s="192"/>
      <c r="P68" s="126"/>
      <c r="Q68" s="179"/>
      <c r="R68" s="192"/>
      <c r="S68" s="126"/>
      <c r="T68" s="179"/>
      <c r="U68" s="192"/>
      <c r="V68" s="126"/>
      <c r="W68" s="179"/>
      <c r="X68" s="192"/>
      <c r="Y68" s="126"/>
      <c r="Z68" s="179"/>
      <c r="AA68" s="192"/>
      <c r="AB68" s="126"/>
      <c r="AC68" s="179"/>
      <c r="AD68" s="192"/>
    </row>
    <row r="69" spans="1:30" x14ac:dyDescent="0.35">
      <c r="A69" s="1248" t="s">
        <v>884</v>
      </c>
      <c r="B69" s="1248"/>
      <c r="C69" s="1248"/>
      <c r="D69" s="1248"/>
      <c r="E69" s="1248"/>
      <c r="F69" s="1248"/>
      <c r="G69" s="1248"/>
    </row>
    <row r="70" spans="1:30" x14ac:dyDescent="0.35">
      <c r="A70" s="1252" t="s">
        <v>885</v>
      </c>
      <c r="B70" s="1252"/>
      <c r="C70" s="1252"/>
      <c r="D70" s="1252"/>
      <c r="E70" s="1252"/>
      <c r="F70" s="1252"/>
      <c r="G70" s="1252"/>
    </row>
    <row r="71" spans="1:30" x14ac:dyDescent="0.35">
      <c r="A71" s="1247" t="s">
        <v>886</v>
      </c>
      <c r="B71" s="1247"/>
      <c r="C71" s="1247"/>
      <c r="D71" s="1247"/>
      <c r="E71" s="1247"/>
      <c r="F71" s="1247"/>
      <c r="G71" s="1247"/>
    </row>
    <row r="72" spans="1:30" x14ac:dyDescent="0.35">
      <c r="A72" s="1246" t="s">
        <v>887</v>
      </c>
      <c r="B72" s="1246"/>
      <c r="C72" s="1246"/>
      <c r="D72" s="1246"/>
      <c r="E72" s="1246"/>
      <c r="F72" s="1246"/>
      <c r="G72" s="1246"/>
    </row>
    <row r="73" spans="1:30" x14ac:dyDescent="0.35">
      <c r="A73" s="1246" t="s">
        <v>888</v>
      </c>
      <c r="B73" s="1246"/>
      <c r="C73" s="1246"/>
      <c r="D73" s="1246"/>
      <c r="E73" s="1246"/>
      <c r="F73" s="1246"/>
      <c r="G73" s="1246"/>
    </row>
    <row r="74" spans="1:30" x14ac:dyDescent="0.35">
      <c r="A74" s="1247" t="s">
        <v>889</v>
      </c>
      <c r="B74" s="1247"/>
      <c r="C74" s="1247"/>
      <c r="D74" s="1247"/>
      <c r="E74" s="1247"/>
      <c r="F74" s="1247"/>
      <c r="G74" s="1247"/>
    </row>
    <row r="76" spans="1:30" x14ac:dyDescent="0.35">
      <c r="A76" s="1248" t="s">
        <v>890</v>
      </c>
      <c r="B76" s="1248"/>
      <c r="C76" s="1248"/>
      <c r="D76" s="1248"/>
      <c r="E76" s="1248"/>
      <c r="F76" s="1248"/>
      <c r="G76" s="1248"/>
    </row>
    <row r="78" spans="1:30" x14ac:dyDescent="0.35">
      <c r="A78" s="57" t="s">
        <v>245</v>
      </c>
    </row>
    <row r="80" spans="1:30" x14ac:dyDescent="0.35">
      <c r="A80" s="57" t="s">
        <v>246</v>
      </c>
    </row>
    <row r="82" spans="1:31" x14ac:dyDescent="0.35">
      <c r="A82" t="s">
        <v>880</v>
      </c>
      <c r="B82" t="s">
        <v>881</v>
      </c>
      <c r="C82" s="136">
        <v>44743</v>
      </c>
      <c r="D82" s="136">
        <v>44774</v>
      </c>
      <c r="E82" s="136">
        <v>44805</v>
      </c>
      <c r="F82" s="136">
        <v>44835</v>
      </c>
      <c r="G82" s="136">
        <v>44866</v>
      </c>
      <c r="H82" s="136">
        <v>44896</v>
      </c>
      <c r="I82" s="136">
        <v>44927</v>
      </c>
      <c r="J82" s="136">
        <v>44958</v>
      </c>
      <c r="K82" s="136">
        <v>44986</v>
      </c>
      <c r="L82" s="194">
        <v>45017</v>
      </c>
      <c r="M82" s="128">
        <v>45047</v>
      </c>
      <c r="N82" s="181">
        <v>45078</v>
      </c>
      <c r="O82" s="194">
        <v>45108</v>
      </c>
      <c r="P82" s="128">
        <v>45139</v>
      </c>
      <c r="Q82" s="181">
        <v>45170</v>
      </c>
      <c r="R82" s="194">
        <v>45200</v>
      </c>
      <c r="S82" s="128">
        <v>45231</v>
      </c>
      <c r="T82" s="181">
        <v>45261</v>
      </c>
      <c r="U82" s="194">
        <v>45292</v>
      </c>
      <c r="V82" s="128">
        <v>45323</v>
      </c>
      <c r="W82" s="181">
        <v>45352</v>
      </c>
      <c r="X82" s="194">
        <v>45383</v>
      </c>
      <c r="Y82" s="128">
        <v>45413</v>
      </c>
      <c r="Z82" s="181">
        <v>45444</v>
      </c>
      <c r="AA82" s="194">
        <v>45474</v>
      </c>
      <c r="AB82" s="128">
        <v>45505</v>
      </c>
      <c r="AC82" s="181">
        <v>45536</v>
      </c>
      <c r="AD82" s="194">
        <v>45566</v>
      </c>
    </row>
    <row r="83" spans="1:31" x14ac:dyDescent="0.35">
      <c r="A83" s="150" t="s">
        <v>1906</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93">
        <f>'Federal and State Purchases'!AE34</f>
        <v>5263</v>
      </c>
      <c r="M83" s="127">
        <f>'Federal and State Purchases'!AF34</f>
        <v>5280</v>
      </c>
      <c r="N83" s="180">
        <f>'Federal and State Purchases'!AG34</f>
        <v>5301</v>
      </c>
      <c r="O83" s="193">
        <f>'Federal and State Purchases'!AH34</f>
        <v>5301</v>
      </c>
      <c r="P83" s="127">
        <f>'Federal and State Purchases'!AI34</f>
        <v>5329</v>
      </c>
      <c r="Q83" s="180">
        <f>'Federal and State Purchases'!AJ34</f>
        <v>5346</v>
      </c>
      <c r="R83" s="193">
        <f>'Federal and State Purchases'!AK34</f>
        <v>5375</v>
      </c>
      <c r="S83" s="127">
        <f>'Federal and State Purchases'!AL34</f>
        <v>5383</v>
      </c>
      <c r="T83" s="180">
        <f>'Federal and State Purchases'!AM34</f>
        <v>5404</v>
      </c>
      <c r="U83" s="193">
        <v>5420</v>
      </c>
      <c r="V83" s="127">
        <v>5434</v>
      </c>
      <c r="W83" s="180">
        <v>5444</v>
      </c>
      <c r="X83" s="193">
        <v>5448</v>
      </c>
      <c r="Y83" s="127">
        <v>5429</v>
      </c>
      <c r="Z83" s="180">
        <v>5436</v>
      </c>
      <c r="AA83" s="193">
        <v>5459</v>
      </c>
      <c r="AB83" s="1215">
        <v>5473</v>
      </c>
      <c r="AC83" s="1216">
        <v>5486</v>
      </c>
      <c r="AD83" s="1214">
        <v>5504</v>
      </c>
    </row>
    <row r="84" spans="1:31" x14ac:dyDescent="0.35">
      <c r="A84" t="s">
        <v>397</v>
      </c>
      <c r="B84" t="s">
        <v>396</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93">
        <f>'Federal and State Purchases'!AE35</f>
        <v>14482</v>
      </c>
      <c r="M84" s="127">
        <f>'Federal and State Purchases'!AF35</f>
        <v>14508</v>
      </c>
      <c r="N84" s="180">
        <f>'Federal and State Purchases'!AG35</f>
        <v>14536</v>
      </c>
      <c r="O84" s="193">
        <f>'Federal and State Purchases'!AH35</f>
        <v>14564</v>
      </c>
      <c r="P84" s="127">
        <f>'Federal and State Purchases'!AI35</f>
        <v>14585</v>
      </c>
      <c r="Q84" s="180">
        <f>'Federal and State Purchases'!AJ35</f>
        <v>14612</v>
      </c>
      <c r="R84" s="193">
        <f>'Federal and State Purchases'!AK35</f>
        <v>14642</v>
      </c>
      <c r="S84" s="127">
        <f>'Federal and State Purchases'!AL35</f>
        <v>14665</v>
      </c>
      <c r="T84" s="180">
        <f>'Federal and State Purchases'!AM35</f>
        <v>14711</v>
      </c>
      <c r="U84" s="193">
        <v>14742</v>
      </c>
      <c r="V84" s="127">
        <v>14776</v>
      </c>
      <c r="W84" s="180">
        <v>14832</v>
      </c>
      <c r="X84" s="193">
        <v>14828</v>
      </c>
      <c r="Y84" s="127">
        <v>14856</v>
      </c>
      <c r="Z84" s="180">
        <v>14868</v>
      </c>
      <c r="AA84" s="193">
        <v>14890</v>
      </c>
      <c r="AB84" s="1215">
        <v>14916</v>
      </c>
      <c r="AC84" s="1216">
        <v>14930</v>
      </c>
      <c r="AD84" s="1214">
        <v>14951</v>
      </c>
    </row>
    <row r="85" spans="1:31" x14ac:dyDescent="0.35">
      <c r="B85" t="s">
        <v>1898</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93">
        <f>'Federal and State Purchases'!AE36</f>
        <v>19745</v>
      </c>
      <c r="M85" s="127">
        <f>'Federal and State Purchases'!AF36</f>
        <v>19788</v>
      </c>
      <c r="N85" s="180">
        <f>'Federal and State Purchases'!AG36</f>
        <v>19837</v>
      </c>
      <c r="O85" s="193">
        <f>'Federal and State Purchases'!AH36</f>
        <v>19865</v>
      </c>
      <c r="P85" s="127">
        <f>'Federal and State Purchases'!AI36</f>
        <v>19914</v>
      </c>
      <c r="Q85" s="180">
        <f>'Federal and State Purchases'!AJ36</f>
        <v>19958</v>
      </c>
      <c r="R85" s="193">
        <f>'Federal and State Purchases'!AK36</f>
        <v>20017</v>
      </c>
      <c r="S85" s="127">
        <f>'Federal and State Purchases'!AL36</f>
        <v>20048</v>
      </c>
      <c r="T85" s="180">
        <f>'Federal and State Purchases'!AM36</f>
        <v>20115</v>
      </c>
      <c r="U85" s="193">
        <f>'Federal and State Purchases'!AN36</f>
        <v>20162</v>
      </c>
      <c r="V85" s="127">
        <f>'Federal and State Purchases'!AO36</f>
        <v>20210</v>
      </c>
      <c r="W85" s="180">
        <f>'Federal and State Purchases'!AP36</f>
        <v>20276</v>
      </c>
      <c r="X85" s="193">
        <f>'Federal and State Purchases'!AQ36</f>
        <v>20276</v>
      </c>
      <c r="Y85" s="127">
        <f>'Federal and State Purchases'!AR36</f>
        <v>20285</v>
      </c>
      <c r="Z85" s="180">
        <f>'Federal and State Purchases'!AS36</f>
        <v>20304</v>
      </c>
      <c r="AA85" s="193">
        <f>'Federal and State Purchases'!AT36</f>
        <v>20349</v>
      </c>
      <c r="AB85" s="127">
        <f>'Federal and State Purchases'!AU36</f>
        <v>20389</v>
      </c>
      <c r="AC85" s="180">
        <f>'Federal and State Purchases'!AV36</f>
        <v>20416</v>
      </c>
      <c r="AD85" s="193">
        <f>'Federal and State Purchases'!AW36</f>
        <v>20455</v>
      </c>
    </row>
    <row r="86" spans="1:31" x14ac:dyDescent="0.35">
      <c r="A86" t="s">
        <v>399</v>
      </c>
      <c r="B86" t="s">
        <v>398</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456588</v>
      </c>
      <c r="AB86">
        <v>456781</v>
      </c>
      <c r="AC86">
        <v>458816</v>
      </c>
      <c r="AD86" s="57"/>
    </row>
    <row r="87" spans="1:31" x14ac:dyDescent="0.35">
      <c r="C87" s="75"/>
      <c r="D87" s="75"/>
      <c r="E87" s="75"/>
      <c r="F87" s="75"/>
      <c r="G87" s="75"/>
      <c r="H87" s="75"/>
      <c r="I87" s="75"/>
      <c r="J87" s="75"/>
      <c r="K87" s="75"/>
      <c r="L87" s="75"/>
      <c r="M87" s="75"/>
      <c r="N87" s="75"/>
      <c r="O87" s="75"/>
      <c r="P87" s="75"/>
      <c r="Q87" s="75"/>
      <c r="R87" s="75"/>
      <c r="S87" s="75"/>
      <c r="T87" s="75"/>
      <c r="U87" s="75"/>
      <c r="V87" s="75"/>
      <c r="W87" s="75"/>
      <c r="X87" s="75"/>
      <c r="Y87" s="75"/>
      <c r="Z87" s="75"/>
    </row>
    <row r="88" spans="1:31" x14ac:dyDescent="0.35">
      <c r="A88" s="165"/>
    </row>
    <row r="89" spans="1:31" ht="16.5" customHeight="1" x14ac:dyDescent="0.35">
      <c r="A89" s="165"/>
      <c r="B89" t="s">
        <v>1951</v>
      </c>
      <c r="I89" s="124">
        <v>119.00700000000001</v>
      </c>
      <c r="J89" s="124">
        <v>119.401</v>
      </c>
      <c r="K89" s="124">
        <v>119.553</v>
      </c>
      <c r="L89" s="124">
        <v>119.97</v>
      </c>
      <c r="M89" s="124">
        <v>120.14</v>
      </c>
      <c r="N89" s="124">
        <v>120.435</v>
      </c>
      <c r="O89" s="124">
        <v>120.598</v>
      </c>
      <c r="P89" s="124">
        <v>120.965</v>
      </c>
      <c r="Q89" s="124">
        <v>121.387</v>
      </c>
      <c r="R89" s="124">
        <v>121.42100000000001</v>
      </c>
      <c r="S89" s="124">
        <v>121.41500000000001</v>
      </c>
      <c r="T89" s="124">
        <v>121.602</v>
      </c>
      <c r="U89" s="124">
        <v>122.11499999999999</v>
      </c>
      <c r="V89" s="124">
        <v>122.494</v>
      </c>
      <c r="W89" s="124">
        <v>122.91200000000001</v>
      </c>
      <c r="X89" s="124">
        <v>123.23399999999999</v>
      </c>
      <c r="Y89" s="1436">
        <v>123.224</v>
      </c>
      <c r="Z89" s="1436">
        <v>123.369</v>
      </c>
      <c r="AA89" s="1436">
        <v>123.56399999999999</v>
      </c>
      <c r="AB89" s="1436">
        <v>123.708</v>
      </c>
      <c r="AC89" s="1436">
        <v>123.931</v>
      </c>
      <c r="AD89" s="1436">
        <v>124.226</v>
      </c>
    </row>
    <row r="90" spans="1:31" ht="72.650000000000006" customHeight="1" x14ac:dyDescent="0.35">
      <c r="A90" s="165"/>
      <c r="B90" s="89" t="s">
        <v>1950</v>
      </c>
      <c r="AB90">
        <f>(AB89/Y89)^4-1</f>
        <v>1.5804033684145846E-2</v>
      </c>
      <c r="AC90">
        <f t="shared" ref="AC90:AD90" si="0">(AC89/Z89)^4-1</f>
        <v>1.8346648228101836E-2</v>
      </c>
      <c r="AD90">
        <f t="shared" si="0"/>
        <v>2.1603025856023583E-2</v>
      </c>
      <c r="AE90" s="98">
        <f>Deflators!AB12</f>
        <v>2.19858362979925E-2</v>
      </c>
    </row>
    <row r="94" spans="1:31" x14ac:dyDescent="0.35">
      <c r="Y94" s="1436"/>
      <c r="Z94" s="1436"/>
      <c r="AA94" s="1436"/>
      <c r="AB94" s="1436"/>
      <c r="AC94" s="1436"/>
      <c r="AD94" s="1436"/>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F21" sqref="F21"/>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83" t="s">
        <v>176</v>
      </c>
      <c r="D1" s="83" t="s">
        <v>177</v>
      </c>
      <c r="E1" s="83" t="s">
        <v>764</v>
      </c>
      <c r="F1" s="83" t="s">
        <v>765</v>
      </c>
      <c r="G1" s="83" t="s">
        <v>766</v>
      </c>
      <c r="H1" s="198" t="s">
        <v>1905</v>
      </c>
      <c r="I1" s="83" t="s">
        <v>1157</v>
      </c>
      <c r="J1" s="83" t="s">
        <v>1158</v>
      </c>
    </row>
    <row r="2" spans="1:10" x14ac:dyDescent="0.35">
      <c r="A2" s="82" t="s">
        <v>1707</v>
      </c>
      <c r="B2" t="s">
        <v>1725</v>
      </c>
      <c r="C2" s="79">
        <f>Deflators!AB23</f>
        <v>5.4517150270614323E-3</v>
      </c>
      <c r="D2" s="79">
        <f>Deflators!AC23</f>
        <v>5.1835649338582979E-3</v>
      </c>
      <c r="E2" s="199">
        <f>Deflators!AD23</f>
        <v>5.1542012116922997E-3</v>
      </c>
      <c r="F2" s="199">
        <f>Deflators!AE23</f>
        <v>5.1374641193888682E-3</v>
      </c>
      <c r="G2" s="199">
        <f>Deflators!AF23</f>
        <v>4.9902256196157069E-3</v>
      </c>
      <c r="H2" s="199">
        <f>Deflators!AG23</f>
        <v>4.9039461559314823E-3</v>
      </c>
      <c r="I2" s="199">
        <f>Deflators!AH23</f>
        <v>4.8438426974866111E-3</v>
      </c>
      <c r="J2" s="199">
        <f>Deflators!AI23</f>
        <v>4.7938367205500043E-3</v>
      </c>
    </row>
    <row r="3" spans="1:10" x14ac:dyDescent="0.35">
      <c r="A3" s="68" t="s">
        <v>1721</v>
      </c>
      <c r="B3" t="s">
        <v>1726</v>
      </c>
      <c r="C3" s="79">
        <f>Deflators!AB24</f>
        <v>6.2998972849144241E-3</v>
      </c>
      <c r="D3" s="79">
        <f>Deflators!AC24</f>
        <v>5.5479503472453118E-3</v>
      </c>
      <c r="E3" s="199">
        <f>Deflators!AD24</f>
        <v>5.3836118045782477E-3</v>
      </c>
      <c r="F3" s="199">
        <f>Deflators!AE24</f>
        <v>5.3253056701454415E-3</v>
      </c>
      <c r="G3" s="199">
        <f>Deflators!AF24</f>
        <v>5.3396658288893395E-3</v>
      </c>
      <c r="H3" s="199">
        <f>Deflators!AG24</f>
        <v>3.9606243564216381E-3</v>
      </c>
      <c r="I3" s="199">
        <f>Deflators!AH24</f>
        <v>4.1770231682358716E-3</v>
      </c>
      <c r="J3" s="199">
        <f>Deflators!AI24</f>
        <v>4.4453920111928724E-3</v>
      </c>
    </row>
    <row r="4" spans="1:10" x14ac:dyDescent="0.35">
      <c r="A4" s="68" t="s">
        <v>1722</v>
      </c>
      <c r="B4" t="s">
        <v>1727</v>
      </c>
      <c r="C4" s="79">
        <f>Deflators!AB25</f>
        <v>5.8321713328954861E-3</v>
      </c>
      <c r="D4" s="79">
        <f>Deflators!AC25</f>
        <v>5.9029392406417802E-3</v>
      </c>
      <c r="E4" s="199">
        <f>Deflators!AD25</f>
        <v>5.8224429274513767E-3</v>
      </c>
      <c r="F4" s="199">
        <f>Deflators!AE25</f>
        <v>5.7244931689288681E-3</v>
      </c>
      <c r="G4" s="199">
        <f>Deflators!AF25</f>
        <v>5.6709194747803782E-3</v>
      </c>
      <c r="H4" s="199">
        <f>Deflators!AG25</f>
        <v>5.6830615202378976E-3</v>
      </c>
      <c r="I4" s="199">
        <f>Deflators!AH25</f>
        <v>5.7131709559976596E-3</v>
      </c>
      <c r="J4" s="199">
        <f>Deflators!AI25</f>
        <v>5.8095775409217065E-3</v>
      </c>
    </row>
    <row r="5" spans="1:10" x14ac:dyDescent="0.35">
      <c r="A5" s="68" t="s">
        <v>1723</v>
      </c>
      <c r="B5" t="s">
        <v>1728</v>
      </c>
      <c r="C5" s="79">
        <f>Deflators!AB26</f>
        <v>5.8321713328954861E-3</v>
      </c>
      <c r="D5" s="79">
        <f>Deflators!AC26</f>
        <v>5.9029392406417802E-3</v>
      </c>
      <c r="E5" s="199">
        <f>Deflators!AD26</f>
        <v>5.8224429274513767E-3</v>
      </c>
      <c r="F5" s="199">
        <f>Deflators!AE26</f>
        <v>5.7244931689288681E-3</v>
      </c>
      <c r="G5" s="199">
        <f>Deflators!AF26</f>
        <v>5.6709194747803782E-3</v>
      </c>
      <c r="H5" s="199">
        <f>Deflators!AG26</f>
        <v>5.6830615202378976E-3</v>
      </c>
      <c r="I5" s="199">
        <f>Deflators!AH26</f>
        <v>5.7131709559976596E-3</v>
      </c>
      <c r="J5" s="199">
        <f>Deflators!AI26</f>
        <v>5.8095775409217065E-3</v>
      </c>
    </row>
    <row r="6" spans="1:10" x14ac:dyDescent="0.35">
      <c r="A6" s="57" t="s">
        <v>1724</v>
      </c>
      <c r="B6" t="s">
        <v>1729</v>
      </c>
      <c r="C6" s="79">
        <f>Deflators!AB27</f>
        <v>5.8321713328954861E-3</v>
      </c>
      <c r="D6" s="79">
        <f>Deflators!AC27</f>
        <v>5.9029392406417802E-3</v>
      </c>
      <c r="E6" s="199">
        <f>Deflators!AD27</f>
        <v>5.8224429274513767E-3</v>
      </c>
      <c r="F6" s="199">
        <f>Deflators!AE27</f>
        <v>5.7244931689288681E-3</v>
      </c>
      <c r="G6" s="199">
        <f>Deflators!AF27</f>
        <v>5.6709194747803782E-3</v>
      </c>
      <c r="H6" s="199">
        <f>Deflators!AG27</f>
        <v>5.6830615202378976E-3</v>
      </c>
      <c r="I6" s="199">
        <f>Deflators!AH27</f>
        <v>5.7131709559976596E-3</v>
      </c>
      <c r="J6" s="199">
        <f>Deflators!AI27</f>
        <v>5.8095775409217065E-3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topLeftCell="M1"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267" t="s">
        <v>253</v>
      </c>
      <c r="B1" s="1267"/>
      <c r="C1" s="1267"/>
      <c r="D1" s="1267"/>
      <c r="E1" s="1267"/>
      <c r="F1" s="1267"/>
      <c r="G1" s="1267"/>
      <c r="H1" s="1267"/>
      <c r="I1" s="1267"/>
      <c r="J1" s="1267"/>
      <c r="K1" s="1267"/>
      <c r="L1" s="1267"/>
      <c r="M1" s="1267"/>
      <c r="N1" s="1267"/>
      <c r="O1" s="1267"/>
    </row>
    <row r="2" spans="1:45" ht="31.4" customHeight="1" x14ac:dyDescent="0.35">
      <c r="A2" s="200"/>
      <c r="B2" s="200" t="s">
        <v>179</v>
      </c>
      <c r="C2" s="206">
        <v>1</v>
      </c>
      <c r="D2" s="206">
        <f>C2+1</f>
        <v>2</v>
      </c>
      <c r="E2" s="206">
        <f t="shared" ref="E2:N2" si="0">D2+1</f>
        <v>3</v>
      </c>
      <c r="F2" s="206">
        <f t="shared" si="0"/>
        <v>4</v>
      </c>
      <c r="G2" s="206">
        <f t="shared" si="0"/>
        <v>5</v>
      </c>
      <c r="H2" s="206">
        <f t="shared" si="0"/>
        <v>6</v>
      </c>
      <c r="I2" s="206">
        <f t="shared" si="0"/>
        <v>7</v>
      </c>
      <c r="J2" s="206">
        <f t="shared" si="0"/>
        <v>8</v>
      </c>
      <c r="K2" s="206">
        <f t="shared" si="0"/>
        <v>9</v>
      </c>
      <c r="L2" s="206">
        <f t="shared" si="0"/>
        <v>10</v>
      </c>
      <c r="M2" s="206">
        <f t="shared" si="0"/>
        <v>11</v>
      </c>
      <c r="N2" s="206">
        <f t="shared" si="0"/>
        <v>12</v>
      </c>
      <c r="O2" s="204" t="s">
        <v>254</v>
      </c>
    </row>
    <row r="3" spans="1:45" ht="15.65" customHeight="1" x14ac:dyDescent="0.35">
      <c r="A3" s="201" t="s">
        <v>255</v>
      </c>
      <c r="B3" s="201" t="s">
        <v>256</v>
      </c>
      <c r="C3" s="79">
        <v>0.22500000000000001</v>
      </c>
      <c r="D3" s="79">
        <v>0.22500000000000001</v>
      </c>
      <c r="E3" s="79">
        <v>0.22500000000000001</v>
      </c>
      <c r="F3" s="79">
        <v>0.22500000000000001</v>
      </c>
      <c r="G3" s="207">
        <v>0</v>
      </c>
      <c r="H3" s="207">
        <v>0</v>
      </c>
      <c r="I3" s="207">
        <v>0</v>
      </c>
      <c r="J3" s="207">
        <v>0</v>
      </c>
      <c r="K3" s="207">
        <v>0</v>
      </c>
      <c r="L3" s="207">
        <v>0</v>
      </c>
      <c r="M3" s="207">
        <v>0</v>
      </c>
      <c r="N3" s="207">
        <v>0</v>
      </c>
      <c r="O3" s="205">
        <f>SUM(C3:N3)</f>
        <v>0.9</v>
      </c>
      <c r="P3" s="79"/>
      <c r="Q3" s="79"/>
      <c r="R3" s="79"/>
      <c r="S3" s="79"/>
      <c r="T3" s="207"/>
      <c r="U3" s="207"/>
      <c r="V3" s="207"/>
      <c r="W3" s="207"/>
      <c r="X3" s="207"/>
      <c r="Y3" s="207"/>
      <c r="Z3" s="207"/>
      <c r="AA3" s="207"/>
      <c r="AC3" s="80"/>
      <c r="AD3" s="80"/>
      <c r="AE3" s="80"/>
      <c r="AF3" s="80"/>
      <c r="AG3" s="80"/>
      <c r="AH3" s="80"/>
      <c r="AI3" s="80"/>
      <c r="AJ3" s="80"/>
      <c r="AK3" s="80"/>
      <c r="AL3" s="80"/>
      <c r="AM3" s="80"/>
      <c r="AN3" s="80"/>
      <c r="AO3" s="80"/>
      <c r="AP3" s="80"/>
      <c r="AQ3" s="80"/>
      <c r="AR3" s="80"/>
      <c r="AS3" s="80"/>
    </row>
    <row r="4" spans="1:45" ht="15.65" customHeight="1" x14ac:dyDescent="0.35">
      <c r="A4" s="203" t="s">
        <v>257</v>
      </c>
      <c r="B4" s="203" t="s">
        <v>258</v>
      </c>
      <c r="C4" s="79">
        <v>-3.3333333333333333E-2</v>
      </c>
      <c r="D4" s="79">
        <v>-3.3333333333333333E-2</v>
      </c>
      <c r="E4" s="79">
        <v>-3.3333333333333333E-2</v>
      </c>
      <c r="F4" s="79">
        <v>-3.3333333333333333E-2</v>
      </c>
      <c r="G4" s="79">
        <v>-3.3333333333333333E-2</v>
      </c>
      <c r="H4" s="79">
        <v>-3.3333333333333333E-2</v>
      </c>
      <c r="I4" s="79">
        <v>-3.3333333333333333E-2</v>
      </c>
      <c r="J4" s="79">
        <v>-3.3333333333333333E-2</v>
      </c>
      <c r="K4" s="79">
        <v>-3.3333333333333333E-2</v>
      </c>
      <c r="L4" s="79">
        <v>-3.3333333333333333E-2</v>
      </c>
      <c r="M4" s="79">
        <v>-3.3333333333333333E-2</v>
      </c>
      <c r="N4" s="79">
        <v>-3.3333333333333333E-2</v>
      </c>
      <c r="O4" s="205">
        <f>SUM(C4:N4)</f>
        <v>-0.39999999999999997</v>
      </c>
      <c r="P4" s="79"/>
      <c r="Q4" s="79"/>
      <c r="R4" s="79"/>
      <c r="S4" s="79"/>
      <c r="T4" s="79"/>
      <c r="U4" s="79"/>
      <c r="V4" s="79"/>
      <c r="W4" s="79"/>
      <c r="X4" s="79"/>
      <c r="Y4" s="79"/>
      <c r="Z4" s="79"/>
      <c r="AA4" s="79"/>
      <c r="AC4" s="80"/>
      <c r="AD4" s="80"/>
      <c r="AE4" s="80"/>
      <c r="AF4" s="80"/>
      <c r="AG4" s="80"/>
      <c r="AH4" s="80"/>
      <c r="AI4" s="80"/>
      <c r="AJ4" s="80"/>
      <c r="AK4" s="80"/>
      <c r="AL4" s="80"/>
      <c r="AM4" s="80"/>
      <c r="AN4" s="80"/>
    </row>
    <row r="5" spans="1:45" ht="15.65" customHeight="1" x14ac:dyDescent="0.35">
      <c r="A5" s="203" t="s">
        <v>259</v>
      </c>
      <c r="B5" s="203" t="s">
        <v>260</v>
      </c>
      <c r="C5" s="79">
        <v>-0.12</v>
      </c>
      <c r="D5" s="79">
        <v>-0.12</v>
      </c>
      <c r="E5" s="79">
        <v>-0.06</v>
      </c>
      <c r="F5" s="79">
        <v>-0.06</v>
      </c>
      <c r="G5" s="79">
        <v>-0.06</v>
      </c>
      <c r="H5" s="79">
        <v>-0.06</v>
      </c>
      <c r="I5" s="79">
        <v>-0.06</v>
      </c>
      <c r="J5" s="79">
        <v>-0.06</v>
      </c>
      <c r="K5" s="79">
        <v>0</v>
      </c>
      <c r="L5" s="79">
        <v>0</v>
      </c>
      <c r="M5" s="79">
        <v>0</v>
      </c>
      <c r="N5" s="79">
        <v>0</v>
      </c>
      <c r="O5" s="205">
        <f t="shared" ref="O5:O13" si="1">SUM(C5:N5)</f>
        <v>-0.60000000000000009</v>
      </c>
      <c r="P5" s="79"/>
      <c r="Q5" s="79"/>
      <c r="R5" s="79"/>
      <c r="S5" s="79"/>
      <c r="T5" s="79"/>
      <c r="U5" s="79"/>
      <c r="V5" s="79"/>
      <c r="W5" s="79"/>
      <c r="X5" s="79"/>
      <c r="Y5" s="79"/>
      <c r="Z5" s="79"/>
      <c r="AA5" s="79"/>
      <c r="AC5" s="80"/>
      <c r="AD5" s="80"/>
      <c r="AE5" s="80"/>
      <c r="AF5" s="80"/>
      <c r="AG5" s="80"/>
      <c r="AH5" s="80"/>
      <c r="AI5" s="80"/>
      <c r="AJ5" s="80"/>
      <c r="AK5" s="80"/>
      <c r="AL5" s="80"/>
      <c r="AM5" s="80"/>
      <c r="AN5" s="80"/>
    </row>
    <row r="6" spans="1:45" ht="15.65" customHeight="1" x14ac:dyDescent="0.35">
      <c r="A6" s="201" t="s">
        <v>261</v>
      </c>
      <c r="B6" s="201" t="s">
        <v>213</v>
      </c>
      <c r="C6" s="79">
        <v>0.24499999999999997</v>
      </c>
      <c r="D6" s="79">
        <v>0.105</v>
      </c>
      <c r="E6" s="79">
        <v>5.5999999999999994E-2</v>
      </c>
      <c r="F6" s="79">
        <v>5.5999999999999994E-2</v>
      </c>
      <c r="G6" s="79">
        <v>5.5999999999999994E-2</v>
      </c>
      <c r="H6" s="79">
        <v>5.5999999999999994E-2</v>
      </c>
      <c r="I6" s="79">
        <v>5.5999999999999994E-2</v>
      </c>
      <c r="J6" s="79">
        <v>5.5999999999999994E-2</v>
      </c>
      <c r="K6" s="79">
        <v>0</v>
      </c>
      <c r="L6" s="79">
        <v>0</v>
      </c>
      <c r="M6" s="79">
        <v>0</v>
      </c>
      <c r="N6" s="79">
        <v>0</v>
      </c>
      <c r="O6" s="205">
        <f t="shared" si="1"/>
        <v>0.68600000000000017</v>
      </c>
      <c r="P6" s="79"/>
      <c r="Q6" s="79"/>
      <c r="R6" s="79"/>
      <c r="S6" s="79"/>
      <c r="T6" s="79"/>
      <c r="U6" s="79"/>
      <c r="V6" s="79"/>
      <c r="W6" s="79"/>
      <c r="X6" s="79"/>
      <c r="Y6" s="79"/>
      <c r="Z6" s="79"/>
      <c r="AA6" s="79"/>
      <c r="AC6" s="80"/>
      <c r="AD6" s="80"/>
      <c r="AE6" s="80"/>
      <c r="AF6" s="80"/>
      <c r="AG6" s="80"/>
      <c r="AH6" s="80"/>
      <c r="AI6" s="80"/>
      <c r="AJ6" s="80"/>
      <c r="AK6" s="80"/>
      <c r="AL6" s="80"/>
      <c r="AM6" s="80"/>
      <c r="AN6" s="80"/>
    </row>
    <row r="7" spans="1:45" ht="15.65" customHeight="1" x14ac:dyDescent="0.35">
      <c r="A7" s="201" t="s">
        <v>262</v>
      </c>
      <c r="B7" s="201" t="s">
        <v>263</v>
      </c>
      <c r="C7" s="79">
        <v>0.315</v>
      </c>
      <c r="D7" s="79">
        <v>0.315</v>
      </c>
      <c r="E7" s="79">
        <v>9.0000000000000011E-2</v>
      </c>
      <c r="F7" s="79">
        <v>9.0000000000000011E-2</v>
      </c>
      <c r="G7" s="79">
        <v>4.5000000000000005E-2</v>
      </c>
      <c r="H7" s="79">
        <v>4.5000000000000005E-2</v>
      </c>
      <c r="I7" s="79">
        <v>0</v>
      </c>
      <c r="J7" s="79">
        <v>0</v>
      </c>
      <c r="K7" s="79">
        <v>0</v>
      </c>
      <c r="L7" s="79">
        <v>0</v>
      </c>
      <c r="M7" s="79">
        <v>0</v>
      </c>
      <c r="N7" s="79">
        <v>0</v>
      </c>
      <c r="O7" s="205">
        <f t="shared" si="1"/>
        <v>0.9</v>
      </c>
      <c r="P7" s="79"/>
      <c r="Q7" s="79"/>
      <c r="R7" s="79"/>
      <c r="S7" s="79"/>
      <c r="T7" s="79"/>
      <c r="U7" s="79"/>
      <c r="V7" s="79"/>
      <c r="W7" s="79"/>
      <c r="X7" s="79"/>
      <c r="Y7" s="79"/>
      <c r="Z7" s="79"/>
      <c r="AA7" s="79"/>
      <c r="AC7" s="80"/>
      <c r="AD7" s="80"/>
      <c r="AE7" s="80"/>
      <c r="AF7" s="80"/>
      <c r="AG7" s="80"/>
      <c r="AH7" s="80"/>
      <c r="AI7" s="80"/>
      <c r="AJ7" s="80"/>
      <c r="AK7" s="80"/>
      <c r="AL7" s="80"/>
      <c r="AM7" s="80"/>
      <c r="AN7" s="80"/>
    </row>
    <row r="8" spans="1:45" ht="15.65" customHeight="1" x14ac:dyDescent="0.35">
      <c r="A8" s="201" t="s">
        <v>264</v>
      </c>
      <c r="B8" s="201" t="s">
        <v>265</v>
      </c>
      <c r="C8" s="79">
        <v>0.22500000000000001</v>
      </c>
      <c r="D8" s="79">
        <v>0.22500000000000001</v>
      </c>
      <c r="E8" s="79">
        <v>0.22500000000000001</v>
      </c>
      <c r="F8" s="79">
        <v>0.22500000000000001</v>
      </c>
      <c r="G8" s="79">
        <v>0</v>
      </c>
      <c r="H8" s="79">
        <v>0</v>
      </c>
      <c r="I8" s="79">
        <v>0</v>
      </c>
      <c r="J8" s="79">
        <v>0</v>
      </c>
      <c r="K8" s="79">
        <v>0</v>
      </c>
      <c r="L8" s="79">
        <v>0</v>
      </c>
      <c r="M8" s="79">
        <v>0</v>
      </c>
      <c r="N8" s="79">
        <v>0</v>
      </c>
      <c r="O8" s="205">
        <f t="shared" si="1"/>
        <v>0.9</v>
      </c>
      <c r="P8" s="79"/>
      <c r="Q8" s="79"/>
      <c r="R8" s="79"/>
      <c r="S8" s="79"/>
      <c r="T8" s="79"/>
      <c r="U8" s="79"/>
      <c r="V8" s="79"/>
      <c r="W8" s="79"/>
      <c r="X8" s="79"/>
      <c r="Y8" s="79"/>
      <c r="Z8" s="79"/>
      <c r="AA8" s="79"/>
      <c r="AC8" s="80"/>
      <c r="AD8" s="80"/>
      <c r="AE8" s="80"/>
      <c r="AF8" s="80"/>
      <c r="AG8" s="80"/>
      <c r="AH8" s="80"/>
      <c r="AI8" s="80"/>
      <c r="AJ8" s="80"/>
      <c r="AK8" s="80"/>
      <c r="AL8" s="80"/>
      <c r="AM8" s="80"/>
      <c r="AN8" s="80"/>
    </row>
    <row r="9" spans="1:45" ht="15.65" customHeight="1" x14ac:dyDescent="0.35">
      <c r="A9" s="201" t="s">
        <v>266</v>
      </c>
      <c r="B9" s="201" t="s">
        <v>267</v>
      </c>
      <c r="C9" s="79">
        <v>4.9500000000000002E-2</v>
      </c>
      <c r="D9" s="79">
        <v>4.2750000000000003E-2</v>
      </c>
      <c r="E9" s="79">
        <v>4.0500000000000001E-2</v>
      </c>
      <c r="F9" s="79">
        <v>3.8250000000000006E-2</v>
      </c>
      <c r="G9" s="79">
        <v>3.6000000000000004E-2</v>
      </c>
      <c r="H9" s="79">
        <v>3.6000000000000004E-2</v>
      </c>
      <c r="I9" s="79">
        <v>3.6000000000000004E-2</v>
      </c>
      <c r="J9" s="79">
        <v>3.6000000000000004E-2</v>
      </c>
      <c r="K9" s="79">
        <v>3.3750000000000002E-2</v>
      </c>
      <c r="L9" s="79">
        <v>3.3750000000000002E-2</v>
      </c>
      <c r="M9" s="79">
        <v>3.3750000000000002E-2</v>
      </c>
      <c r="N9" s="79">
        <v>3.3750000000000002E-2</v>
      </c>
      <c r="O9" s="205">
        <f t="shared" si="1"/>
        <v>0.45000000000000007</v>
      </c>
      <c r="P9" s="79"/>
      <c r="Q9" s="79"/>
      <c r="R9" s="79"/>
      <c r="S9" s="79"/>
      <c r="T9" s="79"/>
      <c r="U9" s="79"/>
      <c r="V9" s="79"/>
      <c r="W9" s="79"/>
      <c r="X9" s="79"/>
      <c r="Y9" s="79"/>
      <c r="Z9" s="79"/>
      <c r="AA9" s="79"/>
      <c r="AC9" s="80"/>
      <c r="AD9" s="80"/>
      <c r="AE9" s="80"/>
      <c r="AF9" s="80"/>
      <c r="AG9" s="80"/>
      <c r="AH9" s="80"/>
      <c r="AI9" s="80"/>
      <c r="AJ9" s="80"/>
      <c r="AK9" s="80"/>
      <c r="AL9" s="80"/>
      <c r="AM9" s="80"/>
      <c r="AN9" s="80"/>
    </row>
    <row r="10" spans="1:45" ht="15.65" customHeight="1" x14ac:dyDescent="0.35">
      <c r="A10" s="201" t="s">
        <v>268</v>
      </c>
      <c r="B10" s="201" t="s">
        <v>215</v>
      </c>
      <c r="C10" s="79">
        <v>0.14000000000000001</v>
      </c>
      <c r="D10" s="79">
        <v>0.1</v>
      </c>
      <c r="E10" s="79">
        <v>0.1</v>
      </c>
      <c r="F10" s="79">
        <v>0.05</v>
      </c>
      <c r="G10" s="79">
        <v>0.05</v>
      </c>
      <c r="H10" s="79">
        <v>0.05</v>
      </c>
      <c r="I10" s="79">
        <v>0.05</v>
      </c>
      <c r="J10" s="79">
        <v>0.05</v>
      </c>
      <c r="K10" s="79">
        <v>0.05</v>
      </c>
      <c r="L10" s="79">
        <v>0.03</v>
      </c>
      <c r="M10" s="79">
        <v>0.03</v>
      </c>
      <c r="N10" s="79">
        <v>0.03</v>
      </c>
      <c r="O10" s="205">
        <f>SUM(C10:N10)</f>
        <v>0.7300000000000002</v>
      </c>
      <c r="P10" s="79"/>
      <c r="Q10" s="79"/>
      <c r="R10" s="79"/>
      <c r="S10" s="79"/>
      <c r="T10" s="79"/>
      <c r="U10" s="79"/>
      <c r="V10" s="79"/>
      <c r="W10" s="79"/>
      <c r="X10" s="79"/>
      <c r="Y10" s="79"/>
      <c r="Z10" s="79"/>
      <c r="AA10" s="79"/>
      <c r="AC10" s="80"/>
      <c r="AD10" s="80"/>
      <c r="AE10" s="80"/>
      <c r="AF10" s="80"/>
      <c r="AG10" s="80"/>
      <c r="AH10" s="80"/>
      <c r="AI10" s="80"/>
      <c r="AJ10" s="80"/>
      <c r="AK10" s="80"/>
      <c r="AL10" s="80"/>
      <c r="AM10" s="80"/>
      <c r="AN10" s="80"/>
    </row>
    <row r="11" spans="1:45" ht="15.65" customHeight="1" x14ac:dyDescent="0.35">
      <c r="A11" s="201" t="s">
        <v>269</v>
      </c>
      <c r="B11" s="201" t="s">
        <v>270</v>
      </c>
      <c r="C11" s="79">
        <v>0.2</v>
      </c>
      <c r="D11" s="79">
        <v>0.17</v>
      </c>
      <c r="E11" s="79">
        <v>0.16</v>
      </c>
      <c r="F11" s="79">
        <v>0.15</v>
      </c>
      <c r="G11" s="79">
        <v>0.09</v>
      </c>
      <c r="H11" s="79">
        <v>0.05</v>
      </c>
      <c r="I11" s="79">
        <v>0.05</v>
      </c>
      <c r="J11" s="79">
        <v>0.04</v>
      </c>
      <c r="K11" s="79">
        <v>0</v>
      </c>
      <c r="L11" s="79">
        <v>0</v>
      </c>
      <c r="M11" s="79">
        <v>0</v>
      </c>
      <c r="N11" s="79">
        <v>0</v>
      </c>
      <c r="O11" s="205">
        <f>SUM(C11:N11)</f>
        <v>0.91000000000000014</v>
      </c>
      <c r="P11" s="79"/>
      <c r="Q11" s="79"/>
      <c r="R11" s="79"/>
      <c r="S11" s="79"/>
      <c r="T11" s="79"/>
      <c r="U11" s="79"/>
      <c r="V11" s="79"/>
      <c r="W11" s="79"/>
      <c r="X11" s="79"/>
      <c r="Y11" s="79"/>
      <c r="Z11" s="79"/>
      <c r="AA11" s="79"/>
      <c r="AC11" s="80"/>
      <c r="AD11" s="80"/>
      <c r="AE11" s="80"/>
      <c r="AF11" s="80"/>
      <c r="AG11" s="80"/>
      <c r="AH11" s="80"/>
      <c r="AI11" s="80"/>
      <c r="AJ11" s="80"/>
      <c r="AK11" s="80"/>
      <c r="AL11" s="80"/>
      <c r="AM11" s="80"/>
      <c r="AN11" s="80"/>
    </row>
    <row r="12" spans="1:45" ht="47.15" customHeight="1" x14ac:dyDescent="0.35">
      <c r="A12" s="202" t="s">
        <v>271</v>
      </c>
      <c r="B12" s="202" t="s">
        <v>272</v>
      </c>
      <c r="C12" s="79">
        <v>0.2</v>
      </c>
      <c r="D12" s="79">
        <v>0.17</v>
      </c>
      <c r="E12" s="79">
        <v>0.16</v>
      </c>
      <c r="F12" s="79">
        <v>0.15</v>
      </c>
      <c r="G12" s="79">
        <v>0.09</v>
      </c>
      <c r="H12" s="79">
        <v>0.05</v>
      </c>
      <c r="I12" s="79">
        <v>0.05</v>
      </c>
      <c r="J12" s="79">
        <v>0.04</v>
      </c>
      <c r="K12" s="79">
        <v>0</v>
      </c>
      <c r="L12" s="79">
        <v>0</v>
      </c>
      <c r="M12" s="79">
        <v>0</v>
      </c>
      <c r="N12" s="79">
        <v>0</v>
      </c>
      <c r="O12" s="205">
        <f t="shared" si="1"/>
        <v>0.91000000000000014</v>
      </c>
      <c r="P12" s="79"/>
      <c r="Q12" s="79"/>
      <c r="R12" s="79"/>
      <c r="S12" s="79"/>
      <c r="T12" s="79"/>
      <c r="U12" s="79"/>
      <c r="V12" s="79"/>
      <c r="W12" s="79"/>
      <c r="X12" s="79"/>
      <c r="Y12" s="79"/>
      <c r="Z12" s="79"/>
      <c r="AA12" s="79"/>
      <c r="AC12" s="80"/>
      <c r="AD12" s="80"/>
      <c r="AE12" s="80"/>
      <c r="AF12" s="80"/>
      <c r="AG12" s="80"/>
      <c r="AH12" s="80"/>
      <c r="AI12" s="80"/>
      <c r="AJ12" s="80"/>
      <c r="AK12" s="80"/>
      <c r="AL12" s="80"/>
      <c r="AM12" s="80"/>
      <c r="AN12" s="80"/>
    </row>
    <row r="13" spans="1:45" ht="31.4" customHeight="1" x14ac:dyDescent="0.35">
      <c r="A13" s="202" t="s">
        <v>273</v>
      </c>
      <c r="B13" s="202" t="s">
        <v>274</v>
      </c>
      <c r="C13" s="79">
        <v>0.14000000000000001</v>
      </c>
      <c r="D13" s="79">
        <v>0.1</v>
      </c>
      <c r="E13" s="79">
        <v>0.1</v>
      </c>
      <c r="F13" s="79">
        <v>0.05</v>
      </c>
      <c r="G13" s="79">
        <v>0.05</v>
      </c>
      <c r="H13" s="79">
        <v>0.05</v>
      </c>
      <c r="I13" s="79">
        <v>0.05</v>
      </c>
      <c r="J13" s="79">
        <v>0.05</v>
      </c>
      <c r="K13" s="79">
        <v>0.05</v>
      </c>
      <c r="L13" s="79">
        <v>0</v>
      </c>
      <c r="M13" s="79">
        <v>0</v>
      </c>
      <c r="N13" s="79">
        <v>0</v>
      </c>
      <c r="O13" s="205">
        <f t="shared" si="1"/>
        <v>0.64000000000000012</v>
      </c>
      <c r="P13" s="79"/>
      <c r="Q13" s="79"/>
      <c r="R13" s="79"/>
      <c r="S13" s="79"/>
      <c r="T13" s="79"/>
      <c r="U13" s="79"/>
      <c r="V13" s="79"/>
      <c r="W13" s="79"/>
      <c r="X13" s="79"/>
      <c r="Y13" s="79"/>
      <c r="Z13" s="79"/>
      <c r="AA13" s="79"/>
      <c r="AC13" s="80"/>
      <c r="AD13" s="80"/>
      <c r="AE13" s="80"/>
      <c r="AF13" s="80"/>
      <c r="AG13" s="80"/>
      <c r="AH13" s="80"/>
      <c r="AI13" s="80"/>
      <c r="AJ13" s="80"/>
      <c r="AK13" s="80"/>
      <c r="AL13" s="80"/>
      <c r="AM13" s="80"/>
      <c r="AN13" s="80"/>
    </row>
    <row r="14" spans="1:45" ht="47.15" customHeight="1" x14ac:dyDescent="0.35">
      <c r="A14" s="202" t="s">
        <v>275</v>
      </c>
      <c r="B14" s="202" t="s">
        <v>276</v>
      </c>
      <c r="C14" s="79">
        <v>0.04</v>
      </c>
      <c r="D14" s="79">
        <v>0.04</v>
      </c>
      <c r="E14" s="79">
        <v>1.7000000000000001E-2</v>
      </c>
      <c r="F14" s="79">
        <v>1.7000000000000001E-2</v>
      </c>
      <c r="G14" s="79">
        <v>1.7000000000000001E-2</v>
      </c>
      <c r="H14" s="79">
        <v>1.7000000000000001E-2</v>
      </c>
      <c r="I14" s="79">
        <v>1.7000000000000001E-2</v>
      </c>
      <c r="J14" s="79">
        <v>1.7000000000000001E-2</v>
      </c>
      <c r="K14" s="79">
        <v>1.7000000000000001E-2</v>
      </c>
      <c r="L14" s="79">
        <v>1.7000000000000001E-2</v>
      </c>
      <c r="M14" s="79">
        <v>1.7000000000000001E-2</v>
      </c>
      <c r="N14" s="79">
        <v>1.7000000000000001E-2</v>
      </c>
      <c r="O14" s="205">
        <f>SUM(C14:N14)</f>
        <v>0.25000000000000011</v>
      </c>
      <c r="P14" s="79"/>
      <c r="Q14" s="79"/>
      <c r="R14" s="79"/>
      <c r="S14" s="79"/>
      <c r="T14" s="79"/>
      <c r="U14" s="79"/>
      <c r="V14" s="79"/>
      <c r="W14" s="79"/>
      <c r="X14" s="79"/>
      <c r="Y14" s="79"/>
      <c r="Z14" s="79"/>
      <c r="AA14" s="79"/>
      <c r="AC14" s="80"/>
      <c r="AD14" s="80"/>
      <c r="AE14" s="80"/>
      <c r="AF14" s="80"/>
      <c r="AG14" s="80"/>
      <c r="AH14" s="80"/>
      <c r="AI14" s="80"/>
      <c r="AJ14" s="80"/>
      <c r="AK14" s="80"/>
      <c r="AL14" s="80"/>
      <c r="AM14" s="80"/>
      <c r="AN14" s="80"/>
    </row>
    <row r="15" spans="1:45" ht="15.75" customHeight="1" x14ac:dyDescent="0.35">
      <c r="B15" s="202"/>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P7" activePane="bottomRight" state="frozen"/>
      <selection pane="topRight" activeCell="C1" sqref="C1"/>
      <selection pane="bottomLeft" activeCell="A7" sqref="A7"/>
      <selection pane="bottomRight" activeCell="AA12" sqref="AA12"/>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37" x14ac:dyDescent="0.35">
      <c r="B1" s="1271" t="s">
        <v>53</v>
      </c>
      <c r="C1" s="1271"/>
      <c r="D1" s="1271"/>
      <c r="E1" s="1271"/>
      <c r="F1" s="1271"/>
      <c r="G1" s="1271"/>
      <c r="H1" s="1271"/>
      <c r="I1" s="1271"/>
      <c r="J1" s="1271"/>
      <c r="K1" s="1271"/>
      <c r="L1" s="1271"/>
      <c r="M1" s="1271"/>
      <c r="N1" s="1271"/>
      <c r="O1" s="1271"/>
      <c r="P1" s="1271"/>
      <c r="Q1" s="1271"/>
      <c r="R1" s="1271"/>
      <c r="S1" s="1271"/>
      <c r="T1" s="1271"/>
      <c r="U1" s="1271"/>
      <c r="V1" s="1271"/>
      <c r="W1" s="1271"/>
      <c r="X1" s="1271"/>
      <c r="Y1" s="1271"/>
      <c r="Z1" s="1271"/>
      <c r="AA1" s="1271"/>
      <c r="AB1" s="1271"/>
      <c r="AC1" s="1271"/>
      <c r="AD1" s="210"/>
      <c r="AE1" s="210"/>
      <c r="AF1" s="210"/>
      <c r="AG1" s="210"/>
      <c r="AH1" s="210"/>
    </row>
    <row r="2" spans="2:37" ht="14.25" customHeight="1" x14ac:dyDescent="0.35">
      <c r="B2" s="1272" t="s">
        <v>277</v>
      </c>
      <c r="C2" s="1272"/>
      <c r="D2" s="1272"/>
      <c r="E2" s="1272"/>
      <c r="F2" s="1272"/>
      <c r="G2" s="1272"/>
      <c r="H2" s="1272"/>
      <c r="I2" s="1272"/>
      <c r="J2" s="1272"/>
      <c r="K2" s="1272"/>
      <c r="L2" s="1272"/>
      <c r="M2" s="1272"/>
      <c r="N2" s="1272"/>
      <c r="O2" s="1272"/>
      <c r="P2" s="1272"/>
      <c r="Q2" s="1272"/>
      <c r="R2" s="1272"/>
      <c r="S2" s="1272"/>
      <c r="T2" s="1272"/>
      <c r="U2" s="1272"/>
      <c r="V2" s="1272"/>
      <c r="W2" s="1272"/>
      <c r="X2" s="1272"/>
      <c r="Y2" s="1272"/>
      <c r="Z2" s="1272"/>
      <c r="AA2" s="1272"/>
      <c r="AB2" s="1272"/>
      <c r="AC2" s="1272"/>
      <c r="AD2" s="211"/>
      <c r="AE2" s="211"/>
      <c r="AF2" s="211"/>
      <c r="AG2" s="211"/>
      <c r="AH2" s="211"/>
    </row>
    <row r="3" spans="2:37" x14ac:dyDescent="0.35">
      <c r="B3" s="1272"/>
      <c r="C3" s="1272"/>
      <c r="D3" s="1272"/>
      <c r="E3" s="1272"/>
      <c r="F3" s="1272"/>
      <c r="G3" s="1272"/>
      <c r="H3" s="1272"/>
      <c r="I3" s="1272"/>
      <c r="J3" s="1272"/>
      <c r="K3" s="1272"/>
      <c r="L3" s="1272"/>
      <c r="M3" s="1272"/>
      <c r="N3" s="1272"/>
      <c r="O3" s="1272"/>
      <c r="P3" s="1272"/>
      <c r="Q3" s="1272"/>
      <c r="R3" s="1272"/>
      <c r="S3" s="1272"/>
      <c r="T3" s="1272"/>
      <c r="U3" s="1272"/>
      <c r="V3" s="1272"/>
      <c r="W3" s="1272"/>
      <c r="X3" s="1272"/>
      <c r="Y3" s="1272"/>
      <c r="Z3" s="1272"/>
      <c r="AA3" s="1272"/>
      <c r="AB3" s="1272"/>
      <c r="AC3" s="1272"/>
      <c r="AD3" s="211"/>
      <c r="AE3" s="211"/>
      <c r="AF3" s="211"/>
      <c r="AG3" s="211"/>
      <c r="AH3" s="211"/>
    </row>
    <row r="4" spans="2:37" x14ac:dyDescent="0.35">
      <c r="B4" s="1272"/>
      <c r="C4" s="1272"/>
      <c r="D4" s="1272"/>
      <c r="E4" s="1272"/>
      <c r="F4" s="1272"/>
      <c r="G4" s="1272"/>
      <c r="H4" s="1272"/>
      <c r="I4" s="1272"/>
      <c r="J4" s="1272"/>
      <c r="K4" s="1272"/>
      <c r="L4" s="1272"/>
      <c r="M4" s="1272"/>
      <c r="N4" s="1272"/>
      <c r="O4" s="1272"/>
      <c r="P4" s="1272"/>
      <c r="Q4" s="1272"/>
      <c r="R4" s="1272"/>
      <c r="S4" s="1272"/>
      <c r="T4" s="1272"/>
      <c r="U4" s="1272"/>
      <c r="V4" s="1272"/>
      <c r="W4" s="1272"/>
      <c r="X4" s="1272"/>
      <c r="Y4" s="1272"/>
      <c r="Z4" s="1272"/>
      <c r="AA4" s="1272"/>
      <c r="AB4" s="1272"/>
      <c r="AC4" s="1272"/>
      <c r="AD4" s="211"/>
      <c r="AE4" s="211"/>
      <c r="AF4" s="211"/>
      <c r="AG4" s="211"/>
      <c r="AH4" s="211"/>
    </row>
    <row r="5" spans="2:37" x14ac:dyDescent="0.35">
      <c r="B5" s="1272"/>
      <c r="C5" s="1272"/>
      <c r="D5" s="1272"/>
      <c r="E5" s="1272"/>
      <c r="F5" s="1272"/>
      <c r="G5" s="1272"/>
      <c r="H5" s="1272"/>
      <c r="I5" s="1272"/>
      <c r="J5" s="1272"/>
      <c r="K5" s="1272"/>
      <c r="L5" s="1272"/>
      <c r="M5" s="1272"/>
      <c r="N5" s="1272"/>
      <c r="O5" s="1272"/>
      <c r="P5" s="1272"/>
      <c r="Q5" s="1272"/>
      <c r="R5" s="1272"/>
      <c r="S5" s="1272"/>
      <c r="T5" s="1272"/>
      <c r="U5" s="1272"/>
      <c r="V5" s="1272"/>
      <c r="W5" s="1272"/>
      <c r="X5" s="1272"/>
      <c r="Y5" s="1272"/>
      <c r="Z5" s="1272"/>
      <c r="AA5" s="1272"/>
      <c r="AB5" s="1272"/>
      <c r="AC5" s="1272"/>
      <c r="AD5" s="211"/>
      <c r="AE5" s="211"/>
      <c r="AF5" s="211"/>
      <c r="AG5" s="211"/>
      <c r="AH5" s="211"/>
    </row>
    <row r="6" spans="2:37" ht="38.9" customHeight="1" x14ac:dyDescent="0.35">
      <c r="B6" s="1272"/>
      <c r="C6" s="1272"/>
      <c r="D6" s="1272"/>
      <c r="E6" s="1272"/>
      <c r="F6" s="1272"/>
      <c r="G6" s="1272"/>
      <c r="H6" s="1272"/>
      <c r="I6" s="1272"/>
      <c r="J6" s="1272"/>
      <c r="K6" s="1272"/>
      <c r="L6" s="1272"/>
      <c r="M6" s="1272"/>
      <c r="N6" s="1272"/>
      <c r="O6" s="1272"/>
      <c r="P6" s="1272"/>
      <c r="Q6" s="1272"/>
      <c r="R6" s="1272"/>
      <c r="S6" s="1272"/>
      <c r="T6" s="1272"/>
      <c r="U6" s="1272"/>
      <c r="V6" s="1272"/>
      <c r="W6" s="1272"/>
      <c r="X6" s="1272"/>
      <c r="Y6" s="1272"/>
      <c r="Z6" s="1272"/>
      <c r="AA6" s="1272"/>
      <c r="AB6" s="1272"/>
      <c r="AC6" s="1272"/>
      <c r="AD6" s="211"/>
      <c r="AE6" s="211"/>
      <c r="AF6" s="211"/>
      <c r="AG6" s="211"/>
      <c r="AH6" s="211"/>
    </row>
    <row r="7" spans="2:37" x14ac:dyDescent="0.35">
      <c r="B7" s="262"/>
      <c r="C7" s="262"/>
      <c r="D7" s="262"/>
      <c r="E7" s="262"/>
      <c r="F7" s="262"/>
      <c r="G7" s="262"/>
      <c r="H7" s="263"/>
      <c r="I7" s="263"/>
      <c r="J7" s="263"/>
      <c r="K7" s="263"/>
      <c r="L7" s="263"/>
      <c r="M7" s="263"/>
      <c r="N7" s="263"/>
      <c r="O7" s="263"/>
      <c r="P7" s="263"/>
      <c r="Q7" s="263"/>
      <c r="R7" s="263"/>
      <c r="S7" s="263"/>
      <c r="T7" s="263"/>
      <c r="U7" s="263"/>
      <c r="V7" s="263"/>
    </row>
    <row r="8" spans="2:37" ht="14.9" customHeight="1" x14ac:dyDescent="0.35">
      <c r="B8" s="1276" t="s">
        <v>278</v>
      </c>
      <c r="C8" s="1277"/>
      <c r="D8" s="1280" t="s">
        <v>279</v>
      </c>
      <c r="E8" s="1290"/>
      <c r="F8" s="1290"/>
      <c r="G8" s="1290"/>
      <c r="H8" s="1290"/>
      <c r="I8" s="1290"/>
      <c r="J8" s="1290"/>
      <c r="K8" s="1290"/>
      <c r="L8" s="1290"/>
      <c r="M8" s="1290"/>
      <c r="N8" s="1290"/>
      <c r="O8" s="1290"/>
      <c r="P8" s="1290"/>
      <c r="Q8" s="1290"/>
      <c r="R8" s="1290"/>
      <c r="S8" s="1290"/>
      <c r="T8" s="1290"/>
      <c r="U8" s="1291"/>
      <c r="V8" s="1279"/>
      <c r="W8" s="1286" t="s">
        <v>280</v>
      </c>
      <c r="X8" s="1287"/>
      <c r="Y8" s="1288"/>
      <c r="Z8" s="1288"/>
      <c r="AA8" s="1288"/>
      <c r="AB8" s="1288"/>
      <c r="AC8" s="1287"/>
      <c r="AD8" s="1289"/>
      <c r="AE8" s="237"/>
      <c r="AF8" s="237"/>
      <c r="AG8" s="237"/>
      <c r="AH8" s="237"/>
    </row>
    <row r="9" spans="2:37" ht="12.75" customHeight="1" x14ac:dyDescent="0.35">
      <c r="B9" s="1278"/>
      <c r="C9" s="1279"/>
      <c r="D9" s="212">
        <v>2018</v>
      </c>
      <c r="E9" s="1273">
        <v>2019</v>
      </c>
      <c r="F9" s="1274"/>
      <c r="G9" s="1274"/>
      <c r="H9" s="1275"/>
      <c r="I9" s="1273">
        <v>2020</v>
      </c>
      <c r="J9" s="1274"/>
      <c r="K9" s="1274"/>
      <c r="L9" s="1275"/>
      <c r="M9" s="1282">
        <v>2021</v>
      </c>
      <c r="N9" s="1283"/>
      <c r="O9" s="1283"/>
      <c r="P9" s="1284"/>
      <c r="Q9" s="1285">
        <v>2022</v>
      </c>
      <c r="R9" s="1285"/>
      <c r="S9" s="258"/>
      <c r="T9" s="284"/>
      <c r="U9" s="238"/>
      <c r="V9" s="284">
        <v>2023</v>
      </c>
      <c r="W9" s="285"/>
      <c r="X9" s="257"/>
      <c r="Y9" s="1268">
        <v>2024</v>
      </c>
      <c r="Z9" s="1269"/>
      <c r="AA9" s="1269"/>
      <c r="AB9" s="1270"/>
      <c r="AC9" s="1268">
        <v>2025</v>
      </c>
      <c r="AD9" s="1269"/>
      <c r="AE9" s="1269"/>
      <c r="AF9" s="1269"/>
      <c r="AG9" s="1268">
        <v>2026</v>
      </c>
      <c r="AH9" s="1269"/>
      <c r="AI9" s="1269"/>
      <c r="AJ9" s="1270"/>
    </row>
    <row r="10" spans="2:37" ht="14.9" customHeight="1" x14ac:dyDescent="0.35">
      <c r="B10" s="1280"/>
      <c r="C10" s="1281"/>
      <c r="D10" s="212" t="s">
        <v>281</v>
      </c>
      <c r="E10" s="212" t="s">
        <v>282</v>
      </c>
      <c r="F10" s="213" t="s">
        <v>283</v>
      </c>
      <c r="G10" s="213" t="s">
        <v>238</v>
      </c>
      <c r="H10" s="214" t="s">
        <v>281</v>
      </c>
      <c r="I10" s="213" t="s">
        <v>282</v>
      </c>
      <c r="J10" s="213" t="s">
        <v>283</v>
      </c>
      <c r="K10" s="213" t="s">
        <v>238</v>
      </c>
      <c r="L10" s="213" t="s">
        <v>281</v>
      </c>
      <c r="M10" s="281" t="s">
        <v>282</v>
      </c>
      <c r="N10" s="282" t="s">
        <v>283</v>
      </c>
      <c r="O10" s="282" t="s">
        <v>238</v>
      </c>
      <c r="P10" s="280" t="s">
        <v>281</v>
      </c>
      <c r="Q10" s="213" t="s">
        <v>282</v>
      </c>
      <c r="R10" s="213" t="s">
        <v>283</v>
      </c>
      <c r="S10" s="213" t="s">
        <v>238</v>
      </c>
      <c r="T10" s="213" t="s">
        <v>281</v>
      </c>
      <c r="U10" s="281" t="s">
        <v>282</v>
      </c>
      <c r="V10" s="282" t="s">
        <v>283</v>
      </c>
      <c r="W10" s="267" t="s">
        <v>238</v>
      </c>
      <c r="X10" s="268" t="s">
        <v>281</v>
      </c>
      <c r="Y10" s="266" t="s">
        <v>282</v>
      </c>
      <c r="Z10" s="264" t="s">
        <v>283</v>
      </c>
      <c r="AA10" s="267" t="s">
        <v>238</v>
      </c>
      <c r="AB10" s="268" t="s">
        <v>281</v>
      </c>
      <c r="AC10" s="266" t="s">
        <v>282</v>
      </c>
      <c r="AD10" s="264" t="s">
        <v>283</v>
      </c>
      <c r="AE10" s="267" t="s">
        <v>238</v>
      </c>
      <c r="AF10" s="267" t="s">
        <v>281</v>
      </c>
      <c r="AG10" s="222" t="s">
        <v>282</v>
      </c>
      <c r="AH10" s="264" t="s">
        <v>283</v>
      </c>
      <c r="AI10" s="264" t="s">
        <v>238</v>
      </c>
      <c r="AJ10" s="287" t="s">
        <v>281</v>
      </c>
    </row>
    <row r="11" spans="2:37" x14ac:dyDescent="0.35">
      <c r="B11" s="248" t="s">
        <v>102</v>
      </c>
      <c r="C11" s="269" t="s">
        <v>284</v>
      </c>
      <c r="D11" s="250">
        <f>'Haver Pivoted'!GO14</f>
        <v>27.1</v>
      </c>
      <c r="E11" s="283">
        <f>'Haver Pivoted'!GP14</f>
        <v>29.6</v>
      </c>
      <c r="F11" s="283">
        <f>'Haver Pivoted'!GQ14</f>
        <v>27.3</v>
      </c>
      <c r="G11" s="283">
        <f>'Haver Pivoted'!GR14</f>
        <v>26.4</v>
      </c>
      <c r="H11" s="283">
        <f>'Haver Pivoted'!GS14</f>
        <v>26.7</v>
      </c>
      <c r="I11" s="283">
        <f>'Haver Pivoted'!GT14</f>
        <v>40.1</v>
      </c>
      <c r="J11" s="283">
        <f>'Haver Pivoted'!GU14</f>
        <v>951.5</v>
      </c>
      <c r="K11" s="283">
        <f>'Haver Pivoted'!GV14</f>
        <v>800</v>
      </c>
      <c r="L11" s="283">
        <f>'Haver Pivoted'!GW14</f>
        <v>322.7</v>
      </c>
      <c r="M11" s="283">
        <f>'Haver Pivoted'!GX14</f>
        <v>583.79999999999995</v>
      </c>
      <c r="N11" s="283">
        <f>'Haver Pivoted'!GY14</f>
        <v>440.8</v>
      </c>
      <c r="O11" s="283">
        <f>'Haver Pivoted'!GZ14</f>
        <v>212.8</v>
      </c>
      <c r="P11" s="283">
        <f>'Haver Pivoted'!HA14</f>
        <v>31.8</v>
      </c>
      <c r="Q11" s="219">
        <f>'Haver Pivoted'!HB14</f>
        <v>24.5</v>
      </c>
      <c r="R11" s="219">
        <f>'Haver Pivoted'!HC14</f>
        <v>21.7</v>
      </c>
      <c r="S11" s="213">
        <f>'Haver Pivoted'!HD14</f>
        <v>23.1</v>
      </c>
      <c r="T11" s="213">
        <f>'Haver Pivoted'!HE14</f>
        <v>25.9</v>
      </c>
      <c r="U11" s="213">
        <f>'Haver Pivoted'!HF14</f>
        <v>30.1</v>
      </c>
      <c r="V11" s="213">
        <f>'Haver Pivoted'!HG14</f>
        <v>32.700000000000003</v>
      </c>
      <c r="W11" s="213">
        <f>'Haver Pivoted'!HH14</f>
        <v>34.700000000000003</v>
      </c>
      <c r="X11" s="213">
        <f>'Haver Pivoted'!HI14</f>
        <v>35.299999999999997</v>
      </c>
      <c r="Y11" s="213">
        <f>'Haver Pivoted'!HJ14</f>
        <v>34.9</v>
      </c>
      <c r="Z11" s="213">
        <f>'Haver Pivoted'!HK14</f>
        <v>34.9</v>
      </c>
      <c r="AA11" s="213">
        <f>'Haver Pivoted'!HL14</f>
        <v>35.700000000000003</v>
      </c>
      <c r="AB11" s="274">
        <f t="shared" ref="AB11:AG11" si="0">AB13+AB14+AB21</f>
        <v>35.700000000000003</v>
      </c>
      <c r="AC11" s="274">
        <f t="shared" si="0"/>
        <v>35.700000000000003</v>
      </c>
      <c r="AD11" s="274">
        <f t="shared" si="0"/>
        <v>35.700000000000003</v>
      </c>
      <c r="AE11" s="274">
        <f t="shared" si="0"/>
        <v>35.700000000000003</v>
      </c>
      <c r="AF11" s="274">
        <f t="shared" si="0"/>
        <v>35.700000000000003</v>
      </c>
      <c r="AG11" s="221">
        <f t="shared" si="0"/>
        <v>35.700000000000003</v>
      </c>
      <c r="AH11" s="221">
        <f>AH13+AH14+AH21</f>
        <v>35.700000000000003</v>
      </c>
      <c r="AI11" s="221">
        <f t="shared" ref="AI11:AJ11" si="1">AI13+AI14+AI21</f>
        <v>35.700000000000003</v>
      </c>
      <c r="AJ11" s="221">
        <f t="shared" si="1"/>
        <v>35.700000000000003</v>
      </c>
      <c r="AK11" s="239" t="s">
        <v>285</v>
      </c>
    </row>
    <row r="12" spans="2:37" x14ac:dyDescent="0.35">
      <c r="B12" s="288" t="s">
        <v>1975</v>
      </c>
      <c r="C12" s="220"/>
      <c r="D12" s="271"/>
      <c r="E12" s="219"/>
      <c r="F12" s="219"/>
      <c r="G12" s="219"/>
      <c r="H12" s="219"/>
      <c r="I12" s="219"/>
      <c r="J12" s="219"/>
      <c r="K12" s="219"/>
      <c r="L12" s="219"/>
      <c r="M12" s="219"/>
      <c r="N12" s="219"/>
      <c r="O12" s="219"/>
      <c r="P12" s="219"/>
      <c r="Q12" s="219"/>
      <c r="R12" s="219"/>
      <c r="S12" s="213"/>
      <c r="T12" s="213"/>
      <c r="U12" s="213"/>
      <c r="V12" s="213"/>
      <c r="W12" s="213"/>
      <c r="X12" s="213"/>
      <c r="Y12" s="213"/>
      <c r="Z12" s="213"/>
      <c r="AA12" s="213"/>
      <c r="AB12" s="221"/>
      <c r="AC12" s="221"/>
      <c r="AD12" s="221"/>
      <c r="AE12" s="221"/>
      <c r="AF12" s="221"/>
      <c r="AG12" s="221"/>
      <c r="AH12" s="221"/>
      <c r="AI12" s="221"/>
      <c r="AJ12" s="221"/>
    </row>
    <row r="13" spans="2:37" x14ac:dyDescent="0.35">
      <c r="B13" s="261" t="s">
        <v>286</v>
      </c>
      <c r="C13" s="251" t="s">
        <v>287</v>
      </c>
      <c r="D13" s="271">
        <f>'Haver Pivoted'!GO63</f>
        <v>0</v>
      </c>
      <c r="E13" s="219">
        <f>'Haver Pivoted'!GP63</f>
        <v>0</v>
      </c>
      <c r="F13" s="219">
        <f>'Haver Pivoted'!GQ63</f>
        <v>0</v>
      </c>
      <c r="G13" s="219">
        <f>'Haver Pivoted'!GR63</f>
        <v>0</v>
      </c>
      <c r="H13" s="219">
        <f>'Haver Pivoted'!GS63</f>
        <v>0</v>
      </c>
      <c r="I13" s="219">
        <f>'Haver Pivoted'!GT63</f>
        <v>0</v>
      </c>
      <c r="J13" s="219">
        <f>'Haver Pivoted'!GU63</f>
        <v>0.1</v>
      </c>
      <c r="K13" s="219">
        <f>'Haver Pivoted'!GV63</f>
        <v>3.7</v>
      </c>
      <c r="L13" s="219">
        <f>'Haver Pivoted'!GW63</f>
        <v>12.9</v>
      </c>
      <c r="M13" s="219">
        <f>'Haver Pivoted'!GX63</f>
        <v>25.5</v>
      </c>
      <c r="N13" s="219">
        <f>'Haver Pivoted'!GY63</f>
        <v>3.8</v>
      </c>
      <c r="O13" s="219">
        <f>'Haver Pivoted'!GZ63</f>
        <v>1.8</v>
      </c>
      <c r="P13" s="219">
        <f>'Haver Pivoted'!HA63</f>
        <v>0.6</v>
      </c>
      <c r="Q13" s="219">
        <f>'Haver Pivoted'!HB63</f>
        <v>0.2</v>
      </c>
      <c r="R13" s="219">
        <f>'Haver Pivoted'!HC63</f>
        <v>0.1</v>
      </c>
      <c r="S13" s="213">
        <f>'Haver Pivoted'!HD63</f>
        <v>0</v>
      </c>
      <c r="T13" s="213">
        <f>'Haver Pivoted'!HE63</f>
        <v>0</v>
      </c>
      <c r="U13" s="213">
        <f>'Haver Pivoted'!HF63</f>
        <v>0</v>
      </c>
      <c r="V13" s="213">
        <f>'Haver Pivoted'!HG63</f>
        <v>0</v>
      </c>
      <c r="W13" s="213">
        <f>'Haver Pivoted'!HH63</f>
        <v>0</v>
      </c>
      <c r="X13" s="213">
        <f>'Haver Pivoted'!HI63</f>
        <v>0</v>
      </c>
      <c r="Y13" s="213">
        <f>'Haver Pivoted'!HJ63</f>
        <v>0</v>
      </c>
      <c r="Z13" s="213">
        <f>'Haver Pivoted'!HK63</f>
        <v>0</v>
      </c>
      <c r="AA13" s="213">
        <f>'Haver Pivoted'!HL63</f>
        <v>0</v>
      </c>
      <c r="AB13" s="221">
        <f t="shared" ref="AB13:AH13" si="2">AA13*AB24/AA24</f>
        <v>0</v>
      </c>
      <c r="AC13" s="221">
        <f t="shared" si="2"/>
        <v>0</v>
      </c>
      <c r="AD13" s="221">
        <f t="shared" si="2"/>
        <v>0</v>
      </c>
      <c r="AE13" s="221">
        <f t="shared" si="2"/>
        <v>0</v>
      </c>
      <c r="AF13" s="221">
        <f t="shared" si="2"/>
        <v>0</v>
      </c>
      <c r="AG13" s="221">
        <f t="shared" si="2"/>
        <v>0</v>
      </c>
      <c r="AH13" s="221">
        <f t="shared" si="2"/>
        <v>0</v>
      </c>
      <c r="AI13" s="221">
        <f t="shared" ref="AI13" si="3">AH13*AI24/AH24</f>
        <v>0</v>
      </c>
      <c r="AJ13" s="221">
        <f t="shared" ref="AJ13" si="4">AI13*AJ24/AI24</f>
        <v>0</v>
      </c>
    </row>
    <row r="14" spans="2:37" x14ac:dyDescent="0.35">
      <c r="B14" s="261" t="s">
        <v>288</v>
      </c>
      <c r="C14" s="251"/>
      <c r="D14" s="271"/>
      <c r="E14" s="219"/>
      <c r="F14" s="219"/>
      <c r="G14" s="219"/>
      <c r="H14" s="227">
        <f>SUM(H15:H18)</f>
        <v>0</v>
      </c>
      <c r="I14" s="227">
        <f t="shared" ref="I14:M14" si="5">SUM(I15:I18)</f>
        <v>0</v>
      </c>
      <c r="J14" s="227">
        <f t="shared" si="5"/>
        <v>779.7</v>
      </c>
      <c r="K14" s="227">
        <f t="shared" si="5"/>
        <v>582.6</v>
      </c>
      <c r="L14" s="227">
        <f t="shared" si="5"/>
        <v>216.5</v>
      </c>
      <c r="M14" s="227">
        <f t="shared" si="5"/>
        <v>497.6</v>
      </c>
      <c r="N14" s="232">
        <f>SUM(N15:N18)</f>
        <v>401.5</v>
      </c>
      <c r="O14" s="232">
        <f t="shared" ref="O14:AC14" si="6">SUM(O15:O18)</f>
        <v>207.4</v>
      </c>
      <c r="P14" s="232">
        <f t="shared" si="6"/>
        <v>5.5</v>
      </c>
      <c r="Q14" s="232">
        <v>0</v>
      </c>
      <c r="R14" s="232">
        <f t="shared" si="6"/>
        <v>1</v>
      </c>
      <c r="S14" s="232">
        <f t="shared" si="6"/>
        <v>0.5</v>
      </c>
      <c r="T14" s="232">
        <f t="shared" si="6"/>
        <v>0.30000000000000004</v>
      </c>
      <c r="U14" s="232">
        <f t="shared" si="6"/>
        <v>0</v>
      </c>
      <c r="V14" s="227">
        <f t="shared" si="6"/>
        <v>0</v>
      </c>
      <c r="W14" s="227">
        <f t="shared" si="6"/>
        <v>0</v>
      </c>
      <c r="X14" s="221">
        <f>SUM(X15:X18)</f>
        <v>0</v>
      </c>
      <c r="Y14" s="221">
        <f t="shared" si="6"/>
        <v>0</v>
      </c>
      <c r="Z14" s="221">
        <f t="shared" si="6"/>
        <v>0</v>
      </c>
      <c r="AA14" s="221">
        <f t="shared" si="6"/>
        <v>0</v>
      </c>
      <c r="AB14" s="221">
        <f t="shared" si="6"/>
        <v>0</v>
      </c>
      <c r="AC14" s="221">
        <f t="shared" si="6"/>
        <v>0</v>
      </c>
      <c r="AD14" s="221">
        <f t="shared" ref="AD14:AG14" si="7">SUM(AD15:AD18)</f>
        <v>0</v>
      </c>
      <c r="AE14" s="221">
        <f t="shared" si="7"/>
        <v>0</v>
      </c>
      <c r="AF14" s="221">
        <f t="shared" si="7"/>
        <v>0</v>
      </c>
      <c r="AG14" s="221">
        <f t="shared" si="7"/>
        <v>0</v>
      </c>
      <c r="AH14" s="221">
        <f t="shared" ref="AH14:AJ14" si="8">SUM(AH15:AH18)</f>
        <v>0</v>
      </c>
      <c r="AI14" s="221">
        <f t="shared" si="8"/>
        <v>0</v>
      </c>
      <c r="AJ14" s="221">
        <f t="shared" si="8"/>
        <v>0</v>
      </c>
    </row>
    <row r="15" spans="2:37" ht="18" customHeight="1" x14ac:dyDescent="0.35">
      <c r="B15" s="244" t="s">
        <v>289</v>
      </c>
      <c r="C15" s="245" t="s">
        <v>287</v>
      </c>
      <c r="D15" s="270">
        <f>'Haver Pivoted'!GO63</f>
        <v>0</v>
      </c>
      <c r="E15" s="231">
        <f>'Haver Pivoted'!GP63</f>
        <v>0</v>
      </c>
      <c r="F15" s="231">
        <f>'Haver Pivoted'!GQ63</f>
        <v>0</v>
      </c>
      <c r="G15" s="231">
        <f>'Haver Pivoted'!GR63</f>
        <v>0</v>
      </c>
      <c r="H15" s="231">
        <f>'Haver Pivoted'!GS63</f>
        <v>0</v>
      </c>
      <c r="I15" s="231">
        <f>'Haver Pivoted'!GT63</f>
        <v>0</v>
      </c>
      <c r="J15" s="231">
        <f>'Haver Pivoted'!GU63</f>
        <v>0.1</v>
      </c>
      <c r="K15" s="231">
        <f>'Haver Pivoted'!GV63</f>
        <v>3.7</v>
      </c>
      <c r="L15" s="231">
        <f>'Haver Pivoted'!GW63</f>
        <v>12.9</v>
      </c>
      <c r="M15" s="231">
        <f>'Haver Pivoted'!GX63</f>
        <v>25.5</v>
      </c>
      <c r="N15" s="231">
        <f>'Haver Pivoted'!GY63</f>
        <v>3.8</v>
      </c>
      <c r="O15" s="231">
        <f>'Haver Pivoted'!GZ63</f>
        <v>1.8</v>
      </c>
      <c r="P15" s="231">
        <f>'Haver Pivoted'!HA63</f>
        <v>0.6</v>
      </c>
      <c r="Q15" s="231">
        <f>'Haver Pivoted'!HB63</f>
        <v>0.2</v>
      </c>
      <c r="R15" s="231">
        <f>'Haver Pivoted'!HC63</f>
        <v>0.1</v>
      </c>
      <c r="S15" s="235">
        <f>'Haver Pivoted'!HD63</f>
        <v>0</v>
      </c>
      <c r="T15" s="235">
        <f>'Haver Pivoted'!HE63</f>
        <v>0</v>
      </c>
      <c r="U15" s="235">
        <f>'Haver Pivoted'!HF63</f>
        <v>0</v>
      </c>
      <c r="V15" s="235">
        <f>'Haver Pivoted'!HG63</f>
        <v>0</v>
      </c>
      <c r="W15" s="235">
        <f>'Haver Pivoted'!HH63</f>
        <v>0</v>
      </c>
      <c r="X15" s="235">
        <f>'Haver Pivoted'!HI63</f>
        <v>0</v>
      </c>
      <c r="Y15" s="235">
        <f>'Haver Pivoted'!HJ63</f>
        <v>0</v>
      </c>
      <c r="Z15" s="235">
        <f>'Haver Pivoted'!HK63</f>
        <v>0</v>
      </c>
      <c r="AA15" s="235">
        <f>'Haver Pivoted'!HL63</f>
        <v>0</v>
      </c>
      <c r="AB15" s="221">
        <f t="shared" ref="AB15:AC15" si="9">AB13</f>
        <v>0</v>
      </c>
      <c r="AC15" s="221">
        <f t="shared" si="9"/>
        <v>0</v>
      </c>
      <c r="AD15" s="221">
        <f t="shared" ref="AD15:AG15" si="10">AD13</f>
        <v>0</v>
      </c>
      <c r="AE15" s="221">
        <f t="shared" si="10"/>
        <v>0</v>
      </c>
      <c r="AF15" s="221">
        <f>AF13</f>
        <v>0</v>
      </c>
      <c r="AG15" s="221">
        <f t="shared" si="10"/>
        <v>0</v>
      </c>
      <c r="AH15" s="221">
        <f t="shared" ref="AH15:AJ15" si="11">AH13</f>
        <v>0</v>
      </c>
      <c r="AI15" s="221">
        <f t="shared" si="11"/>
        <v>0</v>
      </c>
      <c r="AJ15" s="221">
        <f t="shared" si="11"/>
        <v>0</v>
      </c>
    </row>
    <row r="16" spans="2:37" ht="18" customHeight="1" x14ac:dyDescent="0.35">
      <c r="B16" s="244" t="s">
        <v>290</v>
      </c>
      <c r="C16" s="245" t="s">
        <v>291</v>
      </c>
      <c r="D16" s="270">
        <f>'Haver Pivoted'!GO59</f>
        <v>0</v>
      </c>
      <c r="E16" s="231">
        <f>'Haver Pivoted'!GP59</f>
        <v>0</v>
      </c>
      <c r="F16" s="231">
        <f>'Haver Pivoted'!GQ59</f>
        <v>0</v>
      </c>
      <c r="G16" s="231">
        <f>'Haver Pivoted'!GR59</f>
        <v>0</v>
      </c>
      <c r="H16" s="231">
        <f>'Haver Pivoted'!GS59</f>
        <v>0</v>
      </c>
      <c r="I16" s="231">
        <f>'Haver Pivoted'!GT59</f>
        <v>0</v>
      </c>
      <c r="J16" s="231">
        <f>'Haver Pivoted'!GU59</f>
        <v>6.3</v>
      </c>
      <c r="K16" s="231">
        <f>'Haver Pivoted'!GV59</f>
        <v>26.7</v>
      </c>
      <c r="L16" s="231">
        <f>'Haver Pivoted'!GW59</f>
        <v>82.1</v>
      </c>
      <c r="M16" s="231">
        <f>'Haver Pivoted'!GX59</f>
        <v>94.7</v>
      </c>
      <c r="N16" s="231">
        <f>'Haver Pivoted'!GY59</f>
        <v>92.1</v>
      </c>
      <c r="O16" s="231">
        <f>'Haver Pivoted'!GZ59</f>
        <v>51.6</v>
      </c>
      <c r="P16" s="231">
        <f>'Haver Pivoted'!HA59</f>
        <v>2.8</v>
      </c>
      <c r="Q16" s="231">
        <f>'Haver Pivoted'!HB59</f>
        <v>0.8</v>
      </c>
      <c r="R16" s="231">
        <f>'Haver Pivoted'!HC59</f>
        <v>0.5</v>
      </c>
      <c r="S16" s="235">
        <f>'Haver Pivoted'!HD59</f>
        <v>0.3</v>
      </c>
      <c r="T16" s="235">
        <f>'Haver Pivoted'!HE59</f>
        <v>0.2</v>
      </c>
      <c r="U16" s="235">
        <f>'Haver Pivoted'!HF59</f>
        <v>0</v>
      </c>
      <c r="V16" s="235">
        <f>'Haver Pivoted'!HG59</f>
        <v>0</v>
      </c>
      <c r="W16" s="235">
        <f>'Haver Pivoted'!HH59</f>
        <v>0</v>
      </c>
      <c r="X16" s="235">
        <f>'Haver Pivoted'!HI59</f>
        <v>0</v>
      </c>
      <c r="Y16" s="235">
        <f>'Haver Pivoted'!HJ59</f>
        <v>0</v>
      </c>
      <c r="Z16" s="235">
        <f>'Haver Pivoted'!HK59</f>
        <v>0</v>
      </c>
      <c r="AA16" s="235">
        <f>'Haver Pivoted'!HL59</f>
        <v>0</v>
      </c>
      <c r="AB16" s="221">
        <f t="shared" ref="AB16:AH18" si="12">AA16*AB$24/AA$24</f>
        <v>0</v>
      </c>
      <c r="AC16" s="221">
        <f t="shared" si="12"/>
        <v>0</v>
      </c>
      <c r="AD16" s="221">
        <f t="shared" si="12"/>
        <v>0</v>
      </c>
      <c r="AE16" s="221">
        <f t="shared" si="12"/>
        <v>0</v>
      </c>
      <c r="AF16" s="221">
        <f t="shared" si="12"/>
        <v>0</v>
      </c>
      <c r="AG16" s="221">
        <f t="shared" si="12"/>
        <v>0</v>
      </c>
      <c r="AH16" s="221">
        <f t="shared" si="12"/>
        <v>0</v>
      </c>
      <c r="AI16" s="221">
        <f t="shared" ref="AI16:AI18" si="13">AH16*AI$24/AH$24</f>
        <v>0</v>
      </c>
      <c r="AJ16" s="221">
        <f t="shared" ref="AJ16:AJ18" si="14">AI16*AJ$24/AI$24</f>
        <v>0</v>
      </c>
    </row>
    <row r="17" spans="2:69" ht="18" customHeight="1" x14ac:dyDescent="0.35">
      <c r="B17" s="244" t="s">
        <v>292</v>
      </c>
      <c r="C17" s="245" t="s">
        <v>293</v>
      </c>
      <c r="D17" s="270">
        <f>'Haver Pivoted'!GO60</f>
        <v>0</v>
      </c>
      <c r="E17" s="231">
        <f>'Haver Pivoted'!GP60</f>
        <v>0</v>
      </c>
      <c r="F17" s="231">
        <f>'Haver Pivoted'!GQ60</f>
        <v>0</v>
      </c>
      <c r="G17" s="231">
        <f>'Haver Pivoted'!GR60</f>
        <v>0</v>
      </c>
      <c r="H17" s="231">
        <f>'Haver Pivoted'!GS60</f>
        <v>0</v>
      </c>
      <c r="I17" s="231">
        <f>'Haver Pivoted'!GT60</f>
        <v>0</v>
      </c>
      <c r="J17" s="231">
        <f>'Haver Pivoted'!GU60</f>
        <v>74.400000000000006</v>
      </c>
      <c r="K17" s="231">
        <f>'Haver Pivoted'!GV60</f>
        <v>138.30000000000001</v>
      </c>
      <c r="L17" s="231">
        <f>'Haver Pivoted'!GW60</f>
        <v>106.8</v>
      </c>
      <c r="M17" s="231">
        <f>'Haver Pivoted'!GX60</f>
        <v>89.2</v>
      </c>
      <c r="N17" s="231">
        <f>'Haver Pivoted'!GY60</f>
        <v>72.3</v>
      </c>
      <c r="O17" s="231">
        <f>'Haver Pivoted'!GZ60</f>
        <v>43.5</v>
      </c>
      <c r="P17" s="231">
        <f>'Haver Pivoted'!HA60</f>
        <v>2.1</v>
      </c>
      <c r="Q17" s="231">
        <f>'Haver Pivoted'!HB60</f>
        <v>0.8</v>
      </c>
      <c r="R17" s="231">
        <f>'Haver Pivoted'!HC60</f>
        <v>0.4</v>
      </c>
      <c r="S17" s="235">
        <f>'Haver Pivoted'!HD60</f>
        <v>0.2</v>
      </c>
      <c r="T17" s="235">
        <f>'Haver Pivoted'!HE60</f>
        <v>0.1</v>
      </c>
      <c r="U17" s="235">
        <f>'Haver Pivoted'!HF60</f>
        <v>0</v>
      </c>
      <c r="V17" s="235">
        <f>'Haver Pivoted'!HG60</f>
        <v>0</v>
      </c>
      <c r="W17" s="235">
        <f>'Haver Pivoted'!HH60</f>
        <v>0</v>
      </c>
      <c r="X17" s="235">
        <f>'Haver Pivoted'!HI60</f>
        <v>0</v>
      </c>
      <c r="Y17" s="235">
        <f>'Haver Pivoted'!HJ60</f>
        <v>0</v>
      </c>
      <c r="Z17" s="235">
        <f>'Haver Pivoted'!HK60</f>
        <v>0</v>
      </c>
      <c r="AA17" s="235">
        <f>'Haver Pivoted'!HL60</f>
        <v>0</v>
      </c>
      <c r="AB17" s="221">
        <f t="shared" si="12"/>
        <v>0</v>
      </c>
      <c r="AC17" s="221">
        <f t="shared" si="12"/>
        <v>0</v>
      </c>
      <c r="AD17" s="221">
        <f t="shared" si="12"/>
        <v>0</v>
      </c>
      <c r="AE17" s="221">
        <f t="shared" si="12"/>
        <v>0</v>
      </c>
      <c r="AF17" s="221">
        <f t="shared" si="12"/>
        <v>0</v>
      </c>
      <c r="AG17" s="221">
        <f t="shared" si="12"/>
        <v>0</v>
      </c>
      <c r="AH17" s="221">
        <f t="shared" si="12"/>
        <v>0</v>
      </c>
      <c r="AI17" s="221">
        <f t="shared" si="13"/>
        <v>0</v>
      </c>
      <c r="AJ17" s="221">
        <f t="shared" si="14"/>
        <v>0</v>
      </c>
    </row>
    <row r="18" spans="2:69" ht="18" customHeight="1" x14ac:dyDescent="0.35">
      <c r="B18" s="244" t="s">
        <v>294</v>
      </c>
      <c r="C18" s="245" t="s">
        <v>295</v>
      </c>
      <c r="D18" s="270">
        <f>'Haver Pivoted'!GO61</f>
        <v>0</v>
      </c>
      <c r="E18" s="231">
        <f>'Haver Pivoted'!GP61</f>
        <v>0</v>
      </c>
      <c r="F18" s="231">
        <f>'Haver Pivoted'!GQ61</f>
        <v>0</v>
      </c>
      <c r="G18" s="231">
        <f>'Haver Pivoted'!GR61</f>
        <v>0</v>
      </c>
      <c r="H18" s="231">
        <f>'Haver Pivoted'!GS61</f>
        <v>0</v>
      </c>
      <c r="I18" s="231">
        <f>'Haver Pivoted'!GT61</f>
        <v>0</v>
      </c>
      <c r="J18" s="231">
        <f>'Haver Pivoted'!GU61</f>
        <v>698.9</v>
      </c>
      <c r="K18" s="231">
        <f>'Haver Pivoted'!GV61</f>
        <v>413.9</v>
      </c>
      <c r="L18" s="231">
        <f>'Haver Pivoted'!GW61</f>
        <v>14.7</v>
      </c>
      <c r="M18" s="231">
        <f>'Haver Pivoted'!GX61</f>
        <v>288.2</v>
      </c>
      <c r="N18" s="231">
        <f>'Haver Pivoted'!GY61</f>
        <v>233.3</v>
      </c>
      <c r="O18" s="231">
        <f>'Haver Pivoted'!GZ61</f>
        <v>110.5</v>
      </c>
      <c r="P18" s="231">
        <f>'Haver Pivoted'!HA61</f>
        <v>0</v>
      </c>
      <c r="Q18" s="231">
        <f>'Haver Pivoted'!HB61</f>
        <v>0</v>
      </c>
      <c r="R18" s="231">
        <f>'Haver Pivoted'!HC61</f>
        <v>0</v>
      </c>
      <c r="S18" s="235">
        <f>'Haver Pivoted'!HD61</f>
        <v>0</v>
      </c>
      <c r="T18" s="235">
        <f>'Haver Pivoted'!HE61</f>
        <v>0</v>
      </c>
      <c r="U18" s="235">
        <f>'Haver Pivoted'!HF61</f>
        <v>0</v>
      </c>
      <c r="V18" s="235">
        <f>'Haver Pivoted'!HG61</f>
        <v>0</v>
      </c>
      <c r="W18" s="235">
        <f>'Haver Pivoted'!HH61</f>
        <v>0</v>
      </c>
      <c r="X18" s="235">
        <f>'Haver Pivoted'!HI61</f>
        <v>0</v>
      </c>
      <c r="Y18" s="235">
        <f>'Haver Pivoted'!HJ61</f>
        <v>0</v>
      </c>
      <c r="Z18" s="235">
        <f>'Haver Pivoted'!HK61</f>
        <v>0</v>
      </c>
      <c r="AA18" s="235">
        <f>'Haver Pivoted'!HL61</f>
        <v>0</v>
      </c>
      <c r="AB18" s="221">
        <f t="shared" si="12"/>
        <v>0</v>
      </c>
      <c r="AC18" s="221">
        <f t="shared" si="12"/>
        <v>0</v>
      </c>
      <c r="AD18" s="221">
        <f t="shared" si="12"/>
        <v>0</v>
      </c>
      <c r="AE18" s="221">
        <f t="shared" si="12"/>
        <v>0</v>
      </c>
      <c r="AF18" s="221">
        <f t="shared" si="12"/>
        <v>0</v>
      </c>
      <c r="AG18" s="221">
        <f t="shared" si="12"/>
        <v>0</v>
      </c>
      <c r="AH18" s="221">
        <f t="shared" si="12"/>
        <v>0</v>
      </c>
      <c r="AI18" s="221">
        <f t="shared" si="13"/>
        <v>0</v>
      </c>
      <c r="AJ18" s="221">
        <f t="shared" si="14"/>
        <v>0</v>
      </c>
    </row>
    <row r="19" spans="2:69" x14ac:dyDescent="0.35">
      <c r="B19" s="246" t="s">
        <v>158</v>
      </c>
      <c r="C19" s="239" t="s">
        <v>296</v>
      </c>
      <c r="D19" s="271">
        <f>'Haver Pivoted'!GO64</f>
        <v>0</v>
      </c>
      <c r="E19" s="219">
        <f>'Haver Pivoted'!GP64</f>
        <v>0</v>
      </c>
      <c r="F19" s="219">
        <f>'Haver Pivoted'!GQ64</f>
        <v>0</v>
      </c>
      <c r="G19" s="219">
        <f>'Haver Pivoted'!GR64</f>
        <v>0</v>
      </c>
      <c r="H19" s="219">
        <f>'Haver Pivoted'!GS64</f>
        <v>0</v>
      </c>
      <c r="I19" s="219">
        <f>'Haver Pivoted'!GT64</f>
        <v>0</v>
      </c>
      <c r="J19" s="219">
        <f>'Haver Pivoted'!GU64</f>
        <v>0</v>
      </c>
      <c r="K19" s="219">
        <f>'Haver Pivoted'!GV64</f>
        <v>106.2</v>
      </c>
      <c r="L19" s="219">
        <f>'Haver Pivoted'!GW64</f>
        <v>35.9</v>
      </c>
      <c r="M19" s="219">
        <f>'Haver Pivoted'!GX64</f>
        <v>1.6</v>
      </c>
      <c r="N19" s="219">
        <f>'Haver Pivoted'!GY64</f>
        <v>0.6</v>
      </c>
      <c r="O19" s="219">
        <f>'Haver Pivoted'!GZ64</f>
        <v>0.1</v>
      </c>
      <c r="P19" s="219">
        <f>'Haver Pivoted'!HA64</f>
        <v>0</v>
      </c>
      <c r="Q19" s="231">
        <f>'Haver Pivoted'!HB64</f>
        <v>0</v>
      </c>
      <c r="R19" s="231">
        <f>'Haver Pivoted'!HC64</f>
        <v>0</v>
      </c>
      <c r="S19" s="235">
        <f>'Haver Pivoted'!HD64</f>
        <v>0</v>
      </c>
      <c r="T19" s="235">
        <f>'Haver Pivoted'!HE64</f>
        <v>0</v>
      </c>
      <c r="U19" s="235">
        <f>'Haver Pivoted'!HF64</f>
        <v>0</v>
      </c>
      <c r="V19" s="235">
        <f>'Haver Pivoted'!HG64</f>
        <v>0</v>
      </c>
      <c r="W19" s="235">
        <f>'Haver Pivoted'!HH64</f>
        <v>0</v>
      </c>
      <c r="X19" s="235">
        <f>'Haver Pivoted'!HI64</f>
        <v>0</v>
      </c>
      <c r="Y19" s="235">
        <f>'Haver Pivoted'!HJ64</f>
        <v>0</v>
      </c>
      <c r="Z19" s="235">
        <f>'Haver Pivoted'!HK64</f>
        <v>0</v>
      </c>
      <c r="AA19" s="235">
        <f>'Haver Pivoted'!HL64</f>
        <v>0</v>
      </c>
      <c r="AB19" s="221"/>
      <c r="AC19" s="221"/>
      <c r="AD19" s="221"/>
      <c r="AE19" s="221"/>
      <c r="AF19" s="221"/>
      <c r="AG19" s="221"/>
      <c r="AH19" s="221"/>
      <c r="AI19" s="221"/>
      <c r="AJ19" s="221"/>
    </row>
    <row r="20" spans="2:69" ht="14.9" customHeight="1" x14ac:dyDescent="0.35">
      <c r="B20" s="265" t="s">
        <v>297</v>
      </c>
      <c r="C20" s="252"/>
      <c r="D20" s="259">
        <f t="shared" ref="D20:U20" si="15">D11-D21</f>
        <v>0</v>
      </c>
      <c r="E20" s="229">
        <f t="shared" si="15"/>
        <v>0</v>
      </c>
      <c r="F20" s="229">
        <f t="shared" si="15"/>
        <v>0</v>
      </c>
      <c r="G20" s="229">
        <f t="shared" si="15"/>
        <v>0</v>
      </c>
      <c r="H20" s="229">
        <f t="shared" si="15"/>
        <v>0</v>
      </c>
      <c r="I20" s="229">
        <f t="shared" si="15"/>
        <v>0</v>
      </c>
      <c r="J20" s="229">
        <f t="shared" si="15"/>
        <v>779.80000000000007</v>
      </c>
      <c r="K20" s="229">
        <f t="shared" si="15"/>
        <v>586.29999999999995</v>
      </c>
      <c r="L20" s="229">
        <f t="shared" si="15"/>
        <v>229.4</v>
      </c>
      <c r="M20" s="229">
        <f t="shared" si="15"/>
        <v>523.1</v>
      </c>
      <c r="N20" s="230">
        <f t="shared" si="15"/>
        <v>405.3</v>
      </c>
      <c r="O20" s="230">
        <f t="shared" si="15"/>
        <v>209.20000000000002</v>
      </c>
      <c r="P20" s="230">
        <f t="shared" si="15"/>
        <v>6.1000000000000014</v>
      </c>
      <c r="Q20" s="230">
        <f t="shared" si="15"/>
        <v>0.19999999999999929</v>
      </c>
      <c r="R20" s="230">
        <f t="shared" si="15"/>
        <v>1.1000000000000014</v>
      </c>
      <c r="S20" s="230">
        <f t="shared" si="15"/>
        <v>0.5</v>
      </c>
      <c r="T20" s="230">
        <f t="shared" si="15"/>
        <v>0.30000000000000071</v>
      </c>
      <c r="U20" s="230">
        <f t="shared" si="15"/>
        <v>0</v>
      </c>
      <c r="V20" s="229">
        <v>0</v>
      </c>
      <c r="W20" s="229">
        <v>0</v>
      </c>
      <c r="X20" s="236">
        <f t="shared" ref="X20:AH20" si="16">X11-X21</f>
        <v>4.632399999999997</v>
      </c>
      <c r="Y20" s="236">
        <f t="shared" si="16"/>
        <v>3.0799999999999947</v>
      </c>
      <c r="Z20" s="236">
        <f t="shared" si="16"/>
        <v>0</v>
      </c>
      <c r="AA20" s="236">
        <f t="shared" si="16"/>
        <v>0</v>
      </c>
      <c r="AB20" s="236">
        <f t="shared" si="16"/>
        <v>0</v>
      </c>
      <c r="AC20" s="236">
        <f t="shared" si="16"/>
        <v>0</v>
      </c>
      <c r="AD20" s="236">
        <f t="shared" si="16"/>
        <v>0</v>
      </c>
      <c r="AE20" s="236">
        <f t="shared" si="16"/>
        <v>0</v>
      </c>
      <c r="AF20" s="236">
        <f t="shared" si="16"/>
        <v>0</v>
      </c>
      <c r="AG20" s="236">
        <f t="shared" si="16"/>
        <v>0</v>
      </c>
      <c r="AH20" s="236">
        <f t="shared" si="16"/>
        <v>0</v>
      </c>
      <c r="AI20" s="236">
        <f t="shared" ref="AI20:AJ20" si="17">AI11-AI21</f>
        <v>0</v>
      </c>
      <c r="AJ20" s="236">
        <f t="shared" si="17"/>
        <v>0</v>
      </c>
    </row>
    <row r="21" spans="2:69" ht="14.9" customHeight="1" x14ac:dyDescent="0.35">
      <c r="B21" s="265" t="s">
        <v>298</v>
      </c>
      <c r="C21" s="252"/>
      <c r="D21" s="259">
        <f t="shared" ref="D21:I21" si="18">D11</f>
        <v>27.1</v>
      </c>
      <c r="E21" s="229">
        <f t="shared" si="18"/>
        <v>29.6</v>
      </c>
      <c r="F21" s="229">
        <f t="shared" si="18"/>
        <v>27.3</v>
      </c>
      <c r="G21" s="229">
        <f t="shared" si="18"/>
        <v>26.4</v>
      </c>
      <c r="H21" s="229">
        <f t="shared" si="18"/>
        <v>26.7</v>
      </c>
      <c r="I21" s="229">
        <f t="shared" si="18"/>
        <v>40.1</v>
      </c>
      <c r="J21" s="229">
        <f>J11-J14-J13</f>
        <v>171.69999999999996</v>
      </c>
      <c r="K21" s="229">
        <f>K11-K14-K13</f>
        <v>213.7</v>
      </c>
      <c r="L21" s="229">
        <f>L11-L14-L13</f>
        <v>93.299999999999983</v>
      </c>
      <c r="M21" s="229">
        <f>M11-M14-M13</f>
        <v>60.699999999999932</v>
      </c>
      <c r="N21" s="230">
        <f t="shared" ref="N21:U21" si="19">N11-N13-N14</f>
        <v>35.5</v>
      </c>
      <c r="O21" s="230">
        <f t="shared" si="19"/>
        <v>3.5999999999999943</v>
      </c>
      <c r="P21" s="230">
        <f t="shared" si="19"/>
        <v>25.7</v>
      </c>
      <c r="Q21" s="231">
        <f t="shared" si="19"/>
        <v>24.3</v>
      </c>
      <c r="R21" s="231">
        <f t="shared" si="19"/>
        <v>20.599999999999998</v>
      </c>
      <c r="S21" s="231">
        <f t="shared" si="19"/>
        <v>22.6</v>
      </c>
      <c r="T21" s="231">
        <f t="shared" si="19"/>
        <v>25.599999999999998</v>
      </c>
      <c r="U21" s="231">
        <f t="shared" si="19"/>
        <v>30.1</v>
      </c>
      <c r="V21" s="229">
        <f>U21*V24/U24</f>
        <v>30.960000000000004</v>
      </c>
      <c r="W21" s="229">
        <f>V21*W24/V24</f>
        <v>30.960000000000004</v>
      </c>
      <c r="X21" s="236">
        <f t="shared" ref="X21:Y21" si="20">W21*X24/W24</f>
        <v>30.6676</v>
      </c>
      <c r="Y21" s="236">
        <f t="shared" si="20"/>
        <v>31.820000000000004</v>
      </c>
      <c r="Z21" s="236">
        <v>34.9</v>
      </c>
      <c r="AA21" s="236">
        <v>35.700000000000003</v>
      </c>
      <c r="AB21" s="236">
        <v>35.700000000000003</v>
      </c>
      <c r="AC21" s="236">
        <v>35.700000000000003</v>
      </c>
      <c r="AD21" s="236">
        <v>35.700000000000003</v>
      </c>
      <c r="AE21" s="236">
        <v>35.700000000000003</v>
      </c>
      <c r="AF21" s="236">
        <v>35.700000000000003</v>
      </c>
      <c r="AG21" s="236">
        <v>35.700000000000003</v>
      </c>
      <c r="AH21" s="236">
        <v>35.700000000000003</v>
      </c>
      <c r="AI21" s="236">
        <v>35.700000000000003</v>
      </c>
      <c r="AJ21" s="236">
        <v>35.700000000000003</v>
      </c>
      <c r="AK21" s="260" t="s">
        <v>299</v>
      </c>
    </row>
    <row r="22" spans="2:69" x14ac:dyDescent="0.35">
      <c r="B22" s="246"/>
      <c r="C22" s="247"/>
      <c r="D22" s="270"/>
      <c r="E22" s="231"/>
      <c r="F22" s="231"/>
      <c r="G22" s="231"/>
      <c r="H22" s="227"/>
      <c r="I22" s="227"/>
      <c r="J22" s="227"/>
      <c r="K22" s="227"/>
      <c r="L22" s="227"/>
      <c r="M22" s="227"/>
      <c r="N22" s="227"/>
      <c r="O22" s="227"/>
      <c r="P22" s="227"/>
      <c r="Q22" s="227"/>
      <c r="R22" s="227"/>
      <c r="S22" s="227"/>
      <c r="T22" s="249"/>
      <c r="U22" s="227"/>
      <c r="V22" s="227"/>
      <c r="W22" s="221"/>
      <c r="X22" s="221"/>
      <c r="Y22" s="221"/>
      <c r="Z22" s="221"/>
      <c r="AA22" s="221"/>
      <c r="AB22" s="221"/>
      <c r="AC22" s="221"/>
      <c r="AD22" s="221"/>
      <c r="AE22" s="221"/>
      <c r="AF22" s="221"/>
      <c r="AG22" s="233"/>
      <c r="AH22" s="233"/>
    </row>
    <row r="23" spans="2:69" x14ac:dyDescent="0.35">
      <c r="B23" s="286" t="s">
        <v>1919</v>
      </c>
      <c r="C23" s="247"/>
      <c r="D23" s="231"/>
      <c r="E23" s="231"/>
      <c r="F23" s="231"/>
      <c r="G23" s="231"/>
      <c r="H23" s="227"/>
      <c r="I23" s="227"/>
      <c r="J23" s="227"/>
      <c r="K23" s="227"/>
      <c r="L23" s="227"/>
      <c r="M23" s="227">
        <v>6.2329999999999997</v>
      </c>
      <c r="N23" s="227">
        <v>5.9329999999999998</v>
      </c>
      <c r="O23" s="227">
        <v>5.0659999999999998</v>
      </c>
      <c r="P23" s="227">
        <v>4.1660000000000004</v>
      </c>
      <c r="Q23" s="227">
        <v>3.8</v>
      </c>
      <c r="R23" s="227">
        <v>3.633</v>
      </c>
      <c r="S23" s="227">
        <v>3.5329999999999999</v>
      </c>
      <c r="T23" s="249">
        <v>3.5659999999999998</v>
      </c>
      <c r="U23" s="224">
        <v>3.5</v>
      </c>
      <c r="V23" s="224">
        <v>3.5659999999999998</v>
      </c>
      <c r="W23" s="223">
        <v>3.7</v>
      </c>
      <c r="X23" s="223">
        <v>3.7330000000000001</v>
      </c>
      <c r="Y23" s="223">
        <v>3.8</v>
      </c>
      <c r="Z23" s="223">
        <v>3.8809999999999998</v>
      </c>
      <c r="AA23" s="223">
        <v>3.915</v>
      </c>
      <c r="AB23" s="223">
        <v>3.9319999999999999</v>
      </c>
      <c r="AC23" s="223">
        <v>3.9569999999999999</v>
      </c>
      <c r="AD23" s="223">
        <v>3.9569999999999999</v>
      </c>
      <c r="AE23" s="223">
        <v>3.9750000000000001</v>
      </c>
      <c r="AF23" s="223">
        <v>4.0039999999999996</v>
      </c>
      <c r="AG23" s="234">
        <v>4.0780000000000003</v>
      </c>
      <c r="AH23" s="234">
        <v>4.1369999999999996</v>
      </c>
      <c r="AI23">
        <v>4.1870000000000003</v>
      </c>
      <c r="AJ23">
        <v>4.2279999999999998</v>
      </c>
      <c r="AK23">
        <v>4.2699999999999996</v>
      </c>
      <c r="AL23">
        <v>4.3049999999999997</v>
      </c>
      <c r="AM23">
        <v>4.34</v>
      </c>
      <c r="AN23">
        <v>4.3719999999999999</v>
      </c>
      <c r="AO23">
        <v>4.399</v>
      </c>
      <c r="AP23">
        <v>4.4189999999999996</v>
      </c>
      <c r="AQ23">
        <v>4.4359999999999999</v>
      </c>
      <c r="AR23">
        <v>4.4489999999999998</v>
      </c>
      <c r="AS23">
        <v>4.4630000000000001</v>
      </c>
      <c r="AT23">
        <v>4.4710000000000001</v>
      </c>
      <c r="AU23">
        <v>4.476</v>
      </c>
      <c r="AV23">
        <v>4.4790000000000001</v>
      </c>
      <c r="AW23">
        <v>4.484</v>
      </c>
      <c r="AX23">
        <v>4.4850000000000003</v>
      </c>
      <c r="AY23">
        <v>4.484</v>
      </c>
      <c r="AZ23">
        <v>4.4829999999999997</v>
      </c>
      <c r="BA23">
        <v>4.4829999999999997</v>
      </c>
      <c r="BB23">
        <v>4.4809999999999999</v>
      </c>
      <c r="BC23">
        <v>4.4779999999999998</v>
      </c>
      <c r="BD23">
        <v>4.4749999999999996</v>
      </c>
      <c r="BE23">
        <v>4.4749999999999996</v>
      </c>
      <c r="BF23">
        <v>4.4710000000000001</v>
      </c>
      <c r="BG23">
        <v>4.4669999999999996</v>
      </c>
      <c r="BH23">
        <v>4.4619999999999997</v>
      </c>
      <c r="BI23">
        <v>4.4589999999999996</v>
      </c>
      <c r="BJ23">
        <v>4.4539999999999997</v>
      </c>
      <c r="BK23">
        <v>4.4480000000000004</v>
      </c>
      <c r="BL23">
        <v>4.4429999999999996</v>
      </c>
      <c r="BM23">
        <v>4.4379999999999997</v>
      </c>
      <c r="BN23">
        <v>4.4329999999999998</v>
      </c>
      <c r="BO23">
        <v>4.4279999999999999</v>
      </c>
      <c r="BP23">
        <v>4.4219999999999997</v>
      </c>
      <c r="BQ23">
        <v>4.4219999999999997</v>
      </c>
    </row>
    <row r="24" spans="2:69" x14ac:dyDescent="0.35">
      <c r="B24" s="246" t="s">
        <v>1829</v>
      </c>
      <c r="C24" s="239"/>
      <c r="D24" s="271"/>
      <c r="E24" s="219"/>
      <c r="F24" s="219"/>
      <c r="G24" s="219"/>
      <c r="H24" s="227"/>
      <c r="I24" s="227"/>
      <c r="J24" s="227"/>
      <c r="K24" s="227"/>
      <c r="L24" s="227"/>
      <c r="M24" s="227">
        <f t="shared" ref="M24:U24" si="21">GETPIVOTDATA("Monthly UR",$E$30,"Quarters",M25,"Years",M26)</f>
        <v>6.166666666666667</v>
      </c>
      <c r="N24" s="227">
        <f t="shared" si="21"/>
        <v>5.7666666666666657</v>
      </c>
      <c r="O24" s="227">
        <f t="shared" si="21"/>
        <v>5.1333333333333337</v>
      </c>
      <c r="P24" s="227">
        <f t="shared" si="21"/>
        <v>4.2333333333333334</v>
      </c>
      <c r="Q24" s="227">
        <f t="shared" si="21"/>
        <v>3.8000000000000003</v>
      </c>
      <c r="R24" s="227">
        <f t="shared" si="21"/>
        <v>3.6</v>
      </c>
      <c r="S24" s="227">
        <f t="shared" si="21"/>
        <v>3.5666666666666664</v>
      </c>
      <c r="T24" s="227">
        <f t="shared" si="21"/>
        <v>3.6</v>
      </c>
      <c r="U24" s="228">
        <f t="shared" si="21"/>
        <v>3.5</v>
      </c>
      <c r="V24" s="240">
        <v>3.6</v>
      </c>
      <c r="W24" s="240">
        <v>3.6</v>
      </c>
      <c r="X24" s="240">
        <f>V23</f>
        <v>3.5659999999999998</v>
      </c>
      <c r="Y24" s="240">
        <f t="shared" ref="Y24:AC24" si="22">W23</f>
        <v>3.7</v>
      </c>
      <c r="Z24" s="240">
        <f t="shared" si="22"/>
        <v>3.7330000000000001</v>
      </c>
      <c r="AA24" s="240">
        <f t="shared" si="22"/>
        <v>3.8</v>
      </c>
      <c r="AB24" s="240">
        <f t="shared" si="22"/>
        <v>3.8809999999999998</v>
      </c>
      <c r="AC24" s="240">
        <f t="shared" si="22"/>
        <v>3.915</v>
      </c>
      <c r="AD24" s="240">
        <f>AB23</f>
        <v>3.9319999999999999</v>
      </c>
      <c r="AE24" s="240">
        <f>AE23</f>
        <v>3.9750000000000001</v>
      </c>
      <c r="AF24" s="240">
        <f>AF23</f>
        <v>4.0039999999999996</v>
      </c>
      <c r="AG24" s="240">
        <f>AG23</f>
        <v>4.0780000000000003</v>
      </c>
      <c r="AH24" s="240">
        <f t="shared" ref="AH24:AJ24" si="23">AH23</f>
        <v>4.1369999999999996</v>
      </c>
      <c r="AI24" s="240">
        <f t="shared" si="23"/>
        <v>4.1870000000000003</v>
      </c>
      <c r="AJ24" s="240">
        <f t="shared" si="23"/>
        <v>4.2279999999999998</v>
      </c>
    </row>
    <row r="25" spans="2:69" ht="15.75" customHeight="1" x14ac:dyDescent="0.35">
      <c r="B25" s="241" t="s">
        <v>1822</v>
      </c>
      <c r="C25" s="242"/>
      <c r="D25" s="243"/>
      <c r="E25" s="243"/>
      <c r="F25" s="243"/>
      <c r="G25" s="243"/>
      <c r="H25" s="243"/>
      <c r="I25" s="243"/>
      <c r="J25" s="243"/>
      <c r="K25" s="243"/>
      <c r="L25" s="243"/>
      <c r="M25" s="243">
        <v>1</v>
      </c>
      <c r="N25" s="243">
        <v>2</v>
      </c>
      <c r="O25" s="243">
        <v>3</v>
      </c>
      <c r="P25" s="243">
        <v>4</v>
      </c>
      <c r="Q25" s="243">
        <v>1</v>
      </c>
      <c r="R25" s="243">
        <v>2</v>
      </c>
      <c r="S25" s="243">
        <v>3</v>
      </c>
      <c r="T25" s="243">
        <v>4</v>
      </c>
      <c r="U25" s="243">
        <v>1</v>
      </c>
      <c r="V25" s="243">
        <v>2</v>
      </c>
      <c r="W25" s="243">
        <v>3</v>
      </c>
      <c r="X25" s="243">
        <v>4</v>
      </c>
      <c r="Y25" s="243">
        <v>1</v>
      </c>
      <c r="Z25" s="243">
        <v>2</v>
      </c>
      <c r="AA25" s="243">
        <v>3</v>
      </c>
      <c r="AB25" s="243">
        <v>4</v>
      </c>
      <c r="AC25" s="243">
        <v>1</v>
      </c>
      <c r="AD25" s="243">
        <v>2</v>
      </c>
      <c r="AE25" s="243">
        <v>3</v>
      </c>
      <c r="AF25" s="243">
        <v>4</v>
      </c>
      <c r="AG25" s="243">
        <v>1</v>
      </c>
      <c r="AH25" s="243">
        <v>2</v>
      </c>
      <c r="AI25" s="243">
        <v>3</v>
      </c>
      <c r="AJ25" s="243">
        <v>4</v>
      </c>
      <c r="AK25" s="219"/>
    </row>
    <row r="26" spans="2:69" x14ac:dyDescent="0.35">
      <c r="B26" s="253" t="s">
        <v>1823</v>
      </c>
      <c r="C26" s="254"/>
      <c r="D26" s="255"/>
      <c r="E26" s="255"/>
      <c r="F26" s="255"/>
      <c r="G26" s="255"/>
      <c r="H26" s="255"/>
      <c r="I26" s="255"/>
      <c r="J26" s="255"/>
      <c r="K26" s="255"/>
      <c r="L26" s="255"/>
      <c r="M26" s="255">
        <v>2021</v>
      </c>
      <c r="N26" s="255">
        <v>2021</v>
      </c>
      <c r="O26" s="255">
        <v>2021</v>
      </c>
      <c r="P26" s="255">
        <v>2021</v>
      </c>
      <c r="Q26" s="255">
        <v>2022</v>
      </c>
      <c r="R26" s="255">
        <v>2022</v>
      </c>
      <c r="S26" s="255">
        <v>2022</v>
      </c>
      <c r="T26" s="255">
        <v>2022</v>
      </c>
      <c r="U26" s="255">
        <v>2023</v>
      </c>
      <c r="V26" s="255">
        <v>2023</v>
      </c>
      <c r="W26" s="255">
        <v>2023</v>
      </c>
      <c r="X26" s="255">
        <v>2023</v>
      </c>
      <c r="Y26" s="255">
        <v>2024</v>
      </c>
      <c r="Z26" s="255">
        <v>2024</v>
      </c>
      <c r="AA26" s="255">
        <v>2024</v>
      </c>
      <c r="AB26" s="255">
        <v>2024</v>
      </c>
      <c r="AC26" s="255">
        <v>2025</v>
      </c>
      <c r="AD26" s="255">
        <v>2025</v>
      </c>
      <c r="AE26" s="255">
        <v>2025</v>
      </c>
      <c r="AF26" s="255">
        <v>2025</v>
      </c>
      <c r="AG26" s="256">
        <v>2026</v>
      </c>
      <c r="AH26" s="256">
        <v>2026</v>
      </c>
      <c r="AI26" s="256">
        <v>2026</v>
      </c>
      <c r="AJ26" s="256">
        <v>2026</v>
      </c>
    </row>
    <row r="27" spans="2:69" x14ac:dyDescent="0.35">
      <c r="B27" s="57"/>
      <c r="C27" s="239"/>
      <c r="D27" s="219"/>
      <c r="E27" s="219"/>
      <c r="F27" s="219"/>
      <c r="G27" s="219"/>
      <c r="H27" s="219"/>
      <c r="I27" s="219"/>
      <c r="J27" s="219"/>
      <c r="K27" s="219"/>
      <c r="L27" s="219"/>
      <c r="M27" s="219"/>
      <c r="N27" s="219"/>
      <c r="O27" s="219"/>
      <c r="P27" s="219"/>
      <c r="Q27" s="219"/>
      <c r="R27" s="219"/>
      <c r="S27" s="219"/>
      <c r="T27" s="219"/>
      <c r="U27" s="219"/>
      <c r="V27" s="219"/>
      <c r="W27" s="219"/>
      <c r="X27" s="219"/>
      <c r="Y27" s="219"/>
      <c r="Z27" s="219"/>
      <c r="AA27" s="219"/>
      <c r="AB27" s="219"/>
      <c r="AC27" s="219"/>
      <c r="AD27" s="219"/>
      <c r="AE27" s="219"/>
      <c r="AF27" s="219"/>
      <c r="AG27" s="219"/>
      <c r="AH27" s="219"/>
      <c r="AI27" s="224"/>
    </row>
    <row r="28" spans="2:69" x14ac:dyDescent="0.35">
      <c r="C28" s="239"/>
      <c r="D28" s="219"/>
      <c r="E28" s="219"/>
      <c r="F28" s="219"/>
      <c r="G28" s="219"/>
      <c r="H28" s="227"/>
      <c r="I28" s="227"/>
      <c r="J28" s="227"/>
      <c r="K28" s="227"/>
      <c r="L28" s="227"/>
      <c r="M28" s="227"/>
      <c r="N28" s="227"/>
      <c r="O28" s="227"/>
      <c r="P28" s="227"/>
      <c r="AI28" s="224"/>
    </row>
    <row r="29" spans="2:69" x14ac:dyDescent="0.35">
      <c r="M29" s="239"/>
      <c r="N29" s="239"/>
      <c r="O29" s="239"/>
    </row>
    <row r="30" spans="2:69" ht="45" customHeight="1" x14ac:dyDescent="0.35">
      <c r="B30" s="277" t="s">
        <v>301</v>
      </c>
      <c r="C30" s="278" t="s">
        <v>302</v>
      </c>
      <c r="D30" s="275"/>
      <c r="E30" s="14" t="s">
        <v>1812</v>
      </c>
      <c r="F30" s="14" t="s">
        <v>1817</v>
      </c>
      <c r="G30" s="14"/>
      <c r="H30" s="14"/>
      <c r="I30" s="14"/>
      <c r="J30" s="14"/>
      <c r="O30" s="279"/>
    </row>
    <row r="31" spans="2:69" x14ac:dyDescent="0.35">
      <c r="B31" s="272">
        <v>44197</v>
      </c>
      <c r="C31" s="225">
        <v>6.3</v>
      </c>
      <c r="D31" s="276"/>
      <c r="E31" s="43" t="s">
        <v>1747</v>
      </c>
      <c r="F31" s="57"/>
      <c r="G31" s="57"/>
      <c r="H31" s="75"/>
      <c r="I31" s="57"/>
      <c r="J31" s="75"/>
      <c r="O31" s="239"/>
    </row>
    <row r="32" spans="2:69" x14ac:dyDescent="0.35">
      <c r="B32" s="272">
        <v>44228</v>
      </c>
      <c r="C32" s="225">
        <v>6.2</v>
      </c>
      <c r="D32" s="276"/>
      <c r="E32" s="107" t="s">
        <v>1813</v>
      </c>
      <c r="F32" s="134">
        <v>6.166666666666667</v>
      </c>
      <c r="G32" s="57"/>
      <c r="H32" s="75"/>
      <c r="I32" s="57"/>
      <c r="J32" s="75"/>
      <c r="O32" s="239"/>
    </row>
    <row r="33" spans="1:43" x14ac:dyDescent="0.35">
      <c r="B33" s="272">
        <v>44256</v>
      </c>
      <c r="C33" s="225">
        <v>6</v>
      </c>
      <c r="D33" s="276"/>
      <c r="E33" s="107" t="s">
        <v>1814</v>
      </c>
      <c r="F33" s="134">
        <v>5.7666666666666657</v>
      </c>
      <c r="G33" s="57"/>
      <c r="H33" s="75"/>
      <c r="I33" s="57"/>
      <c r="J33" s="75"/>
      <c r="O33" s="239"/>
    </row>
    <row r="34" spans="1:43" x14ac:dyDescent="0.35">
      <c r="B34" s="272">
        <v>44287</v>
      </c>
      <c r="C34" s="225">
        <v>6.1</v>
      </c>
      <c r="D34" s="276"/>
      <c r="E34" s="107" t="s">
        <v>1815</v>
      </c>
      <c r="F34" s="134">
        <v>5.1333333333333337</v>
      </c>
      <c r="G34" s="57"/>
      <c r="H34" s="75"/>
      <c r="I34" s="57"/>
      <c r="J34" s="75"/>
      <c r="O34" s="239"/>
    </row>
    <row r="35" spans="1:43" x14ac:dyDescent="0.35">
      <c r="A35" s="57"/>
      <c r="B35" s="272">
        <v>44317</v>
      </c>
      <c r="C35" s="225">
        <v>5.8</v>
      </c>
      <c r="D35" s="276"/>
      <c r="E35" s="107" t="s">
        <v>1816</v>
      </c>
      <c r="F35" s="134">
        <v>4.2333333333333334</v>
      </c>
      <c r="G35" s="57"/>
      <c r="H35" s="75"/>
      <c r="I35" s="57"/>
      <c r="J35" s="75"/>
      <c r="O35" s="239"/>
    </row>
    <row r="36" spans="1:43" x14ac:dyDescent="0.35">
      <c r="A36" s="57"/>
      <c r="B36" s="272">
        <v>44348</v>
      </c>
      <c r="C36" s="225">
        <v>5.4</v>
      </c>
      <c r="D36" s="276"/>
      <c r="E36" s="43" t="s">
        <v>1736</v>
      </c>
      <c r="F36" s="134"/>
      <c r="G36" s="57"/>
      <c r="H36" s="75"/>
      <c r="I36" s="57"/>
      <c r="J36" s="75"/>
      <c r="O36" s="239"/>
    </row>
    <row r="37" spans="1:43" x14ac:dyDescent="0.35">
      <c r="A37" s="57"/>
      <c r="B37" s="272">
        <v>44378</v>
      </c>
      <c r="C37" s="225">
        <v>5.4</v>
      </c>
      <c r="D37" s="276"/>
      <c r="E37" s="107" t="s">
        <v>1813</v>
      </c>
      <c r="F37" s="134">
        <v>3.8000000000000003</v>
      </c>
      <c r="G37" s="57"/>
      <c r="H37" s="75"/>
      <c r="I37" s="57"/>
      <c r="J37" s="75"/>
      <c r="O37" s="239"/>
    </row>
    <row r="38" spans="1:43" x14ac:dyDescent="0.35">
      <c r="A38" s="57"/>
      <c r="B38" s="272">
        <v>44409</v>
      </c>
      <c r="C38" s="225">
        <v>5.2</v>
      </c>
      <c r="D38" s="276"/>
      <c r="E38" s="107" t="s">
        <v>1814</v>
      </c>
      <c r="F38" s="134">
        <v>3.6</v>
      </c>
      <c r="G38" s="57"/>
      <c r="H38" s="75"/>
      <c r="I38" s="57"/>
      <c r="J38" s="75"/>
      <c r="O38" s="239"/>
    </row>
    <row r="39" spans="1:43" x14ac:dyDescent="0.35">
      <c r="A39" s="57"/>
      <c r="B39" s="272">
        <v>44440</v>
      </c>
      <c r="C39" s="225">
        <v>4.8</v>
      </c>
      <c r="D39" s="276"/>
      <c r="E39" s="107" t="s">
        <v>1815</v>
      </c>
      <c r="F39" s="134">
        <v>3.5666666666666664</v>
      </c>
      <c r="G39" s="57"/>
      <c r="H39" s="75"/>
      <c r="I39" s="57"/>
      <c r="J39" s="75"/>
      <c r="O39" s="239"/>
    </row>
    <row r="40" spans="1:43" x14ac:dyDescent="0.35">
      <c r="A40" s="57"/>
      <c r="B40" s="272">
        <v>44470</v>
      </c>
      <c r="C40" s="225">
        <v>4.5999999999999996</v>
      </c>
      <c r="D40" s="276"/>
      <c r="E40" s="107" t="s">
        <v>1816</v>
      </c>
      <c r="F40" s="134">
        <v>3.6</v>
      </c>
      <c r="G40" s="57"/>
      <c r="H40" s="75"/>
      <c r="I40" s="57"/>
      <c r="J40" s="75"/>
      <c r="O40" s="239"/>
    </row>
    <row r="41" spans="1:43" x14ac:dyDescent="0.35">
      <c r="A41" s="57"/>
      <c r="B41" s="272">
        <v>44501</v>
      </c>
      <c r="C41" s="225">
        <v>4.2</v>
      </c>
      <c r="D41" s="276"/>
      <c r="E41" s="43" t="s">
        <v>1818</v>
      </c>
      <c r="F41" s="134"/>
      <c r="G41" s="57"/>
      <c r="H41" s="75"/>
      <c r="I41" s="57"/>
      <c r="J41" s="75"/>
      <c r="O41" s="239"/>
      <c r="AI41" s="239"/>
      <c r="AJ41" s="239"/>
      <c r="AK41" s="239"/>
      <c r="AL41" s="239"/>
      <c r="AM41" s="239"/>
      <c r="AN41" s="239"/>
      <c r="AO41" s="239"/>
      <c r="AP41" s="239"/>
      <c r="AQ41" s="239"/>
    </row>
    <row r="42" spans="1:43" x14ac:dyDescent="0.35">
      <c r="A42" s="57"/>
      <c r="B42" s="272">
        <v>44531</v>
      </c>
      <c r="C42" s="225">
        <v>3.9</v>
      </c>
      <c r="D42" s="276"/>
      <c r="E42" s="107" t="s">
        <v>1813</v>
      </c>
      <c r="F42" s="134">
        <v>3.5</v>
      </c>
      <c r="G42" s="57"/>
      <c r="H42" s="75"/>
      <c r="I42" s="57"/>
      <c r="J42" s="75"/>
      <c r="O42" s="239"/>
      <c r="AI42" s="239"/>
      <c r="AJ42" s="239"/>
      <c r="AK42" s="239"/>
      <c r="AL42" s="239"/>
      <c r="AM42" s="239"/>
      <c r="AN42" s="239"/>
      <c r="AO42" s="239"/>
      <c r="AP42" s="239"/>
      <c r="AQ42" s="239"/>
    </row>
    <row r="43" spans="1:43" x14ac:dyDescent="0.35">
      <c r="A43" s="57"/>
      <c r="B43" s="272">
        <v>44562</v>
      </c>
      <c r="C43" s="225">
        <v>4</v>
      </c>
      <c r="D43" s="57"/>
      <c r="E43" s="107" t="s">
        <v>1814</v>
      </c>
      <c r="F43" s="134"/>
      <c r="G43" s="57"/>
      <c r="H43" s="75"/>
      <c r="I43" s="57"/>
      <c r="J43" s="75"/>
      <c r="O43" s="239"/>
    </row>
    <row r="44" spans="1:43" x14ac:dyDescent="0.35">
      <c r="A44" s="57"/>
      <c r="B44" s="272">
        <v>44593</v>
      </c>
      <c r="C44" s="225">
        <v>3.8</v>
      </c>
      <c r="D44" s="57"/>
      <c r="E44" s="107" t="s">
        <v>1815</v>
      </c>
      <c r="F44" s="134"/>
      <c r="G44" s="57"/>
      <c r="H44" s="75"/>
      <c r="I44" s="57"/>
      <c r="J44" s="75"/>
    </row>
    <row r="45" spans="1:43" x14ac:dyDescent="0.35">
      <c r="A45" s="57"/>
      <c r="B45" s="272">
        <v>44621</v>
      </c>
      <c r="C45" s="225">
        <v>3.6</v>
      </c>
      <c r="D45" s="57"/>
      <c r="E45" s="107" t="s">
        <v>1816</v>
      </c>
      <c r="F45" s="134"/>
      <c r="G45" s="57"/>
      <c r="H45" s="75"/>
      <c r="I45" s="57"/>
      <c r="J45" s="75"/>
    </row>
    <row r="46" spans="1:43" x14ac:dyDescent="0.35">
      <c r="A46" s="57"/>
      <c r="B46" s="272">
        <v>44652</v>
      </c>
      <c r="C46" s="225">
        <v>3.6</v>
      </c>
      <c r="D46" s="57"/>
      <c r="E46" s="43" t="s">
        <v>1819</v>
      </c>
      <c r="F46" s="134"/>
      <c r="G46" s="57"/>
      <c r="H46" s="75"/>
      <c r="I46" s="57"/>
      <c r="J46" s="75"/>
    </row>
    <row r="47" spans="1:43" x14ac:dyDescent="0.35">
      <c r="A47" s="57"/>
      <c r="B47" s="272">
        <v>44682</v>
      </c>
      <c r="C47" s="225">
        <v>3.6</v>
      </c>
      <c r="D47" s="57"/>
      <c r="E47" s="107" t="s">
        <v>1813</v>
      </c>
      <c r="F47" s="134"/>
      <c r="G47" s="57"/>
      <c r="H47" s="75"/>
      <c r="I47" s="57"/>
      <c r="J47" s="75"/>
    </row>
    <row r="48" spans="1:43" x14ac:dyDescent="0.35">
      <c r="A48" s="57"/>
      <c r="B48" s="272">
        <v>44713</v>
      </c>
      <c r="C48" s="225">
        <v>3.6</v>
      </c>
      <c r="D48" s="57"/>
      <c r="E48" s="107" t="s">
        <v>1814</v>
      </c>
      <c r="F48" s="134"/>
      <c r="G48" s="57"/>
      <c r="H48" s="75"/>
      <c r="I48" s="57"/>
      <c r="J48" s="75"/>
    </row>
    <row r="49" spans="1:10" x14ac:dyDescent="0.35">
      <c r="A49" s="57"/>
      <c r="B49" s="272">
        <v>44743</v>
      </c>
      <c r="C49" s="225">
        <v>3.5</v>
      </c>
      <c r="D49" s="57"/>
      <c r="E49" s="107" t="s">
        <v>1815</v>
      </c>
      <c r="F49" s="134"/>
      <c r="G49" s="57"/>
      <c r="H49" s="75"/>
      <c r="I49" s="57"/>
      <c r="J49" s="75"/>
    </row>
    <row r="50" spans="1:10" x14ac:dyDescent="0.35">
      <c r="A50" s="57"/>
      <c r="B50" s="272">
        <v>44774</v>
      </c>
      <c r="C50" s="225">
        <v>3.7</v>
      </c>
      <c r="D50" s="57"/>
      <c r="E50" s="107" t="s">
        <v>1816</v>
      </c>
      <c r="F50" s="134"/>
      <c r="G50" s="57"/>
      <c r="H50" s="75"/>
      <c r="I50" s="57"/>
      <c r="J50" s="75"/>
    </row>
    <row r="51" spans="1:10" x14ac:dyDescent="0.35">
      <c r="A51" s="57"/>
      <c r="B51" s="272">
        <v>44805</v>
      </c>
      <c r="C51" s="225">
        <v>3.5</v>
      </c>
      <c r="D51" s="57"/>
      <c r="E51" s="43" t="s">
        <v>1820</v>
      </c>
      <c r="F51" s="134"/>
      <c r="G51" s="57"/>
      <c r="H51" s="57"/>
      <c r="I51" s="57"/>
      <c r="J51" s="57"/>
    </row>
    <row r="52" spans="1:10" x14ac:dyDescent="0.35">
      <c r="A52" s="57"/>
      <c r="B52" s="272">
        <v>44835</v>
      </c>
      <c r="C52" s="225">
        <v>3.7</v>
      </c>
      <c r="D52" s="57"/>
      <c r="E52" s="107" t="s">
        <v>1813</v>
      </c>
      <c r="F52" s="134"/>
      <c r="G52" s="57"/>
      <c r="H52" s="57"/>
      <c r="I52" s="57"/>
      <c r="J52" s="57"/>
    </row>
    <row r="53" spans="1:10" x14ac:dyDescent="0.35">
      <c r="A53" s="57"/>
      <c r="B53" s="272">
        <v>44866</v>
      </c>
      <c r="C53" s="225">
        <v>3.6</v>
      </c>
      <c r="D53" s="57"/>
      <c r="E53" s="107" t="s">
        <v>1814</v>
      </c>
      <c r="F53" s="134"/>
      <c r="G53" s="57"/>
      <c r="H53" s="57"/>
      <c r="I53" s="57"/>
      <c r="J53" s="57"/>
    </row>
    <row r="54" spans="1:10" x14ac:dyDescent="0.35">
      <c r="A54" s="57"/>
      <c r="B54" s="272">
        <v>44896</v>
      </c>
      <c r="C54" s="225">
        <v>3.5</v>
      </c>
      <c r="D54" s="57"/>
      <c r="E54" s="107" t="s">
        <v>1815</v>
      </c>
      <c r="F54" s="134"/>
      <c r="G54" s="57"/>
      <c r="H54" s="57"/>
      <c r="I54" s="57"/>
      <c r="J54" s="57"/>
    </row>
    <row r="55" spans="1:10" x14ac:dyDescent="0.35">
      <c r="B55" s="272">
        <v>44927</v>
      </c>
      <c r="C55" s="225">
        <v>3.4</v>
      </c>
      <c r="D55" s="57"/>
      <c r="E55" s="107" t="s">
        <v>1816</v>
      </c>
      <c r="F55" s="134"/>
      <c r="G55" s="57"/>
      <c r="H55" s="57"/>
      <c r="I55" s="57"/>
      <c r="J55" s="57"/>
    </row>
    <row r="56" spans="1:10" x14ac:dyDescent="0.35">
      <c r="B56" s="272">
        <v>44958</v>
      </c>
      <c r="C56" s="225">
        <v>3.6</v>
      </c>
      <c r="D56" s="57"/>
      <c r="E56" s="43" t="s">
        <v>1821</v>
      </c>
      <c r="F56" s="134"/>
      <c r="G56" s="57"/>
      <c r="H56" s="57"/>
      <c r="I56" s="57"/>
      <c r="J56" s="57"/>
    </row>
    <row r="57" spans="1:10" x14ac:dyDescent="0.35">
      <c r="B57" s="272">
        <v>44986</v>
      </c>
      <c r="C57" s="225">
        <v>3.5</v>
      </c>
      <c r="D57" s="57"/>
      <c r="E57" s="107" t="s">
        <v>1813</v>
      </c>
      <c r="F57" s="134"/>
      <c r="G57" s="57"/>
      <c r="H57" s="57"/>
      <c r="I57" s="57"/>
      <c r="J57" s="57"/>
    </row>
    <row r="58" spans="1:10" x14ac:dyDescent="0.35">
      <c r="B58" s="272">
        <v>45017</v>
      </c>
      <c r="C58" s="225"/>
      <c r="D58" s="57"/>
      <c r="E58" s="107" t="s">
        <v>1814</v>
      </c>
      <c r="F58" s="134"/>
      <c r="G58" s="57"/>
      <c r="H58" s="57"/>
      <c r="I58" s="57"/>
      <c r="J58" s="57"/>
    </row>
    <row r="59" spans="1:10" x14ac:dyDescent="0.35">
      <c r="B59" s="272">
        <v>45047</v>
      </c>
      <c r="C59" s="225"/>
      <c r="D59" s="57"/>
      <c r="E59" s="107" t="s">
        <v>1815</v>
      </c>
      <c r="F59" s="134"/>
      <c r="G59" s="57"/>
      <c r="H59" s="57"/>
      <c r="I59" s="57"/>
      <c r="J59" s="57"/>
    </row>
    <row r="60" spans="1:10" x14ac:dyDescent="0.35">
      <c r="B60" s="272">
        <v>45078</v>
      </c>
      <c r="C60" s="225"/>
      <c r="D60" s="57"/>
      <c r="E60" s="107" t="s">
        <v>1816</v>
      </c>
      <c r="F60" s="134"/>
      <c r="G60" s="57"/>
      <c r="H60" s="57"/>
      <c r="I60" s="57"/>
      <c r="J60" s="57"/>
    </row>
    <row r="61" spans="1:10" x14ac:dyDescent="0.35">
      <c r="B61" s="272">
        <v>45108</v>
      </c>
      <c r="C61" s="225"/>
      <c r="D61" s="57"/>
      <c r="E61" s="57"/>
      <c r="F61" s="57"/>
      <c r="G61" s="57"/>
      <c r="H61" s="57"/>
      <c r="I61" s="57"/>
      <c r="J61" s="57"/>
    </row>
    <row r="62" spans="1:10" x14ac:dyDescent="0.35">
      <c r="B62" s="272">
        <v>45139</v>
      </c>
      <c r="C62" s="225"/>
      <c r="D62" s="57"/>
      <c r="E62" s="57"/>
      <c r="F62" s="57"/>
      <c r="G62" s="57"/>
      <c r="H62" s="57"/>
      <c r="I62" s="57"/>
      <c r="J62" s="57"/>
    </row>
    <row r="63" spans="1:10" x14ac:dyDescent="0.35">
      <c r="B63" s="272">
        <v>45170</v>
      </c>
      <c r="C63" s="225"/>
      <c r="D63" s="57"/>
      <c r="E63" s="57"/>
      <c r="F63" s="57"/>
      <c r="G63" s="57"/>
      <c r="H63" s="57"/>
      <c r="I63" s="57"/>
      <c r="J63" s="57"/>
    </row>
    <row r="64" spans="1:10" x14ac:dyDescent="0.35">
      <c r="B64" s="272">
        <v>45200</v>
      </c>
      <c r="C64" s="225"/>
      <c r="D64" s="57"/>
      <c r="E64" s="57"/>
      <c r="F64" s="57"/>
      <c r="G64" s="57"/>
      <c r="H64" s="57"/>
      <c r="I64" s="57"/>
      <c r="J64" s="57"/>
    </row>
    <row r="65" spans="2:10" x14ac:dyDescent="0.35">
      <c r="B65" s="272">
        <v>45231</v>
      </c>
      <c r="C65" s="225"/>
      <c r="D65" s="57"/>
      <c r="E65" s="57"/>
      <c r="F65" s="57"/>
      <c r="G65" s="57"/>
      <c r="H65" s="57"/>
      <c r="I65" s="57"/>
      <c r="J65" s="57"/>
    </row>
    <row r="66" spans="2:10" x14ac:dyDescent="0.35">
      <c r="B66" s="272">
        <v>45261</v>
      </c>
      <c r="C66" s="225"/>
      <c r="D66" s="57"/>
      <c r="E66" s="57"/>
      <c r="F66" s="57"/>
      <c r="G66" s="57"/>
      <c r="H66" s="57"/>
      <c r="I66" s="57"/>
      <c r="J66" s="57"/>
    </row>
    <row r="67" spans="2:10" x14ac:dyDescent="0.35">
      <c r="B67" s="272">
        <v>45292</v>
      </c>
      <c r="C67" s="225"/>
      <c r="D67" s="57"/>
      <c r="E67" s="57"/>
      <c r="F67" s="57"/>
      <c r="G67" s="57"/>
      <c r="H67" s="57"/>
      <c r="I67" s="57"/>
      <c r="J67" s="57"/>
    </row>
    <row r="68" spans="2:10" x14ac:dyDescent="0.35">
      <c r="B68" s="272">
        <v>45323</v>
      </c>
      <c r="C68" s="225"/>
      <c r="D68" s="57"/>
      <c r="E68" s="57"/>
      <c r="F68" s="57"/>
      <c r="G68" s="57"/>
      <c r="H68" s="57"/>
      <c r="I68" s="57"/>
      <c r="J68" s="57"/>
    </row>
    <row r="69" spans="2:10" x14ac:dyDescent="0.35">
      <c r="B69" s="272">
        <v>45352</v>
      </c>
      <c r="C69" s="225"/>
      <c r="D69" s="57"/>
      <c r="E69" s="57"/>
      <c r="F69" s="57"/>
      <c r="G69" s="57"/>
      <c r="H69" s="57"/>
      <c r="I69" s="57"/>
      <c r="J69" s="57"/>
    </row>
    <row r="70" spans="2:10" x14ac:dyDescent="0.35">
      <c r="B70" s="272">
        <v>45383</v>
      </c>
      <c r="C70" s="225"/>
      <c r="D70" s="57"/>
      <c r="E70" s="57"/>
      <c r="F70" s="57"/>
      <c r="G70" s="57"/>
      <c r="H70" s="57"/>
      <c r="I70" s="57"/>
      <c r="J70" s="57"/>
    </row>
    <row r="71" spans="2:10" x14ac:dyDescent="0.35">
      <c r="B71" s="272">
        <v>45413</v>
      </c>
      <c r="C71" s="225"/>
      <c r="D71" s="57"/>
      <c r="E71" s="57"/>
      <c r="F71" s="57"/>
      <c r="G71" s="57"/>
      <c r="H71" s="57"/>
      <c r="I71" s="57"/>
      <c r="J71" s="57"/>
    </row>
    <row r="72" spans="2:10" x14ac:dyDescent="0.35">
      <c r="B72" s="272">
        <v>45444</v>
      </c>
      <c r="C72" s="225"/>
      <c r="D72" s="57"/>
      <c r="E72" s="57"/>
      <c r="F72" s="57"/>
      <c r="G72" s="57"/>
      <c r="H72" s="57"/>
      <c r="I72" s="57"/>
      <c r="J72" s="57"/>
    </row>
    <row r="73" spans="2:10" x14ac:dyDescent="0.35">
      <c r="B73" s="272">
        <v>45474</v>
      </c>
      <c r="C73" s="225"/>
      <c r="D73" s="57"/>
      <c r="E73" s="57"/>
      <c r="F73" s="57"/>
      <c r="G73" s="57"/>
      <c r="H73" s="57"/>
      <c r="I73" s="57"/>
      <c r="J73" s="57"/>
    </row>
    <row r="74" spans="2:10" x14ac:dyDescent="0.35">
      <c r="B74" s="272">
        <v>45505</v>
      </c>
      <c r="C74" s="225"/>
      <c r="D74" s="57"/>
      <c r="E74" s="57"/>
      <c r="F74" s="57"/>
      <c r="G74" s="57"/>
      <c r="H74" s="57"/>
      <c r="I74" s="57"/>
      <c r="J74" s="57"/>
    </row>
    <row r="75" spans="2:10" x14ac:dyDescent="0.35">
      <c r="B75" s="272">
        <v>45536</v>
      </c>
      <c r="C75" s="225"/>
      <c r="D75" s="57"/>
      <c r="E75" s="57"/>
      <c r="F75" s="57"/>
      <c r="G75" s="57"/>
      <c r="H75" s="57"/>
      <c r="I75" s="57"/>
      <c r="J75" s="57"/>
    </row>
    <row r="76" spans="2:10" x14ac:dyDescent="0.35">
      <c r="B76" s="272">
        <v>45566</v>
      </c>
      <c r="C76" s="225"/>
      <c r="D76" s="57"/>
      <c r="E76" s="57"/>
      <c r="F76" s="57"/>
      <c r="G76" s="57"/>
      <c r="H76" s="57"/>
      <c r="I76" s="57"/>
      <c r="J76" s="57"/>
    </row>
    <row r="77" spans="2:10" x14ac:dyDescent="0.35">
      <c r="B77" s="272">
        <v>45597</v>
      </c>
      <c r="C77" s="225"/>
      <c r="D77" s="57"/>
      <c r="E77" s="57"/>
      <c r="F77" s="57"/>
      <c r="G77" s="57"/>
      <c r="H77" s="57"/>
      <c r="I77" s="57"/>
      <c r="J77" s="57"/>
    </row>
    <row r="78" spans="2:10" x14ac:dyDescent="0.35">
      <c r="B78" s="272">
        <v>45627</v>
      </c>
      <c r="C78" s="225"/>
      <c r="D78" s="57"/>
      <c r="E78" s="57"/>
      <c r="F78" s="57"/>
      <c r="G78" s="57"/>
      <c r="H78" s="57"/>
      <c r="I78" s="57"/>
      <c r="J78" s="57"/>
    </row>
    <row r="79" spans="2:10" x14ac:dyDescent="0.35">
      <c r="B79" s="272">
        <v>45658</v>
      </c>
      <c r="C79" s="225"/>
      <c r="D79" s="57"/>
      <c r="E79" s="57"/>
      <c r="F79" s="57"/>
      <c r="G79" s="57"/>
      <c r="H79" s="57"/>
      <c r="I79" s="57"/>
      <c r="J79" s="57"/>
    </row>
    <row r="80" spans="2:10" x14ac:dyDescent="0.35">
      <c r="B80" s="272">
        <v>45689</v>
      </c>
      <c r="C80" s="225"/>
      <c r="D80" s="57"/>
      <c r="E80" s="57"/>
      <c r="F80" s="57"/>
      <c r="G80" s="57"/>
      <c r="H80" s="57"/>
      <c r="I80" s="57"/>
      <c r="J80" s="57"/>
    </row>
    <row r="81" spans="2:10" x14ac:dyDescent="0.35">
      <c r="B81" s="272">
        <v>45717</v>
      </c>
      <c r="C81" s="225"/>
      <c r="D81" s="57"/>
      <c r="E81" s="57"/>
      <c r="F81" s="57"/>
      <c r="G81" s="57"/>
      <c r="H81" s="57"/>
      <c r="I81" s="57"/>
      <c r="J81" s="57"/>
    </row>
    <row r="82" spans="2:10" x14ac:dyDescent="0.35">
      <c r="B82" s="272">
        <v>45748</v>
      </c>
      <c r="C82" s="225"/>
      <c r="D82" s="57"/>
      <c r="E82" s="57"/>
      <c r="F82" s="57"/>
      <c r="G82" s="57"/>
      <c r="H82" s="57"/>
      <c r="I82" s="57"/>
      <c r="J82" s="57"/>
    </row>
    <row r="83" spans="2:10" x14ac:dyDescent="0.35">
      <c r="B83" s="272">
        <v>45778</v>
      </c>
      <c r="C83" s="225"/>
      <c r="D83" s="57"/>
      <c r="E83" s="57"/>
      <c r="F83" s="57"/>
      <c r="G83" s="57"/>
      <c r="H83" s="57"/>
      <c r="I83" s="57"/>
      <c r="J83" s="57"/>
    </row>
    <row r="84" spans="2:10" x14ac:dyDescent="0.35">
      <c r="B84" s="272">
        <v>45809</v>
      </c>
      <c r="C84" s="225"/>
      <c r="D84" s="57"/>
      <c r="E84" s="57"/>
      <c r="F84" s="57"/>
      <c r="G84" s="57"/>
      <c r="H84" s="57"/>
      <c r="I84" s="57"/>
      <c r="J84" s="57"/>
    </row>
    <row r="85" spans="2:10" x14ac:dyDescent="0.35">
      <c r="B85" s="272">
        <v>45839</v>
      </c>
      <c r="C85" s="225"/>
      <c r="D85" s="57"/>
      <c r="E85" s="57"/>
      <c r="F85" s="57"/>
      <c r="G85" s="57"/>
      <c r="H85" s="57"/>
      <c r="I85" s="57"/>
      <c r="J85" s="57"/>
    </row>
    <row r="86" spans="2:10" x14ac:dyDescent="0.35">
      <c r="B86" s="272">
        <v>45870</v>
      </c>
      <c r="C86" s="225"/>
      <c r="D86" s="57"/>
      <c r="E86" s="57"/>
      <c r="F86" s="57"/>
      <c r="G86" s="57"/>
      <c r="H86" s="57"/>
      <c r="I86" s="57"/>
      <c r="J86" s="57"/>
    </row>
    <row r="87" spans="2:10" x14ac:dyDescent="0.35">
      <c r="B87" s="272">
        <v>45901</v>
      </c>
      <c r="C87" s="225"/>
      <c r="D87" s="57"/>
      <c r="E87" s="57"/>
      <c r="F87" s="57"/>
      <c r="G87" s="57"/>
      <c r="H87" s="57"/>
      <c r="I87" s="57"/>
      <c r="J87" s="57"/>
    </row>
    <row r="88" spans="2:10" x14ac:dyDescent="0.35">
      <c r="B88" s="272">
        <v>45931</v>
      </c>
      <c r="C88" s="225"/>
      <c r="D88" s="57"/>
      <c r="E88" s="57"/>
      <c r="F88" s="57"/>
      <c r="G88" s="57"/>
      <c r="H88" s="57"/>
      <c r="I88" s="57"/>
      <c r="J88" s="57"/>
    </row>
    <row r="89" spans="2:10" x14ac:dyDescent="0.35">
      <c r="B89" s="272">
        <v>45962</v>
      </c>
      <c r="C89" s="225"/>
      <c r="D89" s="57"/>
      <c r="E89" s="57"/>
      <c r="F89" s="57"/>
      <c r="G89" s="57"/>
      <c r="H89" s="57"/>
      <c r="I89" s="57"/>
      <c r="J89" s="57"/>
    </row>
    <row r="90" spans="2:10" x14ac:dyDescent="0.35">
      <c r="B90" s="272">
        <v>45992</v>
      </c>
      <c r="C90" s="225"/>
      <c r="D90" s="57"/>
      <c r="E90" s="57"/>
      <c r="F90" s="57"/>
      <c r="G90" s="57"/>
      <c r="H90" s="57"/>
      <c r="I90" s="57"/>
      <c r="J90" s="57"/>
    </row>
    <row r="91" spans="2:10" x14ac:dyDescent="0.35">
      <c r="B91" s="272">
        <v>46023</v>
      </c>
      <c r="C91" s="225"/>
      <c r="D91" s="57"/>
      <c r="E91" s="57"/>
      <c r="F91" s="57"/>
      <c r="G91" s="57"/>
      <c r="H91" s="57"/>
      <c r="I91" s="57"/>
      <c r="J91" s="57"/>
    </row>
    <row r="92" spans="2:10" x14ac:dyDescent="0.35">
      <c r="B92" s="272">
        <v>46054</v>
      </c>
      <c r="C92" s="225"/>
      <c r="D92" s="57"/>
      <c r="E92" s="57"/>
      <c r="F92" s="57"/>
      <c r="G92" s="57"/>
      <c r="H92" s="57"/>
      <c r="I92" s="57"/>
      <c r="J92" s="57"/>
    </row>
    <row r="93" spans="2:10" x14ac:dyDescent="0.35">
      <c r="B93" s="272">
        <v>46082</v>
      </c>
      <c r="C93" s="225"/>
      <c r="D93" s="57"/>
      <c r="E93" s="57"/>
      <c r="F93" s="57"/>
      <c r="G93" s="57"/>
      <c r="H93" s="57"/>
      <c r="I93" s="57"/>
      <c r="J93" s="57"/>
    </row>
    <row r="94" spans="2:10" x14ac:dyDescent="0.35">
      <c r="B94" s="272">
        <v>46113</v>
      </c>
      <c r="C94" s="225"/>
      <c r="D94" s="57"/>
      <c r="E94" s="57"/>
      <c r="F94" s="57"/>
      <c r="G94" s="57"/>
      <c r="H94" s="57"/>
      <c r="I94" s="57"/>
      <c r="J94" s="57"/>
    </row>
    <row r="95" spans="2:10" x14ac:dyDescent="0.35">
      <c r="B95" s="272">
        <v>46143</v>
      </c>
      <c r="C95" s="225"/>
      <c r="D95" s="57"/>
      <c r="E95" s="57"/>
      <c r="F95" s="57"/>
      <c r="G95" s="57"/>
      <c r="H95" s="57"/>
      <c r="I95" s="57"/>
      <c r="J95" s="57"/>
    </row>
    <row r="96" spans="2:10" x14ac:dyDescent="0.35">
      <c r="B96" s="272">
        <v>46174</v>
      </c>
      <c r="C96" s="225"/>
      <c r="D96" s="57"/>
      <c r="E96" s="57"/>
      <c r="F96" s="57"/>
      <c r="G96" s="57"/>
      <c r="H96" s="57"/>
      <c r="I96" s="57"/>
      <c r="J96" s="57"/>
    </row>
    <row r="97" spans="2:10" x14ac:dyDescent="0.35">
      <c r="B97" s="272">
        <v>46204</v>
      </c>
      <c r="C97" s="225"/>
      <c r="D97" s="57"/>
      <c r="E97" s="57"/>
      <c r="F97" s="57"/>
      <c r="G97" s="57"/>
      <c r="H97" s="57"/>
      <c r="I97" s="57"/>
      <c r="J97" s="57"/>
    </row>
    <row r="98" spans="2:10" x14ac:dyDescent="0.35">
      <c r="B98" s="272">
        <v>46235</v>
      </c>
      <c r="C98" s="225"/>
      <c r="D98" s="57"/>
      <c r="E98" s="57"/>
      <c r="F98" s="57"/>
      <c r="G98" s="57"/>
      <c r="H98" s="57"/>
      <c r="I98" s="57"/>
      <c r="J98" s="57"/>
    </row>
    <row r="99" spans="2:10" x14ac:dyDescent="0.35">
      <c r="B99" s="272">
        <v>46266</v>
      </c>
      <c r="C99" s="225"/>
      <c r="D99" s="57"/>
      <c r="E99" s="57"/>
      <c r="F99" s="57"/>
      <c r="G99" s="57"/>
      <c r="H99" s="57"/>
      <c r="I99" s="57"/>
      <c r="J99" s="57"/>
    </row>
    <row r="100" spans="2:10" x14ac:dyDescent="0.35">
      <c r="B100" s="272">
        <v>46296</v>
      </c>
      <c r="C100" s="225"/>
      <c r="D100" s="57"/>
      <c r="E100" s="57"/>
      <c r="F100" s="57"/>
      <c r="G100" s="57"/>
      <c r="H100" s="57"/>
      <c r="I100" s="57"/>
      <c r="J100" s="57"/>
    </row>
    <row r="101" spans="2:10" x14ac:dyDescent="0.35">
      <c r="B101" s="272">
        <v>46327</v>
      </c>
      <c r="C101" s="225"/>
      <c r="D101" s="57"/>
      <c r="E101" s="57"/>
      <c r="F101" s="57"/>
      <c r="G101" s="57"/>
      <c r="H101" s="57"/>
      <c r="I101" s="57"/>
      <c r="J101" s="57"/>
    </row>
    <row r="102" spans="2:10" x14ac:dyDescent="0.35">
      <c r="B102" s="273">
        <v>46357</v>
      </c>
      <c r="C102" s="226"/>
      <c r="D102" s="57"/>
      <c r="E102" s="57"/>
      <c r="F102" s="57"/>
      <c r="G102" s="57"/>
      <c r="H102" s="57"/>
      <c r="I102" s="57"/>
      <c r="J102" s="57"/>
    </row>
  </sheetData>
  <mergeCells count="12">
    <mergeCell ref="AG9:AJ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71" t="s">
        <v>53</v>
      </c>
      <c r="C1" s="1271"/>
      <c r="D1" s="1271"/>
      <c r="E1" s="1271"/>
      <c r="F1" s="1271"/>
      <c r="G1" s="1271"/>
      <c r="H1" s="1271"/>
      <c r="I1" s="1271"/>
      <c r="J1" s="1271"/>
      <c r="K1" s="1271"/>
      <c r="L1" s="1271"/>
      <c r="M1" s="1271"/>
      <c r="N1" s="1271"/>
      <c r="O1" s="1271"/>
      <c r="P1" s="1271"/>
      <c r="Q1" s="1271"/>
      <c r="R1" s="1271"/>
      <c r="S1" s="1271"/>
      <c r="T1" s="1271"/>
      <c r="U1" s="1271"/>
      <c r="V1" s="1271"/>
      <c r="W1" s="1271"/>
      <c r="X1" s="1271"/>
      <c r="Y1" s="1271"/>
      <c r="Z1" s="1271"/>
      <c r="AA1" s="1271"/>
      <c r="AB1" s="1271"/>
      <c r="AC1" s="1271"/>
    </row>
    <row r="2" spans="2:30" ht="14.25" customHeight="1" x14ac:dyDescent="0.35">
      <c r="B2" s="1272" t="s">
        <v>277</v>
      </c>
      <c r="C2" s="1272"/>
      <c r="D2" s="1272"/>
      <c r="E2" s="1272"/>
      <c r="F2" s="1272"/>
      <c r="G2" s="1272"/>
      <c r="H2" s="1272"/>
      <c r="I2" s="1272"/>
      <c r="J2" s="1272"/>
      <c r="K2" s="1272"/>
      <c r="L2" s="1272"/>
      <c r="M2" s="1272"/>
      <c r="N2" s="1272"/>
      <c r="O2" s="1272"/>
      <c r="P2" s="1272"/>
      <c r="Q2" s="1272"/>
      <c r="R2" s="1272"/>
      <c r="S2" s="1272"/>
      <c r="T2" s="1272"/>
      <c r="U2" s="1272"/>
      <c r="V2" s="1272"/>
      <c r="W2" s="1272"/>
      <c r="X2" s="1272"/>
      <c r="Y2" s="1272"/>
      <c r="Z2" s="1272"/>
      <c r="AA2" s="1272"/>
      <c r="AB2" s="1272"/>
      <c r="AC2" s="1272"/>
    </row>
    <row r="3" spans="2:30" x14ac:dyDescent="0.35">
      <c r="B3" s="1272"/>
      <c r="C3" s="1272"/>
      <c r="D3" s="1272"/>
      <c r="E3" s="1272"/>
      <c r="F3" s="1272"/>
      <c r="G3" s="1272"/>
      <c r="H3" s="1272"/>
      <c r="I3" s="1272"/>
      <c r="J3" s="1272"/>
      <c r="K3" s="1272"/>
      <c r="L3" s="1272"/>
      <c r="M3" s="1272"/>
      <c r="N3" s="1272"/>
      <c r="O3" s="1272"/>
      <c r="P3" s="1272"/>
      <c r="Q3" s="1272"/>
      <c r="R3" s="1272"/>
      <c r="S3" s="1272"/>
      <c r="T3" s="1272"/>
      <c r="U3" s="1272"/>
      <c r="V3" s="1272"/>
      <c r="W3" s="1272"/>
      <c r="X3" s="1272"/>
      <c r="Y3" s="1272"/>
      <c r="Z3" s="1272"/>
      <c r="AA3" s="1272"/>
      <c r="AB3" s="1272"/>
      <c r="AC3" s="1272"/>
    </row>
    <row r="4" spans="2:30" x14ac:dyDescent="0.35">
      <c r="B4" s="1272"/>
      <c r="C4" s="1272"/>
      <c r="D4" s="1272"/>
      <c r="E4" s="1272"/>
      <c r="F4" s="1272"/>
      <c r="G4" s="1272"/>
      <c r="H4" s="1272"/>
      <c r="I4" s="1272"/>
      <c r="J4" s="1272"/>
      <c r="K4" s="1272"/>
      <c r="L4" s="1272"/>
      <c r="M4" s="1272"/>
      <c r="N4" s="1272"/>
      <c r="O4" s="1272"/>
      <c r="P4" s="1272"/>
      <c r="Q4" s="1272"/>
      <c r="R4" s="1272"/>
      <c r="S4" s="1272"/>
      <c r="T4" s="1272"/>
      <c r="U4" s="1272"/>
      <c r="V4" s="1272"/>
      <c r="W4" s="1272"/>
      <c r="X4" s="1272"/>
      <c r="Y4" s="1272"/>
      <c r="Z4" s="1272"/>
      <c r="AA4" s="1272"/>
      <c r="AB4" s="1272"/>
      <c r="AC4" s="1272"/>
    </row>
    <row r="5" spans="2:30" x14ac:dyDescent="0.35">
      <c r="B5" s="1272"/>
      <c r="C5" s="1272"/>
      <c r="D5" s="1272"/>
      <c r="E5" s="1272"/>
      <c r="F5" s="1272"/>
      <c r="G5" s="1272"/>
      <c r="H5" s="1272"/>
      <c r="I5" s="1272"/>
      <c r="J5" s="1272"/>
      <c r="K5" s="1272"/>
      <c r="L5" s="1272"/>
      <c r="M5" s="1272"/>
      <c r="N5" s="1272"/>
      <c r="O5" s="1272"/>
      <c r="P5" s="1272"/>
      <c r="Q5" s="1272"/>
      <c r="R5" s="1272"/>
      <c r="S5" s="1272"/>
      <c r="T5" s="1272"/>
      <c r="U5" s="1272"/>
      <c r="V5" s="1272"/>
      <c r="W5" s="1272"/>
      <c r="X5" s="1272"/>
      <c r="Y5" s="1272"/>
      <c r="Z5" s="1272"/>
      <c r="AA5" s="1272"/>
      <c r="AB5" s="1272"/>
      <c r="AC5" s="1272"/>
    </row>
    <row r="6" spans="2:30" ht="38.9" customHeight="1" x14ac:dyDescent="0.35">
      <c r="B6" s="1272"/>
      <c r="C6" s="1272"/>
      <c r="D6" s="1272"/>
      <c r="E6" s="1272"/>
      <c r="F6" s="1272"/>
      <c r="G6" s="1272"/>
      <c r="H6" s="1272"/>
      <c r="I6" s="1272"/>
      <c r="J6" s="1272"/>
      <c r="K6" s="1272"/>
      <c r="L6" s="1272"/>
      <c r="M6" s="1272"/>
      <c r="N6" s="1272"/>
      <c r="O6" s="1272"/>
      <c r="P6" s="1272"/>
      <c r="Q6" s="1272"/>
      <c r="R6" s="1272"/>
      <c r="S6" s="1272"/>
      <c r="T6" s="1272"/>
      <c r="U6" s="1272"/>
      <c r="V6" s="1272"/>
      <c r="W6" s="1272"/>
      <c r="X6" s="1272"/>
      <c r="Y6" s="1272"/>
      <c r="Z6" s="1272"/>
      <c r="AA6" s="1272"/>
      <c r="AB6" s="1272"/>
      <c r="AC6" s="1272"/>
    </row>
    <row r="7" spans="2:30" x14ac:dyDescent="0.35">
      <c r="B7" s="262"/>
      <c r="C7" s="262"/>
      <c r="D7" s="262"/>
      <c r="E7" s="262"/>
      <c r="F7" s="262"/>
      <c r="G7" s="262"/>
      <c r="H7" s="263"/>
      <c r="I7" s="263"/>
      <c r="J7" s="263"/>
      <c r="K7" s="263"/>
      <c r="L7" s="263"/>
      <c r="M7" s="263"/>
      <c r="N7" s="263"/>
      <c r="O7" s="263"/>
      <c r="P7" s="263"/>
      <c r="Q7" s="263"/>
      <c r="R7" s="263"/>
      <c r="S7" s="263"/>
      <c r="T7" s="263"/>
      <c r="U7" s="263"/>
      <c r="V7" s="263"/>
      <c r="W7" s="263"/>
      <c r="X7" s="263"/>
      <c r="Y7" s="263"/>
    </row>
    <row r="8" spans="2:30" ht="14.9" customHeight="1" x14ac:dyDescent="0.35">
      <c r="B8" s="1276" t="s">
        <v>278</v>
      </c>
      <c r="C8" s="1277"/>
      <c r="D8" s="1293" t="s">
        <v>279</v>
      </c>
      <c r="E8" s="1294"/>
      <c r="F8" s="1294"/>
      <c r="G8" s="1294"/>
      <c r="H8" s="1294"/>
      <c r="I8" s="1294"/>
      <c r="J8" s="1294"/>
      <c r="K8" s="1294"/>
      <c r="L8" s="1294"/>
      <c r="M8" s="1294"/>
      <c r="N8" s="1294"/>
      <c r="O8" s="1294"/>
      <c r="P8" s="1294"/>
      <c r="Q8" s="1294"/>
      <c r="R8" s="1294"/>
      <c r="S8" s="1294"/>
      <c r="T8" s="1295"/>
      <c r="U8" s="1296" t="s">
        <v>280</v>
      </c>
      <c r="V8" s="1297"/>
      <c r="W8" s="1297"/>
      <c r="X8" s="1297"/>
      <c r="Y8" s="1297"/>
      <c r="Z8" s="1297"/>
      <c r="AA8" s="1297"/>
      <c r="AB8" s="1297"/>
      <c r="AC8" s="1298"/>
    </row>
    <row r="9" spans="2:30" ht="12.75" customHeight="1" x14ac:dyDescent="0.35">
      <c r="B9" s="1278"/>
      <c r="C9" s="1279"/>
      <c r="D9" s="215">
        <v>2018</v>
      </c>
      <c r="E9" s="1282">
        <v>2019</v>
      </c>
      <c r="F9" s="1283"/>
      <c r="G9" s="1283"/>
      <c r="H9" s="1284"/>
      <c r="I9" s="1283">
        <v>2020</v>
      </c>
      <c r="J9" s="1283"/>
      <c r="K9" s="1283"/>
      <c r="L9" s="1283"/>
      <c r="M9" s="1282">
        <v>2021</v>
      </c>
      <c r="N9" s="1283"/>
      <c r="O9" s="1283"/>
      <c r="P9" s="1283"/>
      <c r="Q9" s="1299">
        <v>2022</v>
      </c>
      <c r="R9" s="1300"/>
      <c r="S9" s="284"/>
      <c r="T9" s="297"/>
      <c r="U9" s="1269">
        <v>2023</v>
      </c>
      <c r="V9" s="1292"/>
      <c r="W9" s="1292"/>
      <c r="X9" s="1270"/>
      <c r="Y9" s="1268">
        <v>2024</v>
      </c>
      <c r="Z9" s="1292"/>
      <c r="AA9" s="1292"/>
      <c r="AB9" s="1292"/>
      <c r="AC9" s="291">
        <v>2025</v>
      </c>
    </row>
    <row r="10" spans="2:30" ht="14.9" customHeight="1" x14ac:dyDescent="0.35">
      <c r="B10" s="1278"/>
      <c r="C10" s="1279"/>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4" t="s">
        <v>281</v>
      </c>
      <c r="U10" s="267" t="s">
        <v>282</v>
      </c>
      <c r="V10" s="267" t="s">
        <v>283</v>
      </c>
      <c r="W10" s="267" t="s">
        <v>238</v>
      </c>
      <c r="X10" s="268" t="s">
        <v>281</v>
      </c>
      <c r="Y10" s="266" t="s">
        <v>282</v>
      </c>
      <c r="Z10" s="264" t="s">
        <v>283</v>
      </c>
      <c r="AA10" s="267" t="s">
        <v>238</v>
      </c>
      <c r="AB10" s="267" t="s">
        <v>281</v>
      </c>
      <c r="AC10" s="292" t="s">
        <v>282</v>
      </c>
    </row>
    <row r="11" spans="2:30" x14ac:dyDescent="0.35">
      <c r="B11" s="248" t="s">
        <v>102</v>
      </c>
      <c r="C11" s="269" t="s">
        <v>284</v>
      </c>
      <c r="D11" s="250">
        <f>'Haver Pivoted'!GO14</f>
        <v>27.1</v>
      </c>
      <c r="E11" s="308">
        <f>'Haver Pivoted'!GP14</f>
        <v>29.6</v>
      </c>
      <c r="F11" s="308">
        <f>'Haver Pivoted'!GQ14</f>
        <v>27.3</v>
      </c>
      <c r="G11" s="308">
        <f>'Haver Pivoted'!GR14</f>
        <v>26.4</v>
      </c>
      <c r="H11" s="308">
        <f>'Haver Pivoted'!GS14</f>
        <v>26.7</v>
      </c>
      <c r="I11" s="308">
        <f>'Haver Pivoted'!GT14</f>
        <v>40.1</v>
      </c>
      <c r="J11" s="308">
        <f>'Haver Pivoted'!GU14</f>
        <v>951.5</v>
      </c>
      <c r="K11" s="308">
        <f>'Haver Pivoted'!GV14</f>
        <v>800</v>
      </c>
      <c r="L11" s="308">
        <f>'Haver Pivoted'!GW14</f>
        <v>322.7</v>
      </c>
      <c r="M11" s="308">
        <f>'Haver Pivoted'!GX14</f>
        <v>583.79999999999995</v>
      </c>
      <c r="N11" s="308">
        <f>'Haver Pivoted'!GY14</f>
        <v>440.8</v>
      </c>
      <c r="O11" s="308">
        <f>'Haver Pivoted'!GZ14</f>
        <v>212.8</v>
      </c>
      <c r="P11" s="308">
        <f>'Haver Pivoted'!HA14</f>
        <v>31.8</v>
      </c>
      <c r="Q11" s="308">
        <f>'Haver Pivoted'!HB14</f>
        <v>24.5</v>
      </c>
      <c r="R11" s="308">
        <f>'Haver Pivoted'!HC14</f>
        <v>21.7</v>
      </c>
      <c r="S11" s="293">
        <f>'Haver Pivoted'!HD14</f>
        <v>23.1</v>
      </c>
      <c r="T11" s="217">
        <f>'Haver Pivoted'!HE14</f>
        <v>25.9</v>
      </c>
      <c r="U11" s="217">
        <f>'Haver Pivoted'!HF14</f>
        <v>30.1</v>
      </c>
      <c r="V11" s="274">
        <f t="shared" ref="V11:AC11" si="0">V12+V13+V20</f>
        <v>39.551400000000001</v>
      </c>
      <c r="W11" s="274">
        <f t="shared" si="0"/>
        <v>42.131399999999999</v>
      </c>
      <c r="X11" s="274">
        <f t="shared" si="0"/>
        <v>43.980399999999996</v>
      </c>
      <c r="Y11" s="274">
        <f t="shared" si="0"/>
        <v>43.851399999999998</v>
      </c>
      <c r="Z11" s="274">
        <f t="shared" si="0"/>
        <v>42.509799999999991</v>
      </c>
      <c r="AA11" s="274">
        <f t="shared" si="0"/>
        <v>41.787399999999991</v>
      </c>
      <c r="AB11" s="274">
        <f t="shared" si="0"/>
        <v>41.271399999999993</v>
      </c>
      <c r="AC11" s="296">
        <f t="shared" si="0"/>
        <v>41.073599999999992</v>
      </c>
      <c r="AD11" s="239" t="s">
        <v>285</v>
      </c>
    </row>
    <row r="12" spans="2:30" x14ac:dyDescent="0.35">
      <c r="B12" s="261" t="s">
        <v>286</v>
      </c>
      <c r="C12" s="251" t="s">
        <v>287</v>
      </c>
      <c r="D12" s="271">
        <f>'Haver Pivoted'!GO63</f>
        <v>0</v>
      </c>
      <c r="E12" s="219">
        <f>'Haver Pivoted'!GP63</f>
        <v>0</v>
      </c>
      <c r="F12" s="219">
        <f>'Haver Pivoted'!GQ63</f>
        <v>0</v>
      </c>
      <c r="G12" s="219">
        <f>'Haver Pivoted'!GR63</f>
        <v>0</v>
      </c>
      <c r="H12" s="219">
        <f>'Haver Pivoted'!GS63</f>
        <v>0</v>
      </c>
      <c r="I12" s="219">
        <f>'Haver Pivoted'!GT63</f>
        <v>0</v>
      </c>
      <c r="J12" s="219">
        <f>'Haver Pivoted'!GU63</f>
        <v>0.1</v>
      </c>
      <c r="K12" s="219">
        <f>'Haver Pivoted'!GV63</f>
        <v>3.7</v>
      </c>
      <c r="L12" s="219">
        <f>'Haver Pivoted'!GW63</f>
        <v>12.9</v>
      </c>
      <c r="M12" s="219">
        <f>'Haver Pivoted'!GX63</f>
        <v>25.5</v>
      </c>
      <c r="N12" s="219">
        <f>'Haver Pivoted'!GY63</f>
        <v>3.8</v>
      </c>
      <c r="O12" s="219">
        <f>'Haver Pivoted'!GZ63</f>
        <v>1.8</v>
      </c>
      <c r="P12" s="219">
        <f>'Haver Pivoted'!HA63</f>
        <v>0.6</v>
      </c>
      <c r="Q12" s="219">
        <f>'Haver Pivoted'!HB63</f>
        <v>0.2</v>
      </c>
      <c r="R12" s="219">
        <f>'Haver Pivoted'!HC63</f>
        <v>0.1</v>
      </c>
      <c r="S12" s="213">
        <f>'Haver Pivoted'!HD63</f>
        <v>0</v>
      </c>
      <c r="T12" s="214">
        <f>'Haver Pivoted'!HE63</f>
        <v>0</v>
      </c>
      <c r="U12" s="214">
        <f>'Haver Pivoted'!HF63</f>
        <v>0</v>
      </c>
      <c r="V12" s="221">
        <f>U12*V23/U23</f>
        <v>0</v>
      </c>
      <c r="W12" s="221">
        <f t="shared" ref="W12:AB12" si="1">V12*W23/V23</f>
        <v>0</v>
      </c>
      <c r="X12" s="221">
        <f t="shared" si="1"/>
        <v>0</v>
      </c>
      <c r="Y12" s="221">
        <f t="shared" si="1"/>
        <v>0</v>
      </c>
      <c r="Z12" s="221">
        <f t="shared" si="1"/>
        <v>0</v>
      </c>
      <c r="AA12" s="221">
        <f t="shared" si="1"/>
        <v>0</v>
      </c>
      <c r="AB12" s="221">
        <f t="shared" si="1"/>
        <v>0</v>
      </c>
      <c r="AC12" s="302">
        <f>AB12*AC23/AB23</f>
        <v>0</v>
      </c>
    </row>
    <row r="13" spans="2:30" x14ac:dyDescent="0.35">
      <c r="B13" s="261" t="s">
        <v>288</v>
      </c>
      <c r="C13" s="251"/>
      <c r="D13" s="271"/>
      <c r="E13" s="219"/>
      <c r="F13" s="219"/>
      <c r="G13" s="219"/>
      <c r="H13" s="227">
        <f>SUM(H14:H17)</f>
        <v>0</v>
      </c>
      <c r="I13" s="227">
        <f t="shared" ref="I13:M13" si="2">SUM(I14:I17)</f>
        <v>0</v>
      </c>
      <c r="J13" s="227">
        <f t="shared" si="2"/>
        <v>779.7</v>
      </c>
      <c r="K13" s="227">
        <f t="shared" si="2"/>
        <v>582.6</v>
      </c>
      <c r="L13" s="227">
        <f t="shared" si="2"/>
        <v>216.5</v>
      </c>
      <c r="M13" s="227">
        <f t="shared" si="2"/>
        <v>497.6</v>
      </c>
      <c r="N13" s="232">
        <f>SUM(N14:N17)</f>
        <v>401.5</v>
      </c>
      <c r="O13" s="232">
        <f t="shared" ref="O13:AC13" si="3">SUM(O14:O17)</f>
        <v>207.4</v>
      </c>
      <c r="P13" s="232">
        <f t="shared" si="3"/>
        <v>5.5</v>
      </c>
      <c r="Q13" s="232">
        <v>0</v>
      </c>
      <c r="R13" s="232">
        <f t="shared" si="3"/>
        <v>1</v>
      </c>
      <c r="S13" s="294">
        <f t="shared" si="3"/>
        <v>0.5</v>
      </c>
      <c r="T13" s="303">
        <f t="shared" si="3"/>
        <v>0.30000000000000004</v>
      </c>
      <c r="U13" s="303">
        <f t="shared" si="3"/>
        <v>0</v>
      </c>
      <c r="V13" s="221">
        <f t="shared" si="3"/>
        <v>0</v>
      </c>
      <c r="W13" s="221">
        <f t="shared" si="3"/>
        <v>0</v>
      </c>
      <c r="X13" s="221">
        <f t="shared" si="3"/>
        <v>0</v>
      </c>
      <c r="Y13" s="221">
        <f t="shared" si="3"/>
        <v>0</v>
      </c>
      <c r="Z13" s="221">
        <f t="shared" si="3"/>
        <v>0</v>
      </c>
      <c r="AA13" s="221">
        <f t="shared" si="3"/>
        <v>0</v>
      </c>
      <c r="AB13" s="221">
        <f t="shared" si="3"/>
        <v>0</v>
      </c>
      <c r="AC13" s="302">
        <f t="shared" si="3"/>
        <v>0</v>
      </c>
    </row>
    <row r="14" spans="2:30" ht="18" customHeight="1" x14ac:dyDescent="0.35">
      <c r="B14" s="244" t="s">
        <v>289</v>
      </c>
      <c r="C14" s="245" t="s">
        <v>287</v>
      </c>
      <c r="D14" s="270">
        <f>'Haver Pivoted'!GO63</f>
        <v>0</v>
      </c>
      <c r="E14" s="231">
        <f>'Haver Pivoted'!GP63</f>
        <v>0</v>
      </c>
      <c r="F14" s="231">
        <f>'Haver Pivoted'!GQ63</f>
        <v>0</v>
      </c>
      <c r="G14" s="231">
        <f>'Haver Pivoted'!GR63</f>
        <v>0</v>
      </c>
      <c r="H14" s="231">
        <f>'Haver Pivoted'!GS63</f>
        <v>0</v>
      </c>
      <c r="I14" s="231">
        <f>'Haver Pivoted'!GT63</f>
        <v>0</v>
      </c>
      <c r="J14" s="231">
        <f>'Haver Pivoted'!GU63</f>
        <v>0.1</v>
      </c>
      <c r="K14" s="231">
        <f>'Haver Pivoted'!GV63</f>
        <v>3.7</v>
      </c>
      <c r="L14" s="231">
        <f>'Haver Pivoted'!GW63</f>
        <v>12.9</v>
      </c>
      <c r="M14" s="231">
        <f>'Haver Pivoted'!GX63</f>
        <v>25.5</v>
      </c>
      <c r="N14" s="231">
        <f>'Haver Pivoted'!GY63</f>
        <v>3.8</v>
      </c>
      <c r="O14" s="231">
        <f>'Haver Pivoted'!GZ63</f>
        <v>1.8</v>
      </c>
      <c r="P14" s="231">
        <f>'Haver Pivoted'!HA63</f>
        <v>0.6</v>
      </c>
      <c r="Q14" s="231">
        <f>'Haver Pivoted'!HB63</f>
        <v>0.2</v>
      </c>
      <c r="R14" s="231">
        <f>'Haver Pivoted'!HC63</f>
        <v>0.1</v>
      </c>
      <c r="S14" s="235">
        <f>'Haver Pivoted'!HD63</f>
        <v>0</v>
      </c>
      <c r="T14" s="301">
        <f>'Haver Pivoted'!HE63</f>
        <v>0</v>
      </c>
      <c r="U14" s="301">
        <f>'Haver Pivoted'!HF63</f>
        <v>0</v>
      </c>
      <c r="V14" s="221">
        <f t="shared" ref="V14:X14" si="4">V12</f>
        <v>0</v>
      </c>
      <c r="W14" s="221">
        <f t="shared" si="4"/>
        <v>0</v>
      </c>
      <c r="X14" s="221">
        <f t="shared" si="4"/>
        <v>0</v>
      </c>
      <c r="Y14" s="221">
        <f>Y12</f>
        <v>0</v>
      </c>
      <c r="Z14" s="221">
        <f t="shared" ref="Z14:AC14" si="5">Z12</f>
        <v>0</v>
      </c>
      <c r="AA14" s="221">
        <f t="shared" si="5"/>
        <v>0</v>
      </c>
      <c r="AB14" s="221">
        <f t="shared" si="5"/>
        <v>0</v>
      </c>
      <c r="AC14" s="302">
        <f t="shared" si="5"/>
        <v>0</v>
      </c>
    </row>
    <row r="15" spans="2:30" ht="18" customHeight="1" x14ac:dyDescent="0.35">
      <c r="B15" s="244" t="s">
        <v>290</v>
      </c>
      <c r="C15" s="245" t="s">
        <v>291</v>
      </c>
      <c r="D15" s="270">
        <f>'Haver Pivoted'!GO59</f>
        <v>0</v>
      </c>
      <c r="E15" s="231">
        <f>'Haver Pivoted'!GP59</f>
        <v>0</v>
      </c>
      <c r="F15" s="231">
        <f>'Haver Pivoted'!GQ59</f>
        <v>0</v>
      </c>
      <c r="G15" s="231">
        <f>'Haver Pivoted'!GR59</f>
        <v>0</v>
      </c>
      <c r="H15" s="231">
        <f>'Haver Pivoted'!GS59</f>
        <v>0</v>
      </c>
      <c r="I15" s="231">
        <f>'Haver Pivoted'!GT59</f>
        <v>0</v>
      </c>
      <c r="J15" s="231">
        <f>'Haver Pivoted'!GU59</f>
        <v>6.3</v>
      </c>
      <c r="K15" s="231">
        <f>'Haver Pivoted'!GV59</f>
        <v>26.7</v>
      </c>
      <c r="L15" s="231">
        <f>'Haver Pivoted'!GW59</f>
        <v>82.1</v>
      </c>
      <c r="M15" s="231">
        <f>'Haver Pivoted'!GX59</f>
        <v>94.7</v>
      </c>
      <c r="N15" s="231">
        <f>'Haver Pivoted'!GY59</f>
        <v>92.1</v>
      </c>
      <c r="O15" s="231">
        <f>'Haver Pivoted'!GZ59</f>
        <v>51.6</v>
      </c>
      <c r="P15" s="231">
        <f>'Haver Pivoted'!HA59</f>
        <v>2.8</v>
      </c>
      <c r="Q15" s="231">
        <f>'Haver Pivoted'!HB59</f>
        <v>0.8</v>
      </c>
      <c r="R15" s="231">
        <f>'Haver Pivoted'!HC59</f>
        <v>0.5</v>
      </c>
      <c r="S15" s="235">
        <f>'Haver Pivoted'!HD59</f>
        <v>0.3</v>
      </c>
      <c r="T15" s="301">
        <f>'Haver Pivoted'!HE59</f>
        <v>0.2</v>
      </c>
      <c r="U15" s="301">
        <f>'Haver Pivoted'!HF59</f>
        <v>0</v>
      </c>
      <c r="V15" s="221">
        <f t="shared" ref="V15:AB17" si="6">U15*V$23/U$23</f>
        <v>0</v>
      </c>
      <c r="W15" s="221">
        <f t="shared" si="6"/>
        <v>0</v>
      </c>
      <c r="X15" s="221">
        <f t="shared" si="6"/>
        <v>0</v>
      </c>
      <c r="Y15" s="221">
        <f t="shared" si="6"/>
        <v>0</v>
      </c>
      <c r="Z15" s="221">
        <f t="shared" si="6"/>
        <v>0</v>
      </c>
      <c r="AA15" s="221">
        <f t="shared" si="6"/>
        <v>0</v>
      </c>
      <c r="AB15" s="221">
        <f t="shared" si="6"/>
        <v>0</v>
      </c>
      <c r="AC15" s="302">
        <f>AB15*AC$23/AB$23</f>
        <v>0</v>
      </c>
    </row>
    <row r="16" spans="2:30" ht="18" customHeight="1" x14ac:dyDescent="0.35">
      <c r="B16" s="244" t="s">
        <v>292</v>
      </c>
      <c r="C16" s="245" t="s">
        <v>293</v>
      </c>
      <c r="D16" s="270">
        <f>'Haver Pivoted'!GO60</f>
        <v>0</v>
      </c>
      <c r="E16" s="231">
        <f>'Haver Pivoted'!GP60</f>
        <v>0</v>
      </c>
      <c r="F16" s="231">
        <f>'Haver Pivoted'!GQ60</f>
        <v>0</v>
      </c>
      <c r="G16" s="231">
        <f>'Haver Pivoted'!GR60</f>
        <v>0</v>
      </c>
      <c r="H16" s="231">
        <f>'Haver Pivoted'!GS60</f>
        <v>0</v>
      </c>
      <c r="I16" s="231">
        <f>'Haver Pivoted'!GT60</f>
        <v>0</v>
      </c>
      <c r="J16" s="231">
        <f>'Haver Pivoted'!GU60</f>
        <v>74.400000000000006</v>
      </c>
      <c r="K16" s="231">
        <f>'Haver Pivoted'!GV60</f>
        <v>138.30000000000001</v>
      </c>
      <c r="L16" s="231">
        <f>'Haver Pivoted'!GW60</f>
        <v>106.8</v>
      </c>
      <c r="M16" s="231">
        <f>'Haver Pivoted'!GX60</f>
        <v>89.2</v>
      </c>
      <c r="N16" s="231">
        <f>'Haver Pivoted'!GY60</f>
        <v>72.3</v>
      </c>
      <c r="O16" s="231">
        <f>'Haver Pivoted'!GZ60</f>
        <v>43.5</v>
      </c>
      <c r="P16" s="231">
        <f>'Haver Pivoted'!HA60</f>
        <v>2.1</v>
      </c>
      <c r="Q16" s="231">
        <f>'Haver Pivoted'!HB60</f>
        <v>0.8</v>
      </c>
      <c r="R16" s="231">
        <f>'Haver Pivoted'!HC60</f>
        <v>0.4</v>
      </c>
      <c r="S16" s="235">
        <f>'Haver Pivoted'!HD60</f>
        <v>0.2</v>
      </c>
      <c r="T16" s="301">
        <f>'Haver Pivoted'!HE60</f>
        <v>0.1</v>
      </c>
      <c r="U16" s="301">
        <f>'Haver Pivoted'!HF60</f>
        <v>0</v>
      </c>
      <c r="V16" s="221">
        <f t="shared" si="6"/>
        <v>0</v>
      </c>
      <c r="W16" s="221">
        <f t="shared" si="6"/>
        <v>0</v>
      </c>
      <c r="X16" s="221">
        <f t="shared" si="6"/>
        <v>0</v>
      </c>
      <c r="Y16" s="221">
        <f t="shared" si="6"/>
        <v>0</v>
      </c>
      <c r="Z16" s="221">
        <f t="shared" si="6"/>
        <v>0</v>
      </c>
      <c r="AA16" s="221">
        <f t="shared" si="6"/>
        <v>0</v>
      </c>
      <c r="AB16" s="221">
        <f t="shared" si="6"/>
        <v>0</v>
      </c>
      <c r="AC16" s="302">
        <f>AB16*AC$23/AB$23</f>
        <v>0</v>
      </c>
    </row>
    <row r="17" spans="1:32" ht="18" customHeight="1" x14ac:dyDescent="0.35">
      <c r="B17" s="244" t="s">
        <v>294</v>
      </c>
      <c r="C17" s="245" t="s">
        <v>295</v>
      </c>
      <c r="D17" s="270">
        <f>'Haver Pivoted'!GO61</f>
        <v>0</v>
      </c>
      <c r="E17" s="231">
        <f>'Haver Pivoted'!GP61</f>
        <v>0</v>
      </c>
      <c r="F17" s="231">
        <f>'Haver Pivoted'!GQ61</f>
        <v>0</v>
      </c>
      <c r="G17" s="231">
        <f>'Haver Pivoted'!GR61</f>
        <v>0</v>
      </c>
      <c r="H17" s="231">
        <f>'Haver Pivoted'!GS61</f>
        <v>0</v>
      </c>
      <c r="I17" s="231">
        <f>'Haver Pivoted'!GT61</f>
        <v>0</v>
      </c>
      <c r="J17" s="231">
        <f>'Haver Pivoted'!GU61</f>
        <v>698.9</v>
      </c>
      <c r="K17" s="231">
        <f>'Haver Pivoted'!GV61</f>
        <v>413.9</v>
      </c>
      <c r="L17" s="231">
        <f>'Haver Pivoted'!GW61</f>
        <v>14.7</v>
      </c>
      <c r="M17" s="231">
        <f>'Haver Pivoted'!GX61</f>
        <v>288.2</v>
      </c>
      <c r="N17" s="231">
        <f>'Haver Pivoted'!GY61</f>
        <v>233.3</v>
      </c>
      <c r="O17" s="231">
        <f>'Haver Pivoted'!GZ61</f>
        <v>110.5</v>
      </c>
      <c r="P17" s="231">
        <f>'Haver Pivoted'!HA61</f>
        <v>0</v>
      </c>
      <c r="Q17" s="231">
        <f>'Haver Pivoted'!HB61</f>
        <v>0</v>
      </c>
      <c r="R17" s="231">
        <f>'Haver Pivoted'!HC61</f>
        <v>0</v>
      </c>
      <c r="S17" s="235">
        <f>'Haver Pivoted'!HD61</f>
        <v>0</v>
      </c>
      <c r="T17" s="301">
        <f>'Haver Pivoted'!HE61</f>
        <v>0</v>
      </c>
      <c r="U17" s="301">
        <f>'Haver Pivoted'!HF61</f>
        <v>0</v>
      </c>
      <c r="V17" s="221">
        <f t="shared" si="6"/>
        <v>0</v>
      </c>
      <c r="W17" s="221">
        <f t="shared" si="6"/>
        <v>0</v>
      </c>
      <c r="X17" s="221">
        <f t="shared" si="6"/>
        <v>0</v>
      </c>
      <c r="Y17" s="221">
        <f t="shared" si="6"/>
        <v>0</v>
      </c>
      <c r="Z17" s="221">
        <f t="shared" si="6"/>
        <v>0</v>
      </c>
      <c r="AA17" s="221">
        <f t="shared" si="6"/>
        <v>0</v>
      </c>
      <c r="AB17" s="221">
        <f t="shared" si="6"/>
        <v>0</v>
      </c>
      <c r="AC17" s="302">
        <f>AB17*AC$23/AB$23</f>
        <v>0</v>
      </c>
    </row>
    <row r="18" spans="1:32" x14ac:dyDescent="0.35">
      <c r="B18" s="246" t="s">
        <v>158</v>
      </c>
      <c r="C18" s="239" t="s">
        <v>296</v>
      </c>
      <c r="D18" s="271">
        <f>'Haver Pivoted'!GO64</f>
        <v>0</v>
      </c>
      <c r="E18" s="219">
        <f>'Haver Pivoted'!GP64</f>
        <v>0</v>
      </c>
      <c r="F18" s="219">
        <f>'Haver Pivoted'!GQ64</f>
        <v>0</v>
      </c>
      <c r="G18" s="219">
        <f>'Haver Pivoted'!GR64</f>
        <v>0</v>
      </c>
      <c r="H18" s="219">
        <f>'Haver Pivoted'!GS64</f>
        <v>0</v>
      </c>
      <c r="I18" s="219">
        <f>'Haver Pivoted'!GT64</f>
        <v>0</v>
      </c>
      <c r="J18" s="219">
        <f>'Haver Pivoted'!GU64</f>
        <v>0</v>
      </c>
      <c r="K18" s="219">
        <f>'Haver Pivoted'!GV64</f>
        <v>106.2</v>
      </c>
      <c r="L18" s="219">
        <f>'Haver Pivoted'!GW64</f>
        <v>35.9</v>
      </c>
      <c r="M18" s="219">
        <f>'Haver Pivoted'!GX64</f>
        <v>1.6</v>
      </c>
      <c r="N18" s="219">
        <f>'Haver Pivoted'!GY64</f>
        <v>0.6</v>
      </c>
      <c r="O18" s="219">
        <f>'Haver Pivoted'!GZ64</f>
        <v>0.1</v>
      </c>
      <c r="P18" s="219">
        <f>'Haver Pivoted'!HA64</f>
        <v>0</v>
      </c>
      <c r="Q18" s="231">
        <f>'Haver Pivoted'!HB64</f>
        <v>0</v>
      </c>
      <c r="R18" s="231">
        <f>'Haver Pivoted'!HC64</f>
        <v>0</v>
      </c>
      <c r="S18" s="235">
        <f>'Haver Pivoted'!HD64</f>
        <v>0</v>
      </c>
      <c r="T18" s="301">
        <f>'Haver Pivoted'!HE64</f>
        <v>0</v>
      </c>
      <c r="U18" s="301">
        <f>'Haver Pivoted'!HF64</f>
        <v>0</v>
      </c>
      <c r="V18" s="221"/>
      <c r="W18" s="221"/>
      <c r="X18" s="221"/>
      <c r="Y18" s="221"/>
      <c r="Z18" s="221"/>
      <c r="AA18" s="221"/>
      <c r="AB18" s="221"/>
      <c r="AC18" s="302"/>
    </row>
    <row r="19" spans="1:32" ht="14.9" customHeight="1" x14ac:dyDescent="0.35">
      <c r="B19" s="265" t="s">
        <v>297</v>
      </c>
      <c r="C19" s="252"/>
      <c r="D19" s="259">
        <f t="shared" ref="D19:N19" si="7">D11-D20</f>
        <v>0</v>
      </c>
      <c r="E19" s="229">
        <f t="shared" si="7"/>
        <v>0</v>
      </c>
      <c r="F19" s="229">
        <f t="shared" si="7"/>
        <v>0</v>
      </c>
      <c r="G19" s="229">
        <f t="shared" si="7"/>
        <v>0</v>
      </c>
      <c r="H19" s="229">
        <f t="shared" si="7"/>
        <v>0</v>
      </c>
      <c r="I19" s="229">
        <f t="shared" si="7"/>
        <v>0</v>
      </c>
      <c r="J19" s="229">
        <f t="shared" si="7"/>
        <v>779.80000000000007</v>
      </c>
      <c r="K19" s="229">
        <f t="shared" si="7"/>
        <v>586.29999999999995</v>
      </c>
      <c r="L19" s="229">
        <f t="shared" si="7"/>
        <v>229.4</v>
      </c>
      <c r="M19" s="229">
        <f t="shared" si="7"/>
        <v>523.1</v>
      </c>
      <c r="N19" s="230">
        <f t="shared" si="7"/>
        <v>405.3</v>
      </c>
      <c r="O19" s="230">
        <f>O11-O20</f>
        <v>209.20000000000002</v>
      </c>
      <c r="P19" s="230">
        <f t="shared" ref="P19" si="8">P11-P20</f>
        <v>6.1000000000000014</v>
      </c>
      <c r="Q19" s="230">
        <f>Q11-Q20</f>
        <v>0.19999999999999929</v>
      </c>
      <c r="R19" s="230">
        <f>R11-R20</f>
        <v>1.1000000000000014</v>
      </c>
      <c r="S19" s="295">
        <f>S11-S20</f>
        <v>0.5</v>
      </c>
      <c r="T19" s="300">
        <f>T11-T20</f>
        <v>0.30000000000000071</v>
      </c>
      <c r="U19" s="300">
        <f>U11-U20</f>
        <v>0</v>
      </c>
      <c r="V19" s="236">
        <f t="shared" ref="V19:AC19" si="9">V11-V20</f>
        <v>0</v>
      </c>
      <c r="W19" s="236">
        <f t="shared" si="9"/>
        <v>0</v>
      </c>
      <c r="X19" s="236">
        <f t="shared" si="9"/>
        <v>0</v>
      </c>
      <c r="Y19" s="236">
        <f t="shared" si="9"/>
        <v>0</v>
      </c>
      <c r="Z19" s="236">
        <f t="shared" si="9"/>
        <v>0</v>
      </c>
      <c r="AA19" s="236">
        <f t="shared" si="9"/>
        <v>0</v>
      </c>
      <c r="AB19" s="236">
        <f t="shared" si="9"/>
        <v>0</v>
      </c>
      <c r="AC19" s="236">
        <f t="shared" si="9"/>
        <v>0</v>
      </c>
    </row>
    <row r="20" spans="1:32" ht="14.9" customHeight="1" x14ac:dyDescent="0.35">
      <c r="B20" s="265" t="s">
        <v>298</v>
      </c>
      <c r="C20" s="252"/>
      <c r="D20" s="259">
        <f t="shared" ref="D20:H20" si="10">D11</f>
        <v>27.1</v>
      </c>
      <c r="E20" s="229">
        <f t="shared" si="10"/>
        <v>29.6</v>
      </c>
      <c r="F20" s="229">
        <f t="shared" si="10"/>
        <v>27.3</v>
      </c>
      <c r="G20" s="229">
        <f t="shared" si="10"/>
        <v>26.4</v>
      </c>
      <c r="H20" s="229">
        <f t="shared" si="10"/>
        <v>26.7</v>
      </c>
      <c r="I20" s="229">
        <f>I11</f>
        <v>40.1</v>
      </c>
      <c r="J20" s="229">
        <f>J11-J13-J12</f>
        <v>171.69999999999996</v>
      </c>
      <c r="K20" s="229">
        <f>K11-K13-K12</f>
        <v>213.7</v>
      </c>
      <c r="L20" s="229">
        <f>L11-L13-L12</f>
        <v>93.299999999999983</v>
      </c>
      <c r="M20" s="229">
        <f>M11-M13-M12</f>
        <v>60.699999999999932</v>
      </c>
      <c r="N20" s="230">
        <f t="shared" ref="N20:U20" si="11">N11-N12-N13</f>
        <v>35.5</v>
      </c>
      <c r="O20" s="230">
        <f t="shared" si="11"/>
        <v>3.5999999999999943</v>
      </c>
      <c r="P20" s="230">
        <f t="shared" si="11"/>
        <v>25.7</v>
      </c>
      <c r="Q20" s="231">
        <f t="shared" si="11"/>
        <v>24.3</v>
      </c>
      <c r="R20" s="231">
        <f t="shared" si="11"/>
        <v>20.599999999999998</v>
      </c>
      <c r="S20" s="235">
        <f t="shared" si="11"/>
        <v>22.6</v>
      </c>
      <c r="T20" s="301">
        <f t="shared" si="11"/>
        <v>25.599999999999998</v>
      </c>
      <c r="U20" s="301">
        <f t="shared" si="11"/>
        <v>30.1</v>
      </c>
      <c r="V20" s="236">
        <f t="shared" ref="V20:AB20" si="12">U20*V23/U23</f>
        <v>39.551400000000001</v>
      </c>
      <c r="W20" s="236">
        <f t="shared" si="12"/>
        <v>42.131399999999999</v>
      </c>
      <c r="X20" s="236">
        <f t="shared" si="12"/>
        <v>43.980399999999996</v>
      </c>
      <c r="Y20" s="236">
        <f t="shared" si="12"/>
        <v>43.851399999999998</v>
      </c>
      <c r="Z20" s="236">
        <f t="shared" si="12"/>
        <v>42.509799999999991</v>
      </c>
      <c r="AA20" s="236">
        <f t="shared" si="12"/>
        <v>41.787399999999991</v>
      </c>
      <c r="AB20" s="236">
        <f t="shared" si="12"/>
        <v>41.271399999999993</v>
      </c>
      <c r="AC20" s="299">
        <f>AB20*AC23/AB23</f>
        <v>41.073599999999992</v>
      </c>
      <c r="AD20" s="260" t="s">
        <v>299</v>
      </c>
    </row>
    <row r="21" spans="1:32" x14ac:dyDescent="0.35">
      <c r="B21" s="246"/>
      <c r="C21" s="247"/>
      <c r="D21" s="270"/>
      <c r="E21" s="231"/>
      <c r="F21" s="231"/>
      <c r="G21" s="231"/>
      <c r="H21" s="227"/>
      <c r="I21" s="227"/>
      <c r="J21" s="227"/>
      <c r="K21" s="227"/>
      <c r="L21" s="227"/>
      <c r="M21" s="227"/>
      <c r="N21" s="227"/>
      <c r="O21" s="227"/>
      <c r="P21" s="227"/>
      <c r="Q21" s="227"/>
      <c r="R21" s="227"/>
      <c r="S21" s="227"/>
      <c r="T21" s="311"/>
      <c r="U21" s="227"/>
      <c r="V21" s="221"/>
      <c r="W21" s="221"/>
      <c r="X21" s="221"/>
      <c r="Y21" s="221"/>
      <c r="Z21" s="221"/>
      <c r="AA21" s="221"/>
      <c r="AB21" s="221"/>
      <c r="AC21" s="302"/>
    </row>
    <row r="22" spans="1:32" x14ac:dyDescent="0.35">
      <c r="B22" s="239" t="s">
        <v>1749</v>
      </c>
      <c r="C22" s="247"/>
      <c r="D22" s="231"/>
      <c r="E22" s="231"/>
      <c r="F22" s="231"/>
      <c r="G22" s="231"/>
      <c r="H22" s="227"/>
      <c r="I22" s="227"/>
      <c r="J22" s="227"/>
      <c r="K22" s="227"/>
      <c r="L22" s="227"/>
      <c r="M22" s="227"/>
      <c r="N22" s="227"/>
      <c r="O22" s="227"/>
      <c r="P22" s="227"/>
      <c r="Q22" s="227"/>
      <c r="R22" s="227"/>
      <c r="S22" s="227"/>
      <c r="T22" s="249"/>
      <c r="U22" s="224"/>
      <c r="V22" s="223">
        <v>4.5990000000000002</v>
      </c>
      <c r="W22" s="223">
        <v>4.899</v>
      </c>
      <c r="X22" s="223">
        <v>5.1139999999999999</v>
      </c>
      <c r="Y22" s="223">
        <v>5.0990000000000002</v>
      </c>
      <c r="Z22" s="223">
        <v>4.9429999999999996</v>
      </c>
      <c r="AA22" s="223">
        <v>4.859</v>
      </c>
      <c r="AB22" s="223">
        <v>4.7990000000000004</v>
      </c>
      <c r="AC22" s="223">
        <v>4.7759999999999998</v>
      </c>
    </row>
    <row r="23" spans="1:32" x14ac:dyDescent="0.35">
      <c r="B23" s="246" t="s">
        <v>1808</v>
      </c>
      <c r="C23" s="304"/>
      <c r="D23" s="305"/>
      <c r="E23" s="306"/>
      <c r="F23" s="306"/>
      <c r="G23" s="306"/>
      <c r="H23" s="307"/>
      <c r="I23" s="307"/>
      <c r="J23" s="307"/>
      <c r="K23" s="307"/>
      <c r="L23" s="307"/>
      <c r="M23" s="307">
        <f>GETPIVOTDATA("Monthly UR",$E$28,"Quarters",M24,"Years",M25)</f>
        <v>6.166666666666667</v>
      </c>
      <c r="N23" s="307">
        <f t="shared" ref="N23:U23" si="13">GETPIVOTDATA("Monthly UR",$E$28,"Quarters",N24,"Years",N25)</f>
        <v>5.7666666666666657</v>
      </c>
      <c r="O23" s="307">
        <f t="shared" si="13"/>
        <v>5.1333333333333337</v>
      </c>
      <c r="P23" s="307">
        <f t="shared" si="13"/>
        <v>4.2333333333333334</v>
      </c>
      <c r="Q23" s="307">
        <f t="shared" si="13"/>
        <v>3.8000000000000003</v>
      </c>
      <c r="R23" s="307">
        <f t="shared" si="13"/>
        <v>3.6</v>
      </c>
      <c r="S23" s="307">
        <f t="shared" si="13"/>
        <v>3.5666666666666664</v>
      </c>
      <c r="T23" s="307">
        <f t="shared" si="13"/>
        <v>3.6</v>
      </c>
      <c r="U23" s="307">
        <f t="shared" si="13"/>
        <v>3.5</v>
      </c>
      <c r="V23" s="312">
        <v>4.5990000000000002</v>
      </c>
      <c r="W23" s="312">
        <v>4.899</v>
      </c>
      <c r="X23" s="312">
        <v>5.1139999999999999</v>
      </c>
      <c r="Y23" s="312">
        <v>5.0990000000000002</v>
      </c>
      <c r="Z23" s="312">
        <v>4.9429999999999996</v>
      </c>
      <c r="AA23" s="312">
        <v>4.859</v>
      </c>
      <c r="AB23" s="312">
        <v>4.7990000000000004</v>
      </c>
      <c r="AC23" s="313">
        <v>4.7759999999999998</v>
      </c>
      <c r="AD23" s="224" t="s">
        <v>300</v>
      </c>
    </row>
    <row r="24" spans="1:32" ht="15.75" customHeight="1" x14ac:dyDescent="0.35">
      <c r="B24" s="309" t="s">
        <v>1822</v>
      </c>
      <c r="C24" s="298"/>
      <c r="D24" s="290"/>
      <c r="E24" s="290"/>
      <c r="F24" s="290"/>
      <c r="G24" s="290"/>
      <c r="H24" s="290"/>
      <c r="I24" s="290"/>
      <c r="J24" s="290"/>
      <c r="K24" s="290"/>
      <c r="L24" s="290"/>
      <c r="M24" s="290">
        <v>1</v>
      </c>
      <c r="N24" s="290">
        <v>2</v>
      </c>
      <c r="O24" s="290">
        <v>3</v>
      </c>
      <c r="P24" s="290">
        <v>4</v>
      </c>
      <c r="Q24" s="290">
        <v>1</v>
      </c>
      <c r="R24" s="290">
        <v>2</v>
      </c>
      <c r="S24" s="290">
        <v>3</v>
      </c>
      <c r="T24" s="290">
        <v>4</v>
      </c>
      <c r="U24" s="290">
        <v>1</v>
      </c>
      <c r="V24" s="290">
        <v>2</v>
      </c>
      <c r="W24" s="290">
        <v>3</v>
      </c>
      <c r="X24" s="290">
        <v>4</v>
      </c>
      <c r="Y24" s="290">
        <v>1</v>
      </c>
      <c r="Z24" s="290">
        <v>2</v>
      </c>
      <c r="AA24" s="290">
        <v>3</v>
      </c>
      <c r="AB24" s="290">
        <v>4</v>
      </c>
      <c r="AC24" s="290">
        <v>1</v>
      </c>
      <c r="AD24" s="219">
        <v>2</v>
      </c>
      <c r="AE24" s="219">
        <v>3</v>
      </c>
      <c r="AF24" s="219">
        <v>4</v>
      </c>
    </row>
    <row r="25" spans="1:32" x14ac:dyDescent="0.35">
      <c r="B25" s="310" t="s">
        <v>1823</v>
      </c>
      <c r="C25" s="298"/>
      <c r="D25" s="290"/>
      <c r="E25" s="290"/>
      <c r="F25" s="290"/>
      <c r="G25" s="290"/>
      <c r="H25" s="290"/>
      <c r="I25" s="290"/>
      <c r="J25" s="290"/>
      <c r="K25" s="290"/>
      <c r="L25" s="290"/>
      <c r="M25" s="290">
        <v>2021</v>
      </c>
      <c r="N25" s="290">
        <v>2021</v>
      </c>
      <c r="O25" s="290">
        <v>2021</v>
      </c>
      <c r="P25" s="290">
        <v>2021</v>
      </c>
      <c r="Q25" s="290">
        <v>2022</v>
      </c>
      <c r="R25" s="290">
        <v>2022</v>
      </c>
      <c r="S25" s="290">
        <v>2022</v>
      </c>
      <c r="T25" s="290">
        <v>2022</v>
      </c>
      <c r="U25" s="290">
        <v>2023</v>
      </c>
      <c r="V25" s="290">
        <v>2023</v>
      </c>
      <c r="W25" s="290">
        <v>2023</v>
      </c>
      <c r="X25" s="290">
        <v>2023</v>
      </c>
      <c r="Y25" s="290">
        <v>2024</v>
      </c>
      <c r="Z25" s="290">
        <v>2024</v>
      </c>
      <c r="AA25" s="290">
        <v>2024</v>
      </c>
      <c r="AB25" s="290">
        <v>2024</v>
      </c>
      <c r="AC25" s="290">
        <v>2025</v>
      </c>
      <c r="AD25" s="224"/>
    </row>
    <row r="26" spans="1:32" x14ac:dyDescent="0.35">
      <c r="C26" s="239"/>
      <c r="D26" s="219"/>
      <c r="E26" s="219"/>
      <c r="F26" s="219"/>
      <c r="G26" s="219"/>
      <c r="H26" s="227"/>
      <c r="I26" s="227"/>
      <c r="J26" s="227"/>
      <c r="K26" s="227"/>
      <c r="L26" s="227"/>
      <c r="M26" s="227"/>
      <c r="N26" s="227"/>
      <c r="O26" s="227"/>
      <c r="P26" s="227"/>
      <c r="AD26" s="224"/>
    </row>
    <row r="27" spans="1:32" x14ac:dyDescent="0.35">
      <c r="M27" s="239"/>
      <c r="N27" s="239"/>
      <c r="O27" s="239"/>
    </row>
    <row r="28" spans="1:32" ht="43.5" customHeight="1" x14ac:dyDescent="0.35">
      <c r="B28" s="277" t="s">
        <v>301</v>
      </c>
      <c r="C28" s="278" t="s">
        <v>302</v>
      </c>
      <c r="D28" s="275"/>
      <c r="E28" s="14" t="s">
        <v>1812</v>
      </c>
      <c r="F28" s="14" t="s">
        <v>1817</v>
      </c>
      <c r="G28" s="14"/>
      <c r="H28" s="14"/>
      <c r="I28" s="14"/>
      <c r="J28" s="14"/>
      <c r="O28" s="279"/>
    </row>
    <row r="29" spans="1:32" x14ac:dyDescent="0.35">
      <c r="A29" s="57"/>
      <c r="B29" s="272">
        <v>44197</v>
      </c>
      <c r="C29" s="225">
        <v>6.3</v>
      </c>
      <c r="D29" s="276"/>
      <c r="E29" s="43" t="s">
        <v>1747</v>
      </c>
      <c r="F29" s="57"/>
      <c r="G29" s="57"/>
      <c r="H29" s="75"/>
      <c r="I29" s="57"/>
      <c r="J29" s="75"/>
      <c r="O29" s="239"/>
    </row>
    <row r="30" spans="1:32" x14ac:dyDescent="0.35">
      <c r="A30" s="57"/>
      <c r="B30" s="272">
        <v>44228</v>
      </c>
      <c r="C30" s="225">
        <v>6.2</v>
      </c>
      <c r="D30" s="276"/>
      <c r="E30" s="107" t="s">
        <v>1813</v>
      </c>
      <c r="F30" s="134">
        <v>6.166666666666667</v>
      </c>
      <c r="G30" s="57"/>
      <c r="H30" s="75"/>
      <c r="I30" s="57"/>
      <c r="J30" s="75"/>
      <c r="O30" s="239"/>
    </row>
    <row r="31" spans="1:32" x14ac:dyDescent="0.35">
      <c r="A31" s="57"/>
      <c r="B31" s="272">
        <v>44256</v>
      </c>
      <c r="C31" s="225">
        <v>6</v>
      </c>
      <c r="D31" s="276"/>
      <c r="E31" s="107" t="s">
        <v>1814</v>
      </c>
      <c r="F31" s="134">
        <v>5.7666666666666657</v>
      </c>
      <c r="G31" s="57"/>
      <c r="H31" s="75"/>
      <c r="I31" s="57"/>
      <c r="J31" s="75"/>
      <c r="O31" s="239"/>
    </row>
    <row r="32" spans="1:32" x14ac:dyDescent="0.35">
      <c r="A32" s="57"/>
      <c r="B32" s="272">
        <v>44287</v>
      </c>
      <c r="C32" s="225">
        <v>6.1</v>
      </c>
      <c r="D32" s="276"/>
      <c r="E32" s="107" t="s">
        <v>1815</v>
      </c>
      <c r="F32" s="134">
        <v>5.1333333333333337</v>
      </c>
      <c r="G32" s="57"/>
      <c r="H32" s="75"/>
      <c r="I32" s="57"/>
      <c r="J32" s="75"/>
      <c r="O32" s="239"/>
    </row>
    <row r="33" spans="1:38" x14ac:dyDescent="0.35">
      <c r="A33" s="57"/>
      <c r="B33" s="272">
        <v>44317</v>
      </c>
      <c r="C33" s="225">
        <v>5.8</v>
      </c>
      <c r="D33" s="276"/>
      <c r="E33" s="107" t="s">
        <v>1816</v>
      </c>
      <c r="F33" s="134">
        <v>4.2333333333333334</v>
      </c>
      <c r="G33" s="57"/>
      <c r="H33" s="75"/>
      <c r="I33" s="57"/>
      <c r="J33" s="75"/>
      <c r="O33" s="239"/>
    </row>
    <row r="34" spans="1:38" x14ac:dyDescent="0.35">
      <c r="A34" s="57"/>
      <c r="B34" s="272">
        <v>44348</v>
      </c>
      <c r="C34" s="225">
        <v>5.4</v>
      </c>
      <c r="D34" s="276"/>
      <c r="E34" s="43" t="s">
        <v>1736</v>
      </c>
      <c r="F34" s="134"/>
      <c r="G34" s="57"/>
      <c r="H34" s="75"/>
      <c r="I34" s="57"/>
      <c r="J34" s="75"/>
      <c r="O34" s="239"/>
    </row>
    <row r="35" spans="1:38" x14ac:dyDescent="0.35">
      <c r="A35" s="57"/>
      <c r="B35" s="272">
        <v>44378</v>
      </c>
      <c r="C35" s="225">
        <v>5.4</v>
      </c>
      <c r="D35" s="276"/>
      <c r="E35" s="107" t="s">
        <v>1813</v>
      </c>
      <c r="F35" s="134">
        <v>3.8000000000000003</v>
      </c>
      <c r="G35" s="57"/>
      <c r="H35" s="75"/>
      <c r="I35" s="57"/>
      <c r="J35" s="75"/>
      <c r="O35" s="239"/>
    </row>
    <row r="36" spans="1:38" x14ac:dyDescent="0.35">
      <c r="A36" s="57"/>
      <c r="B36" s="272">
        <v>44409</v>
      </c>
      <c r="C36" s="225">
        <v>5.2</v>
      </c>
      <c r="D36" s="276"/>
      <c r="E36" s="107" t="s">
        <v>1814</v>
      </c>
      <c r="F36" s="134">
        <v>3.6</v>
      </c>
      <c r="G36" s="57"/>
      <c r="H36" s="75"/>
      <c r="I36" s="57"/>
      <c r="J36" s="75"/>
      <c r="O36" s="239"/>
    </row>
    <row r="37" spans="1:38" x14ac:dyDescent="0.35">
      <c r="A37" s="57"/>
      <c r="B37" s="272">
        <v>44440</v>
      </c>
      <c r="C37" s="225">
        <v>4.8</v>
      </c>
      <c r="D37" s="276"/>
      <c r="E37" s="107" t="s">
        <v>1815</v>
      </c>
      <c r="F37" s="134">
        <v>3.5666666666666664</v>
      </c>
      <c r="G37" s="57"/>
      <c r="H37" s="75"/>
      <c r="I37" s="57"/>
      <c r="J37" s="75"/>
      <c r="O37" s="239"/>
    </row>
    <row r="38" spans="1:38" x14ac:dyDescent="0.35">
      <c r="A38" s="57"/>
      <c r="B38" s="272">
        <v>44470</v>
      </c>
      <c r="C38" s="225">
        <v>4.5999999999999996</v>
      </c>
      <c r="D38" s="276"/>
      <c r="E38" s="107" t="s">
        <v>1816</v>
      </c>
      <c r="F38" s="134">
        <v>3.6</v>
      </c>
      <c r="G38" s="57"/>
      <c r="H38" s="75"/>
      <c r="I38" s="57"/>
      <c r="J38" s="75"/>
      <c r="O38" s="239"/>
    </row>
    <row r="39" spans="1:38" x14ac:dyDescent="0.35">
      <c r="A39" s="57"/>
      <c r="B39" s="272">
        <v>44501</v>
      </c>
      <c r="C39" s="225">
        <v>4.2</v>
      </c>
      <c r="D39" s="276"/>
      <c r="E39" s="43" t="s">
        <v>1818</v>
      </c>
      <c r="F39" s="134"/>
      <c r="G39" s="57"/>
      <c r="H39" s="75"/>
      <c r="I39" s="57"/>
      <c r="J39" s="75"/>
      <c r="O39" s="239"/>
      <c r="AD39" s="239"/>
      <c r="AE39" s="239"/>
      <c r="AF39" s="239"/>
      <c r="AG39" s="239"/>
      <c r="AH39" s="239"/>
      <c r="AI39" s="239"/>
      <c r="AJ39" s="239"/>
      <c r="AK39" s="239"/>
      <c r="AL39" s="239"/>
    </row>
    <row r="40" spans="1:38" x14ac:dyDescent="0.35">
      <c r="A40" s="57"/>
      <c r="B40" s="272">
        <v>44531</v>
      </c>
      <c r="C40" s="225">
        <v>3.9</v>
      </c>
      <c r="D40" s="276"/>
      <c r="E40" s="107" t="s">
        <v>1813</v>
      </c>
      <c r="F40" s="134">
        <v>3.5</v>
      </c>
      <c r="G40" s="57"/>
      <c r="H40" s="75"/>
      <c r="I40" s="57"/>
      <c r="J40" s="75"/>
      <c r="O40" s="239"/>
      <c r="AD40" s="239"/>
      <c r="AE40" s="239"/>
      <c r="AF40" s="239"/>
      <c r="AG40" s="239"/>
      <c r="AH40" s="239"/>
      <c r="AI40" s="239"/>
      <c r="AJ40" s="239"/>
      <c r="AK40" s="239"/>
      <c r="AL40" s="239"/>
    </row>
    <row r="41" spans="1:38" x14ac:dyDescent="0.35">
      <c r="A41" s="57"/>
      <c r="B41" s="272">
        <v>44562</v>
      </c>
      <c r="C41" s="225">
        <v>4</v>
      </c>
      <c r="D41" s="57"/>
      <c r="E41" s="107" t="s">
        <v>1814</v>
      </c>
      <c r="F41" s="134"/>
      <c r="G41" s="57"/>
      <c r="H41" s="75"/>
      <c r="I41" s="57"/>
      <c r="J41" s="75"/>
      <c r="O41" s="239"/>
    </row>
    <row r="42" spans="1:38" x14ac:dyDescent="0.35">
      <c r="A42" s="57"/>
      <c r="B42" s="272">
        <v>44593</v>
      </c>
      <c r="C42" s="225">
        <v>3.8</v>
      </c>
      <c r="D42" s="57"/>
      <c r="E42" s="107" t="s">
        <v>1815</v>
      </c>
      <c r="F42" s="134"/>
      <c r="G42" s="57"/>
      <c r="H42" s="75"/>
      <c r="I42" s="57"/>
      <c r="J42" s="75"/>
    </row>
    <row r="43" spans="1:38" x14ac:dyDescent="0.35">
      <c r="A43" s="57"/>
      <c r="B43" s="272">
        <v>44621</v>
      </c>
      <c r="C43" s="225">
        <v>3.6</v>
      </c>
      <c r="D43" s="57"/>
      <c r="E43" s="107" t="s">
        <v>1816</v>
      </c>
      <c r="F43" s="134"/>
      <c r="G43" s="57"/>
      <c r="H43" s="75"/>
      <c r="I43" s="57"/>
      <c r="J43" s="75"/>
    </row>
    <row r="44" spans="1:38" x14ac:dyDescent="0.35">
      <c r="A44" s="57"/>
      <c r="B44" s="272">
        <v>44652</v>
      </c>
      <c r="C44" s="225">
        <v>3.6</v>
      </c>
      <c r="D44" s="57"/>
      <c r="E44" s="43" t="s">
        <v>1819</v>
      </c>
      <c r="F44" s="134"/>
      <c r="G44" s="57"/>
      <c r="H44" s="75"/>
      <c r="I44" s="57"/>
      <c r="J44" s="75"/>
    </row>
    <row r="45" spans="1:38" x14ac:dyDescent="0.35">
      <c r="A45" s="57"/>
      <c r="B45" s="272">
        <v>44682</v>
      </c>
      <c r="C45" s="225">
        <v>3.6</v>
      </c>
      <c r="D45" s="57"/>
      <c r="E45" s="107" t="s">
        <v>1813</v>
      </c>
      <c r="F45" s="134"/>
      <c r="G45" s="57"/>
      <c r="H45" s="75"/>
      <c r="I45" s="57"/>
      <c r="J45" s="75"/>
    </row>
    <row r="46" spans="1:38" x14ac:dyDescent="0.35">
      <c r="A46" s="57"/>
      <c r="B46" s="272">
        <v>44713</v>
      </c>
      <c r="C46" s="225">
        <v>3.6</v>
      </c>
      <c r="D46" s="57"/>
      <c r="E46" s="107" t="s">
        <v>1814</v>
      </c>
      <c r="F46" s="134"/>
      <c r="G46" s="57"/>
      <c r="H46" s="75"/>
      <c r="I46" s="57"/>
      <c r="J46" s="75"/>
    </row>
    <row r="47" spans="1:38" x14ac:dyDescent="0.35">
      <c r="A47" s="57"/>
      <c r="B47" s="272">
        <v>44743</v>
      </c>
      <c r="C47" s="225">
        <v>3.5</v>
      </c>
      <c r="D47" s="57"/>
      <c r="E47" s="107" t="s">
        <v>1815</v>
      </c>
      <c r="F47" s="134"/>
      <c r="G47" s="57"/>
      <c r="H47" s="75"/>
      <c r="I47" s="57"/>
      <c r="J47" s="75"/>
    </row>
    <row r="48" spans="1:38" x14ac:dyDescent="0.35">
      <c r="A48" s="57"/>
      <c r="B48" s="272">
        <v>44774</v>
      </c>
      <c r="C48" s="225">
        <v>3.7</v>
      </c>
      <c r="D48" s="57"/>
      <c r="E48" s="107" t="s">
        <v>1816</v>
      </c>
      <c r="F48" s="134"/>
      <c r="G48" s="57"/>
      <c r="H48" s="75"/>
      <c r="I48" s="57"/>
      <c r="J48" s="75"/>
    </row>
    <row r="49" spans="2:10" x14ac:dyDescent="0.35">
      <c r="B49" s="272">
        <v>44805</v>
      </c>
      <c r="C49" s="225">
        <v>3.5</v>
      </c>
      <c r="D49" s="57"/>
      <c r="E49" s="43" t="s">
        <v>1820</v>
      </c>
      <c r="F49" s="134"/>
      <c r="G49" s="57"/>
      <c r="H49" s="57"/>
      <c r="I49" s="57"/>
      <c r="J49" s="57"/>
    </row>
    <row r="50" spans="2:10" x14ac:dyDescent="0.35">
      <c r="B50" s="272">
        <v>44835</v>
      </c>
      <c r="C50" s="225">
        <v>3.7</v>
      </c>
      <c r="D50" s="57"/>
      <c r="E50" s="107" t="s">
        <v>1813</v>
      </c>
      <c r="F50" s="134"/>
      <c r="G50" s="57"/>
      <c r="H50" s="57"/>
      <c r="I50" s="57"/>
      <c r="J50" s="57"/>
    </row>
    <row r="51" spans="2:10" x14ac:dyDescent="0.35">
      <c r="B51" s="272">
        <v>44866</v>
      </c>
      <c r="C51" s="225">
        <v>3.6</v>
      </c>
      <c r="D51" s="57"/>
      <c r="E51" s="107" t="s">
        <v>1814</v>
      </c>
      <c r="F51" s="134"/>
      <c r="G51" s="57"/>
      <c r="H51" s="57"/>
      <c r="I51" s="57"/>
      <c r="J51" s="57"/>
    </row>
    <row r="52" spans="2:10" x14ac:dyDescent="0.35">
      <c r="B52" s="272">
        <v>44896</v>
      </c>
      <c r="C52" s="225">
        <v>3.5</v>
      </c>
      <c r="D52" s="57"/>
      <c r="E52" s="107" t="s">
        <v>1815</v>
      </c>
      <c r="F52" s="134"/>
      <c r="G52" s="57"/>
      <c r="H52" s="57"/>
      <c r="I52" s="57"/>
      <c r="J52" s="57"/>
    </row>
    <row r="53" spans="2:10" x14ac:dyDescent="0.35">
      <c r="B53" s="272">
        <v>44927</v>
      </c>
      <c r="C53" s="225">
        <v>3.4</v>
      </c>
      <c r="D53" s="57"/>
      <c r="E53" s="107" t="s">
        <v>1816</v>
      </c>
      <c r="F53" s="134"/>
      <c r="G53" s="57"/>
      <c r="H53" s="57"/>
      <c r="I53" s="57"/>
      <c r="J53" s="57"/>
    </row>
    <row r="54" spans="2:10" x14ac:dyDescent="0.35">
      <c r="B54" s="272">
        <v>44958</v>
      </c>
      <c r="C54" s="225">
        <v>3.6</v>
      </c>
      <c r="D54" s="57"/>
      <c r="E54" s="43" t="s">
        <v>1821</v>
      </c>
      <c r="F54" s="134"/>
      <c r="G54" s="57"/>
      <c r="H54" s="57"/>
      <c r="I54" s="57"/>
      <c r="J54" s="57"/>
    </row>
    <row r="55" spans="2:10" x14ac:dyDescent="0.35">
      <c r="B55" s="272">
        <v>44986</v>
      </c>
      <c r="C55" s="225">
        <v>3.5</v>
      </c>
      <c r="D55" s="57"/>
      <c r="E55" s="107" t="s">
        <v>1813</v>
      </c>
      <c r="F55" s="134"/>
      <c r="G55" s="57"/>
      <c r="H55" s="57"/>
      <c r="I55" s="57"/>
      <c r="J55" s="57"/>
    </row>
    <row r="56" spans="2:10" x14ac:dyDescent="0.35">
      <c r="B56" s="272">
        <v>45017</v>
      </c>
      <c r="C56" s="225"/>
      <c r="D56" s="57"/>
      <c r="E56" s="107" t="s">
        <v>1814</v>
      </c>
      <c r="F56" s="134"/>
      <c r="G56" s="57"/>
      <c r="H56" s="57"/>
      <c r="I56" s="57"/>
      <c r="J56" s="57"/>
    </row>
    <row r="57" spans="2:10" x14ac:dyDescent="0.35">
      <c r="B57" s="272">
        <v>45047</v>
      </c>
      <c r="C57" s="225"/>
      <c r="D57" s="57"/>
      <c r="E57" s="107" t="s">
        <v>1815</v>
      </c>
      <c r="F57" s="134"/>
      <c r="G57" s="57"/>
      <c r="H57" s="57"/>
      <c r="I57" s="57"/>
      <c r="J57" s="57"/>
    </row>
    <row r="58" spans="2:10" x14ac:dyDescent="0.35">
      <c r="B58" s="272">
        <v>45078</v>
      </c>
      <c r="C58" s="225"/>
      <c r="D58" s="57"/>
      <c r="E58" s="107" t="s">
        <v>1816</v>
      </c>
      <c r="F58" s="134"/>
      <c r="G58" s="57"/>
      <c r="H58" s="57"/>
      <c r="I58" s="57"/>
      <c r="J58" s="57"/>
    </row>
    <row r="59" spans="2:10" x14ac:dyDescent="0.35">
      <c r="B59" s="272">
        <v>45108</v>
      </c>
      <c r="C59" s="225"/>
      <c r="D59" s="57"/>
      <c r="E59" s="57"/>
      <c r="F59" s="57"/>
      <c r="G59" s="57"/>
      <c r="H59" s="57"/>
      <c r="I59" s="57"/>
      <c r="J59" s="57"/>
    </row>
    <row r="60" spans="2:10" x14ac:dyDescent="0.35">
      <c r="B60" s="272">
        <v>45139</v>
      </c>
      <c r="C60" s="225"/>
      <c r="D60" s="57"/>
      <c r="E60" s="57"/>
      <c r="F60" s="57"/>
      <c r="G60" s="57"/>
      <c r="H60" s="57"/>
      <c r="I60" s="57"/>
      <c r="J60" s="57"/>
    </row>
    <row r="61" spans="2:10" x14ac:dyDescent="0.35">
      <c r="B61" s="272">
        <v>45170</v>
      </c>
      <c r="C61" s="225"/>
      <c r="D61" s="57"/>
      <c r="E61" s="57"/>
      <c r="F61" s="57"/>
      <c r="G61" s="57"/>
      <c r="H61" s="57"/>
      <c r="I61" s="57"/>
      <c r="J61" s="57"/>
    </row>
    <row r="62" spans="2:10" x14ac:dyDescent="0.35">
      <c r="B62" s="272">
        <v>45200</v>
      </c>
      <c r="C62" s="225"/>
      <c r="D62" s="57"/>
      <c r="E62" s="57"/>
      <c r="F62" s="57"/>
      <c r="G62" s="57"/>
      <c r="H62" s="57"/>
      <c r="I62" s="57"/>
      <c r="J62" s="57"/>
    </row>
    <row r="63" spans="2:10" x14ac:dyDescent="0.35">
      <c r="B63" s="272">
        <v>45231</v>
      </c>
      <c r="C63" s="225"/>
      <c r="D63" s="57"/>
      <c r="E63" s="57"/>
      <c r="F63" s="57"/>
      <c r="G63" s="57"/>
      <c r="H63" s="57"/>
      <c r="I63" s="57"/>
      <c r="J63" s="57"/>
    </row>
    <row r="64" spans="2:10" x14ac:dyDescent="0.35">
      <c r="B64" s="272">
        <v>45261</v>
      </c>
      <c r="C64" s="225"/>
      <c r="D64" s="57"/>
      <c r="E64" s="57"/>
      <c r="F64" s="57"/>
      <c r="G64" s="57"/>
      <c r="H64" s="57"/>
      <c r="I64" s="57"/>
      <c r="J64" s="57"/>
    </row>
    <row r="65" spans="2:10" x14ac:dyDescent="0.35">
      <c r="B65" s="272">
        <v>45292</v>
      </c>
      <c r="C65" s="225"/>
      <c r="D65" s="57"/>
      <c r="E65" s="57"/>
      <c r="F65" s="57"/>
      <c r="G65" s="57"/>
      <c r="H65" s="57"/>
      <c r="I65" s="57"/>
      <c r="J65" s="57"/>
    </row>
    <row r="66" spans="2:10" x14ac:dyDescent="0.35">
      <c r="B66" s="272">
        <v>45323</v>
      </c>
      <c r="C66" s="225"/>
      <c r="D66" s="57"/>
      <c r="E66" s="57"/>
      <c r="F66" s="57"/>
      <c r="G66" s="57"/>
      <c r="H66" s="57"/>
      <c r="I66" s="57"/>
      <c r="J66" s="57"/>
    </row>
    <row r="67" spans="2:10" x14ac:dyDescent="0.35">
      <c r="B67" s="272">
        <v>45352</v>
      </c>
      <c r="C67" s="225"/>
      <c r="D67" s="57"/>
      <c r="E67" s="57"/>
      <c r="F67" s="57"/>
      <c r="G67" s="57"/>
      <c r="H67" s="57"/>
      <c r="I67" s="57"/>
      <c r="J67" s="57"/>
    </row>
    <row r="68" spans="2:10" x14ac:dyDescent="0.35">
      <c r="B68" s="272">
        <v>45383</v>
      </c>
      <c r="C68" s="225"/>
      <c r="D68" s="57"/>
      <c r="E68" s="57"/>
      <c r="F68" s="57"/>
      <c r="G68" s="57"/>
      <c r="H68" s="57"/>
      <c r="I68" s="57"/>
      <c r="J68" s="57"/>
    </row>
    <row r="69" spans="2:10" x14ac:dyDescent="0.35">
      <c r="B69" s="272">
        <v>45413</v>
      </c>
      <c r="C69" s="225"/>
      <c r="D69" s="57"/>
      <c r="E69" s="57"/>
      <c r="F69" s="57"/>
      <c r="G69" s="57"/>
      <c r="H69" s="57"/>
      <c r="I69" s="57"/>
      <c r="J69" s="57"/>
    </row>
    <row r="70" spans="2:10" x14ac:dyDescent="0.35">
      <c r="B70" s="272">
        <v>45444</v>
      </c>
      <c r="C70" s="225"/>
      <c r="D70" s="57"/>
      <c r="E70" s="57"/>
      <c r="F70" s="57"/>
      <c r="G70" s="57"/>
      <c r="H70" s="57"/>
      <c r="I70" s="57"/>
      <c r="J70" s="57"/>
    </row>
    <row r="71" spans="2:10" x14ac:dyDescent="0.35">
      <c r="B71" s="272">
        <v>45474</v>
      </c>
      <c r="C71" s="225"/>
      <c r="D71" s="57"/>
      <c r="E71" s="57"/>
      <c r="F71" s="57"/>
      <c r="G71" s="57"/>
      <c r="H71" s="57"/>
      <c r="I71" s="57"/>
      <c r="J71" s="57"/>
    </row>
    <row r="72" spans="2:10" x14ac:dyDescent="0.35">
      <c r="B72" s="272">
        <v>45505</v>
      </c>
      <c r="C72" s="225"/>
      <c r="D72" s="57"/>
      <c r="E72" s="57"/>
      <c r="F72" s="57"/>
      <c r="G72" s="57"/>
      <c r="H72" s="57"/>
      <c r="I72" s="57"/>
      <c r="J72" s="57"/>
    </row>
    <row r="73" spans="2:10" x14ac:dyDescent="0.35">
      <c r="B73" s="272">
        <v>45536</v>
      </c>
      <c r="C73" s="225"/>
      <c r="D73" s="57"/>
      <c r="E73" s="57"/>
      <c r="F73" s="57"/>
      <c r="G73" s="57"/>
      <c r="H73" s="57"/>
      <c r="I73" s="57"/>
      <c r="J73" s="57"/>
    </row>
    <row r="74" spans="2:10" x14ac:dyDescent="0.35">
      <c r="B74" s="272">
        <v>45566</v>
      </c>
      <c r="C74" s="225"/>
      <c r="D74" s="57"/>
      <c r="E74" s="57"/>
      <c r="F74" s="57"/>
      <c r="G74" s="57"/>
      <c r="H74" s="57"/>
      <c r="I74" s="57"/>
      <c r="J74" s="57"/>
    </row>
    <row r="75" spans="2:10" x14ac:dyDescent="0.35">
      <c r="B75" s="272">
        <v>45597</v>
      </c>
      <c r="C75" s="225"/>
      <c r="D75" s="57"/>
      <c r="E75" s="57"/>
      <c r="F75" s="57"/>
      <c r="G75" s="57"/>
      <c r="H75" s="57"/>
      <c r="I75" s="57"/>
      <c r="J75" s="57"/>
    </row>
    <row r="76" spans="2:10" x14ac:dyDescent="0.35">
      <c r="B76" s="272">
        <v>45627</v>
      </c>
      <c r="C76" s="225"/>
      <c r="D76" s="57"/>
      <c r="E76" s="57"/>
      <c r="F76" s="57"/>
      <c r="G76" s="57"/>
      <c r="H76" s="57"/>
      <c r="I76" s="57"/>
      <c r="J76" s="57"/>
    </row>
    <row r="77" spans="2:10" x14ac:dyDescent="0.35">
      <c r="B77" s="272">
        <v>45658</v>
      </c>
      <c r="C77" s="225"/>
      <c r="D77" s="57"/>
      <c r="E77" s="57"/>
      <c r="F77" s="57"/>
      <c r="G77" s="57"/>
      <c r="H77" s="57"/>
      <c r="I77" s="57"/>
      <c r="J77" s="57"/>
    </row>
    <row r="78" spans="2:10" x14ac:dyDescent="0.35">
      <c r="B78" s="272">
        <v>45689</v>
      </c>
      <c r="C78" s="225"/>
      <c r="D78" s="57"/>
      <c r="E78" s="57"/>
      <c r="F78" s="57"/>
      <c r="G78" s="57"/>
      <c r="H78" s="57"/>
      <c r="I78" s="57"/>
      <c r="J78" s="57"/>
    </row>
    <row r="79" spans="2:10" x14ac:dyDescent="0.35">
      <c r="B79" s="272">
        <v>45717</v>
      </c>
      <c r="C79" s="225"/>
      <c r="D79" s="57"/>
      <c r="E79" s="57"/>
      <c r="F79" s="57"/>
      <c r="G79" s="57"/>
      <c r="H79" s="57"/>
      <c r="I79" s="57"/>
      <c r="J79" s="57"/>
    </row>
    <row r="80" spans="2:10" x14ac:dyDescent="0.35">
      <c r="B80" s="272">
        <v>45748</v>
      </c>
      <c r="C80" s="225"/>
      <c r="D80" s="57"/>
      <c r="E80" s="57"/>
      <c r="F80" s="57"/>
      <c r="G80" s="57"/>
      <c r="H80" s="57"/>
      <c r="I80" s="57"/>
      <c r="J80" s="57"/>
    </row>
    <row r="81" spans="2:10" x14ac:dyDescent="0.35">
      <c r="B81" s="272">
        <v>45778</v>
      </c>
      <c r="C81" s="225"/>
      <c r="D81" s="57"/>
      <c r="E81" s="57"/>
      <c r="F81" s="57"/>
      <c r="G81" s="57"/>
      <c r="H81" s="57"/>
      <c r="I81" s="57"/>
      <c r="J81" s="57"/>
    </row>
    <row r="82" spans="2:10" x14ac:dyDescent="0.35">
      <c r="B82" s="272">
        <v>45809</v>
      </c>
      <c r="C82" s="225"/>
      <c r="D82" s="57"/>
      <c r="E82" s="57"/>
      <c r="F82" s="57"/>
      <c r="G82" s="57"/>
      <c r="H82" s="57"/>
      <c r="I82" s="57"/>
      <c r="J82" s="57"/>
    </row>
    <row r="83" spans="2:10" x14ac:dyDescent="0.35">
      <c r="B83" s="272">
        <v>45839</v>
      </c>
      <c r="C83" s="225"/>
      <c r="D83" s="57"/>
      <c r="E83" s="57"/>
      <c r="F83" s="57"/>
      <c r="G83" s="57"/>
      <c r="H83" s="57"/>
      <c r="I83" s="57"/>
      <c r="J83" s="57"/>
    </row>
    <row r="84" spans="2:10" x14ac:dyDescent="0.35">
      <c r="B84" s="272">
        <v>45870</v>
      </c>
      <c r="C84" s="225"/>
      <c r="D84" s="57"/>
      <c r="E84" s="57"/>
      <c r="F84" s="57"/>
      <c r="G84" s="57"/>
      <c r="H84" s="57"/>
      <c r="I84" s="57"/>
      <c r="J84" s="57"/>
    </row>
    <row r="85" spans="2:10" x14ac:dyDescent="0.35">
      <c r="B85" s="272">
        <v>45901</v>
      </c>
      <c r="C85" s="225"/>
      <c r="D85" s="57"/>
      <c r="E85" s="57"/>
      <c r="F85" s="57"/>
      <c r="G85" s="57"/>
      <c r="H85" s="57"/>
      <c r="I85" s="57"/>
      <c r="J85" s="57"/>
    </row>
    <row r="86" spans="2:10" x14ac:dyDescent="0.35">
      <c r="B86" s="272">
        <v>45931</v>
      </c>
      <c r="C86" s="225"/>
      <c r="D86" s="57"/>
      <c r="E86" s="57"/>
      <c r="F86" s="57"/>
      <c r="G86" s="57"/>
      <c r="H86" s="57"/>
      <c r="I86" s="57"/>
      <c r="J86" s="57"/>
    </row>
    <row r="87" spans="2:10" x14ac:dyDescent="0.35">
      <c r="B87" s="272">
        <v>45962</v>
      </c>
      <c r="C87" s="225"/>
      <c r="D87" s="57"/>
      <c r="E87" s="57"/>
      <c r="F87" s="57"/>
      <c r="G87" s="57"/>
      <c r="H87" s="57"/>
      <c r="I87" s="57"/>
      <c r="J87" s="57"/>
    </row>
    <row r="88" spans="2:10" x14ac:dyDescent="0.35">
      <c r="B88" s="272">
        <v>45992</v>
      </c>
      <c r="C88" s="225"/>
      <c r="D88" s="57"/>
      <c r="E88" s="57"/>
      <c r="F88" s="57"/>
      <c r="G88" s="57"/>
      <c r="H88" s="57"/>
      <c r="I88" s="57"/>
      <c r="J88" s="57"/>
    </row>
    <row r="89" spans="2:10" x14ac:dyDescent="0.35">
      <c r="B89" s="272">
        <v>46023</v>
      </c>
      <c r="C89" s="225"/>
      <c r="D89" s="57"/>
      <c r="E89" s="57"/>
      <c r="F89" s="57"/>
      <c r="G89" s="57"/>
      <c r="H89" s="57"/>
      <c r="I89" s="57"/>
      <c r="J89" s="57"/>
    </row>
    <row r="90" spans="2:10" x14ac:dyDescent="0.35">
      <c r="B90" s="272">
        <v>46054</v>
      </c>
      <c r="C90" s="225"/>
      <c r="D90" s="57"/>
      <c r="E90" s="57"/>
      <c r="F90" s="57"/>
      <c r="G90" s="57"/>
      <c r="H90" s="57"/>
      <c r="I90" s="57"/>
      <c r="J90" s="57"/>
    </row>
    <row r="91" spans="2:10" x14ac:dyDescent="0.35">
      <c r="B91" s="272">
        <v>46082</v>
      </c>
      <c r="C91" s="225"/>
      <c r="D91" s="57"/>
      <c r="E91" s="57"/>
      <c r="F91" s="57"/>
      <c r="G91" s="57"/>
      <c r="H91" s="57"/>
      <c r="I91" s="57"/>
      <c r="J91" s="57"/>
    </row>
    <row r="92" spans="2:10" x14ac:dyDescent="0.35">
      <c r="B92" s="272">
        <v>46113</v>
      </c>
      <c r="C92" s="225"/>
      <c r="D92" s="57"/>
      <c r="E92" s="57"/>
      <c r="F92" s="57"/>
      <c r="G92" s="57"/>
      <c r="H92" s="57"/>
      <c r="I92" s="57"/>
      <c r="J92" s="57"/>
    </row>
    <row r="93" spans="2:10" x14ac:dyDescent="0.35">
      <c r="B93" s="272">
        <v>46143</v>
      </c>
      <c r="C93" s="225"/>
      <c r="D93" s="57"/>
      <c r="E93" s="57"/>
      <c r="F93" s="57"/>
      <c r="G93" s="57"/>
      <c r="H93" s="57"/>
      <c r="I93" s="57"/>
      <c r="J93" s="57"/>
    </row>
    <row r="94" spans="2:10" x14ac:dyDescent="0.35">
      <c r="B94" s="272">
        <v>46174</v>
      </c>
      <c r="C94" s="225"/>
      <c r="D94" s="57"/>
      <c r="E94" s="57"/>
      <c r="F94" s="57"/>
      <c r="G94" s="57"/>
      <c r="H94" s="57"/>
      <c r="I94" s="57"/>
      <c r="J94" s="57"/>
    </row>
    <row r="95" spans="2:10" x14ac:dyDescent="0.35">
      <c r="B95" s="272">
        <v>46204</v>
      </c>
      <c r="C95" s="225"/>
      <c r="D95" s="57"/>
      <c r="E95" s="57"/>
      <c r="F95" s="57"/>
      <c r="G95" s="57"/>
      <c r="H95" s="57"/>
      <c r="I95" s="57"/>
      <c r="J95" s="57"/>
    </row>
    <row r="96" spans="2:10" x14ac:dyDescent="0.35">
      <c r="B96" s="272">
        <v>46235</v>
      </c>
      <c r="C96" s="225"/>
      <c r="D96" s="57"/>
      <c r="E96" s="57"/>
      <c r="F96" s="57"/>
      <c r="G96" s="57"/>
      <c r="H96" s="57"/>
      <c r="I96" s="57"/>
      <c r="J96" s="57"/>
    </row>
    <row r="97" spans="2:10" x14ac:dyDescent="0.35">
      <c r="B97" s="272">
        <v>46266</v>
      </c>
      <c r="C97" s="225"/>
      <c r="D97" s="57"/>
      <c r="E97" s="57"/>
      <c r="F97" s="57"/>
      <c r="G97" s="57"/>
      <c r="H97" s="57"/>
      <c r="I97" s="57"/>
      <c r="J97" s="57"/>
    </row>
    <row r="98" spans="2:10" x14ac:dyDescent="0.35">
      <c r="B98" s="272">
        <v>46296</v>
      </c>
      <c r="C98" s="225"/>
      <c r="D98" s="57"/>
      <c r="E98" s="57"/>
      <c r="F98" s="57"/>
      <c r="G98" s="57"/>
      <c r="H98" s="57"/>
      <c r="I98" s="57"/>
      <c r="J98" s="57"/>
    </row>
    <row r="99" spans="2:10" x14ac:dyDescent="0.35">
      <c r="B99" s="272">
        <v>46327</v>
      </c>
      <c r="C99" s="225"/>
      <c r="D99" s="57"/>
      <c r="E99" s="57"/>
      <c r="F99" s="57"/>
      <c r="G99" s="57"/>
      <c r="H99" s="57"/>
      <c r="I99" s="57"/>
      <c r="J99" s="57"/>
    </row>
    <row r="100" spans="2:10" x14ac:dyDescent="0.35">
      <c r="B100" s="273">
        <v>46357</v>
      </c>
      <c r="C100" s="226"/>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Q97"/>
  <sheetViews>
    <sheetView zoomScale="80" zoomScaleNormal="80" workbookViewId="0">
      <pane xSplit="2" ySplit="4" topLeftCell="J68" activePane="bottomRight" state="frozen"/>
      <selection pane="topRight" activeCell="C1" sqref="C1"/>
      <selection pane="bottomLeft" activeCell="A5" sqref="A5"/>
      <selection pane="bottomRight" activeCell="AG94" sqref="AG94"/>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6" width="8.1796875" customWidth="1"/>
    <col min="37" max="37" width="29.453125" customWidth="1"/>
    <col min="38" max="38" width="31.1796875" customWidth="1"/>
    <col min="39" max="39" width="114.81640625" customWidth="1"/>
  </cols>
  <sheetData>
    <row r="1" spans="2:41" x14ac:dyDescent="0.35">
      <c r="B1" s="1271" t="s">
        <v>192</v>
      </c>
      <c r="C1" s="1271"/>
      <c r="D1" s="1271"/>
      <c r="E1" s="1271"/>
      <c r="F1" s="1271"/>
      <c r="G1" s="1271"/>
      <c r="H1" s="1271"/>
      <c r="I1" s="1271"/>
      <c r="J1" s="1271"/>
      <c r="K1" s="1271"/>
      <c r="L1" s="1271"/>
      <c r="M1" s="1271"/>
      <c r="N1" s="1271"/>
      <c r="O1" s="1271"/>
      <c r="P1" s="1271"/>
      <c r="Q1" s="1271"/>
      <c r="R1" s="1271"/>
      <c r="S1" s="1271"/>
      <c r="T1" s="1271"/>
      <c r="U1" s="1271"/>
      <c r="V1" s="1271"/>
      <c r="W1" s="1271"/>
      <c r="X1" s="1271"/>
      <c r="Y1" s="1271"/>
      <c r="Z1" s="210"/>
      <c r="AA1" s="210"/>
      <c r="AB1" s="210"/>
      <c r="AC1" s="210"/>
      <c r="AD1" s="210"/>
      <c r="AE1" s="210"/>
      <c r="AF1" s="210"/>
      <c r="AG1" s="210"/>
      <c r="AH1" s="210"/>
      <c r="AI1" s="210"/>
      <c r="AJ1" s="210"/>
      <c r="AK1" s="314"/>
      <c r="AL1" s="314"/>
    </row>
    <row r="2" spans="2:41" ht="14.25" customHeight="1" x14ac:dyDescent="0.35">
      <c r="B2" s="1272" t="s">
        <v>331</v>
      </c>
      <c r="C2" s="1272"/>
      <c r="D2" s="1272"/>
      <c r="E2" s="1272"/>
      <c r="F2" s="1272"/>
      <c r="G2" s="1272"/>
      <c r="H2" s="1272"/>
      <c r="I2" s="1272"/>
      <c r="J2" s="1272"/>
      <c r="K2" s="1272"/>
      <c r="L2" s="1272"/>
      <c r="M2" s="1272"/>
      <c r="N2" s="1272"/>
      <c r="O2" s="1272"/>
      <c r="P2" s="1272"/>
      <c r="Q2" s="1272"/>
      <c r="R2" s="1272"/>
      <c r="S2" s="1272"/>
      <c r="T2" s="1272"/>
      <c r="U2" s="1272"/>
      <c r="V2" s="1272"/>
      <c r="W2" s="1272"/>
      <c r="X2" s="1272"/>
      <c r="Y2" s="1272"/>
      <c r="Z2" s="1272"/>
      <c r="AA2" s="1272"/>
      <c r="AB2" s="1272"/>
      <c r="AC2" s="1272"/>
      <c r="AD2" s="211"/>
      <c r="AE2" s="211"/>
      <c r="AF2" s="211"/>
      <c r="AG2" s="211"/>
      <c r="AH2" s="211"/>
      <c r="AI2" s="211"/>
      <c r="AJ2" s="211"/>
      <c r="AK2" s="211"/>
      <c r="AL2" s="211"/>
    </row>
    <row r="3" spans="2:41" ht="50.9" customHeight="1" x14ac:dyDescent="0.35">
      <c r="B3" s="1272"/>
      <c r="C3" s="1272"/>
      <c r="D3" s="1272"/>
      <c r="E3" s="1272"/>
      <c r="F3" s="1272"/>
      <c r="G3" s="1272"/>
      <c r="H3" s="1272"/>
      <c r="I3" s="1272"/>
      <c r="J3" s="1272"/>
      <c r="K3" s="1272"/>
      <c r="L3" s="1272"/>
      <c r="M3" s="1272"/>
      <c r="N3" s="1272"/>
      <c r="O3" s="1272"/>
      <c r="P3" s="1272"/>
      <c r="Q3" s="1272"/>
      <c r="R3" s="1272"/>
      <c r="S3" s="1272"/>
      <c r="T3" s="1272"/>
      <c r="U3" s="1272"/>
      <c r="V3" s="1272"/>
      <c r="W3" s="1272"/>
      <c r="X3" s="1272"/>
      <c r="Y3" s="1272"/>
      <c r="Z3" s="1272"/>
      <c r="AA3" s="1272"/>
      <c r="AB3" s="1272"/>
      <c r="AC3" s="1272"/>
      <c r="AD3" s="211"/>
      <c r="AE3" s="211"/>
      <c r="AF3" s="211"/>
      <c r="AG3" s="211"/>
      <c r="AH3" s="211"/>
      <c r="AI3" s="211"/>
      <c r="AJ3" s="211"/>
      <c r="AK3" s="211"/>
      <c r="AL3" s="211"/>
    </row>
    <row r="4" spans="2:41" ht="5.25" customHeight="1" x14ac:dyDescent="0.35">
      <c r="B4" s="1272"/>
      <c r="C4" s="1272"/>
      <c r="D4" s="1272"/>
      <c r="E4" s="1272"/>
      <c r="F4" s="1272"/>
      <c r="G4" s="1272"/>
      <c r="H4" s="1272"/>
      <c r="I4" s="1272"/>
      <c r="J4" s="1272"/>
      <c r="K4" s="1272"/>
      <c r="L4" s="1272"/>
      <c r="M4" s="1272"/>
      <c r="N4" s="1272"/>
      <c r="O4" s="1272"/>
      <c r="P4" s="1272"/>
      <c r="Q4" s="1272"/>
      <c r="R4" s="1272"/>
      <c r="S4" s="1272"/>
      <c r="T4" s="1272"/>
      <c r="U4" s="1272"/>
      <c r="V4" s="1272"/>
      <c r="W4" s="1272"/>
      <c r="X4" s="1272"/>
      <c r="Y4" s="1272"/>
      <c r="Z4" s="1272"/>
      <c r="AA4" s="1272"/>
      <c r="AB4" s="1272"/>
      <c r="AC4" s="1272"/>
      <c r="AD4" s="211"/>
      <c r="AE4" s="211"/>
      <c r="AF4" s="211"/>
      <c r="AG4" s="211"/>
      <c r="AH4" s="211"/>
      <c r="AI4" s="211"/>
      <c r="AJ4" s="211"/>
      <c r="AK4" s="211"/>
      <c r="AL4" s="211"/>
    </row>
    <row r="5" spans="2:41" x14ac:dyDescent="0.35">
      <c r="B5" s="397" t="s">
        <v>332</v>
      </c>
    </row>
    <row r="6" spans="2:41" ht="14.9" customHeight="1" x14ac:dyDescent="0.35">
      <c r="B6" s="1276" t="s">
        <v>333</v>
      </c>
      <c r="C6" s="1277"/>
      <c r="D6" s="1280" t="s">
        <v>279</v>
      </c>
      <c r="E6" s="1290"/>
      <c r="F6" s="1290"/>
      <c r="G6" s="1290"/>
      <c r="H6" s="1290"/>
      <c r="I6" s="1290"/>
      <c r="J6" s="1290"/>
      <c r="K6" s="1290"/>
      <c r="L6" s="1290"/>
      <c r="M6" s="1290"/>
      <c r="N6" s="1290"/>
      <c r="O6" s="1290"/>
      <c r="P6" s="1290"/>
      <c r="Q6" s="1290"/>
      <c r="R6" s="1290"/>
      <c r="S6" s="1290"/>
      <c r="T6" s="1290"/>
      <c r="U6" s="1291"/>
      <c r="V6" s="1279"/>
      <c r="W6" s="1319" t="s">
        <v>280</v>
      </c>
      <c r="X6" s="1288"/>
      <c r="Y6" s="1288"/>
      <c r="Z6" s="1288"/>
      <c r="AA6" s="1288"/>
      <c r="AB6" s="1288"/>
      <c r="AC6" s="1288"/>
      <c r="AD6" s="1288"/>
      <c r="AE6" s="1288"/>
      <c r="AF6" s="1288"/>
      <c r="AG6" s="1289"/>
      <c r="AH6" s="218"/>
      <c r="AI6" s="218"/>
      <c r="AJ6" s="218"/>
      <c r="AK6" s="1318" t="s">
        <v>334</v>
      </c>
      <c r="AL6" s="1314" t="s">
        <v>335</v>
      </c>
    </row>
    <row r="7" spans="2:41" ht="24" customHeight="1" x14ac:dyDescent="0.35">
      <c r="B7" s="1278"/>
      <c r="C7" s="1279"/>
      <c r="D7" s="212">
        <v>2018</v>
      </c>
      <c r="E7" s="1273">
        <v>2019</v>
      </c>
      <c r="F7" s="1274"/>
      <c r="G7" s="1274"/>
      <c r="H7" s="1275"/>
      <c r="I7" s="1273">
        <v>2020</v>
      </c>
      <c r="J7" s="1274"/>
      <c r="K7" s="1274"/>
      <c r="L7" s="1274"/>
      <c r="M7" s="1273">
        <v>2021</v>
      </c>
      <c r="N7" s="1274"/>
      <c r="O7" s="1274"/>
      <c r="P7" s="1274"/>
      <c r="Q7" s="1282">
        <v>2022</v>
      </c>
      <c r="R7" s="1305"/>
      <c r="S7" s="1305"/>
      <c r="T7" s="1305"/>
      <c r="U7" s="338"/>
      <c r="V7" s="339">
        <v>2023</v>
      </c>
      <c r="W7" s="340"/>
      <c r="X7" s="341"/>
      <c r="Y7" s="1268">
        <v>2024</v>
      </c>
      <c r="Z7" s="1269"/>
      <c r="AA7" s="1269"/>
      <c r="AB7" s="1270"/>
      <c r="AC7" s="1268">
        <v>2025</v>
      </c>
      <c r="AD7" s="1269"/>
      <c r="AE7" s="1269"/>
      <c r="AF7" s="1269"/>
      <c r="AG7" s="1268">
        <v>2026</v>
      </c>
      <c r="AH7" s="1269"/>
      <c r="AI7" s="1269"/>
      <c r="AJ7" s="1270"/>
      <c r="AK7" s="1315"/>
      <c r="AL7" s="1315"/>
    </row>
    <row r="8" spans="2:41" ht="14.25" customHeight="1" x14ac:dyDescent="0.35">
      <c r="B8" s="1280"/>
      <c r="C8" s="1281"/>
      <c r="D8" s="212" t="s">
        <v>281</v>
      </c>
      <c r="E8" s="212" t="s">
        <v>282</v>
      </c>
      <c r="F8" s="213" t="s">
        <v>283</v>
      </c>
      <c r="G8" s="213" t="s">
        <v>238</v>
      </c>
      <c r="H8" s="214" t="s">
        <v>281</v>
      </c>
      <c r="I8" s="213" t="s">
        <v>282</v>
      </c>
      <c r="J8" s="213" t="s">
        <v>283</v>
      </c>
      <c r="K8" s="213" t="s">
        <v>238</v>
      </c>
      <c r="L8" s="213" t="s">
        <v>281</v>
      </c>
      <c r="M8" s="212" t="s">
        <v>282</v>
      </c>
      <c r="N8" s="213" t="s">
        <v>283</v>
      </c>
      <c r="O8" s="213" t="s">
        <v>238</v>
      </c>
      <c r="P8" s="213" t="s">
        <v>281</v>
      </c>
      <c r="Q8" s="212" t="s">
        <v>282</v>
      </c>
      <c r="R8" s="213" t="s">
        <v>283</v>
      </c>
      <c r="S8" s="213" t="s">
        <v>238</v>
      </c>
      <c r="T8" s="213" t="s">
        <v>281</v>
      </c>
      <c r="U8" s="281" t="s">
        <v>282</v>
      </c>
      <c r="V8" s="282" t="s">
        <v>283</v>
      </c>
      <c r="W8" s="267" t="s">
        <v>238</v>
      </c>
      <c r="X8" s="268" t="s">
        <v>281</v>
      </c>
      <c r="Y8" s="266" t="s">
        <v>282</v>
      </c>
      <c r="Z8" s="264" t="s">
        <v>283</v>
      </c>
      <c r="AA8" s="267" t="s">
        <v>238</v>
      </c>
      <c r="AB8" s="268" t="s">
        <v>281</v>
      </c>
      <c r="AC8" s="266" t="s">
        <v>282</v>
      </c>
      <c r="AD8" s="264" t="s">
        <v>283</v>
      </c>
      <c r="AE8" s="267" t="s">
        <v>238</v>
      </c>
      <c r="AF8" s="267" t="s">
        <v>281</v>
      </c>
      <c r="AG8" s="266" t="s">
        <v>282</v>
      </c>
      <c r="AH8" s="267" t="s">
        <v>283</v>
      </c>
      <c r="AI8" s="267" t="s">
        <v>238</v>
      </c>
      <c r="AJ8" s="268" t="s">
        <v>281</v>
      </c>
      <c r="AK8" s="1316"/>
      <c r="AL8" s="1316"/>
    </row>
    <row r="9" spans="2:41" ht="23.9" customHeight="1" x14ac:dyDescent="0.35">
      <c r="B9" s="351" t="s">
        <v>336</v>
      </c>
      <c r="C9" s="415" t="s">
        <v>337</v>
      </c>
      <c r="D9" s="365">
        <f>'Haver Pivoted'!GO32</f>
        <v>590.1</v>
      </c>
      <c r="E9" s="366">
        <f>'Haver Pivoted'!GP32</f>
        <v>591.20000000000005</v>
      </c>
      <c r="F9" s="366">
        <f>'Haver Pivoted'!GQ32</f>
        <v>610.70000000000005</v>
      </c>
      <c r="G9" s="366">
        <f>'Haver Pivoted'!GR32</f>
        <v>608.79999999999995</v>
      </c>
      <c r="H9" s="366">
        <f>'Haver Pivoted'!GS32</f>
        <v>625</v>
      </c>
      <c r="I9" s="366">
        <f>'Haver Pivoted'!GT32</f>
        <v>635</v>
      </c>
      <c r="J9" s="366">
        <f>'Haver Pivoted'!GU32</f>
        <v>1387</v>
      </c>
      <c r="K9" s="366">
        <f>'Haver Pivoted'!GV32</f>
        <v>734.9</v>
      </c>
      <c r="L9" s="366">
        <f>'Haver Pivoted'!GW32</f>
        <v>757.9</v>
      </c>
      <c r="M9" s="366">
        <f>'Haver Pivoted'!GX32</f>
        <v>777.7</v>
      </c>
      <c r="N9" s="366">
        <f>'Haver Pivoted'!GY32</f>
        <v>1640.8</v>
      </c>
      <c r="O9" s="366">
        <f>'Haver Pivoted'!GZ32</f>
        <v>1085.5999999999999</v>
      </c>
      <c r="P9" s="366">
        <f>'Haver Pivoted'!HA32</f>
        <v>936.3</v>
      </c>
      <c r="Q9" s="366">
        <f>'Haver Pivoted'!HB32</f>
        <v>930</v>
      </c>
      <c r="R9" s="366">
        <f>'Haver Pivoted'!HC32</f>
        <v>951.4</v>
      </c>
      <c r="S9" s="367">
        <f>'Haver Pivoted'!HD32</f>
        <v>956.4</v>
      </c>
      <c r="T9" s="367">
        <f>'Haver Pivoted'!HE32</f>
        <v>955.4</v>
      </c>
      <c r="U9" s="334">
        <f>'Haver Pivoted'!HF32</f>
        <v>977.7</v>
      </c>
      <c r="V9" s="334">
        <f>'Haver Pivoted'!HG32</f>
        <v>967.9</v>
      </c>
      <c r="W9" s="334">
        <f>'Haver Pivoted'!HH32</f>
        <v>915.6</v>
      </c>
      <c r="X9" s="334">
        <f>'Haver Pivoted'!HI32</f>
        <v>941.4</v>
      </c>
      <c r="Y9" s="334">
        <f>'Haver Pivoted'!HJ32</f>
        <v>941</v>
      </c>
      <c r="Z9" s="334">
        <f>'Haver Pivoted'!HK32</f>
        <v>949.1</v>
      </c>
      <c r="AA9" s="334">
        <f>'Haver Pivoted'!HL32</f>
        <v>981.6</v>
      </c>
      <c r="AB9" s="336">
        <f t="shared" ref="AB9" si="0">AB10+AB11</f>
        <v>976.48938763153205</v>
      </c>
      <c r="AC9" s="336">
        <f>AC10+AC11</f>
        <v>980.41012422397694</v>
      </c>
      <c r="AD9" s="336">
        <f>AD10+AD11</f>
        <v>1006.5938400204391</v>
      </c>
      <c r="AE9" s="336"/>
      <c r="AF9" s="336"/>
      <c r="AG9" s="336"/>
      <c r="AH9" s="336"/>
      <c r="AI9" s="336"/>
      <c r="AJ9" s="336"/>
      <c r="AK9" s="384"/>
      <c r="AL9" s="416"/>
    </row>
    <row r="10" spans="2:41" ht="27.65" customHeight="1" x14ac:dyDescent="0.35">
      <c r="B10" s="422" t="s">
        <v>133</v>
      </c>
      <c r="C10" s="231" t="s">
        <v>338</v>
      </c>
      <c r="D10" s="371">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33">
        <f>'Haver Pivoted'!HA40</f>
        <v>567.61</v>
      </c>
      <c r="Q10" s="55">
        <f>'Haver Pivoted'!HB40</f>
        <v>589.92700000000002</v>
      </c>
      <c r="R10" s="55">
        <f>'Haver Pivoted'!HC40</f>
        <v>585.74599999999998</v>
      </c>
      <c r="S10" s="333">
        <f>'Haver Pivoted'!HD40</f>
        <v>617.88900000000001</v>
      </c>
      <c r="T10" s="333">
        <f>'Haver Pivoted'!HE40</f>
        <v>611.67999999999995</v>
      </c>
      <c r="U10" s="333">
        <f>'Haver Pivoted'!HF40</f>
        <v>632.66</v>
      </c>
      <c r="V10" s="333">
        <f>'Haver Pivoted'!HG40</f>
        <v>628.88699999999994</v>
      </c>
      <c r="W10" s="333">
        <f>'Haver Pivoted'!HH40</f>
        <v>585.98400000000004</v>
      </c>
      <c r="X10" s="333">
        <f>'Haver Pivoted'!HI40</f>
        <v>612.03399999999999</v>
      </c>
      <c r="Y10" s="333">
        <f>'Haver Pivoted'!HJ40</f>
        <v>618.72699999999998</v>
      </c>
      <c r="Z10" s="333">
        <f>'Haver Pivoted'!HK40</f>
        <v>628.15700000000004</v>
      </c>
      <c r="AA10" s="333">
        <f>'Haver Pivoted'!HL40</f>
        <v>641.23699999999997</v>
      </c>
      <c r="AB10" s="337">
        <f>Medicaid!AB29</f>
        <v>647.0186874478452</v>
      </c>
      <c r="AC10" s="337">
        <f>Medicaid!AC29</f>
        <v>647.9263242456733</v>
      </c>
      <c r="AD10" s="337">
        <f>Medicaid!AI29</f>
        <v>670.06725095026979</v>
      </c>
      <c r="AE10" s="337"/>
      <c r="AF10" s="337"/>
      <c r="AG10" s="337"/>
      <c r="AH10" s="337"/>
      <c r="AI10" s="337"/>
      <c r="AJ10" s="337"/>
      <c r="AK10" s="355"/>
      <c r="AL10" s="403"/>
    </row>
    <row r="11" spans="2:41" ht="17.25" customHeight="1" x14ac:dyDescent="0.35">
      <c r="B11" s="246" t="s">
        <v>339</v>
      </c>
      <c r="C11" s="231"/>
      <c r="D11" s="371">
        <f t="shared" ref="D11:G11" si="1">D9-D10</f>
        <v>198.17900000000003</v>
      </c>
      <c r="E11" s="55">
        <f t="shared" si="1"/>
        <v>185.83200000000005</v>
      </c>
      <c r="F11" s="55">
        <f t="shared" si="1"/>
        <v>196.50400000000002</v>
      </c>
      <c r="G11" s="55">
        <f t="shared" si="1"/>
        <v>190.11399999999998</v>
      </c>
      <c r="H11" s="55">
        <f>H9-H10</f>
        <v>208.815</v>
      </c>
      <c r="I11" s="55">
        <f t="shared" ref="I11:N11" si="2">I9-I10</f>
        <v>212.11</v>
      </c>
      <c r="J11" s="55">
        <f t="shared" si="2"/>
        <v>884.09400000000005</v>
      </c>
      <c r="K11" s="55">
        <f t="shared" si="2"/>
        <v>250.41999999999996</v>
      </c>
      <c r="L11" s="55">
        <f t="shared" si="2"/>
        <v>248.01599999999996</v>
      </c>
      <c r="M11" s="55">
        <f t="shared" si="2"/>
        <v>278.27100000000007</v>
      </c>
      <c r="N11" s="55">
        <f t="shared" si="2"/>
        <v>1120.01</v>
      </c>
      <c r="O11" s="55">
        <f t="shared" ref="O11:T11" si="3">O9-O10</f>
        <v>540.27399999999989</v>
      </c>
      <c r="P11" s="433">
        <f t="shared" si="3"/>
        <v>368.68999999999994</v>
      </c>
      <c r="Q11" s="55">
        <f t="shared" si="3"/>
        <v>340.07299999999998</v>
      </c>
      <c r="R11" s="55">
        <f t="shared" si="3"/>
        <v>365.654</v>
      </c>
      <c r="S11" s="333">
        <f t="shared" si="3"/>
        <v>338.51099999999997</v>
      </c>
      <c r="T11" s="333">
        <f t="shared" si="3"/>
        <v>343.72</v>
      </c>
      <c r="U11" s="333">
        <f t="shared" ref="U11:Z11" si="4">U9-U10</f>
        <v>345.04000000000008</v>
      </c>
      <c r="V11" s="333">
        <f t="shared" si="4"/>
        <v>339.01300000000003</v>
      </c>
      <c r="W11" s="333">
        <f t="shared" si="4"/>
        <v>329.61599999999999</v>
      </c>
      <c r="X11" s="333">
        <f t="shared" si="4"/>
        <v>329.36599999999999</v>
      </c>
      <c r="Y11" s="333">
        <f t="shared" si="4"/>
        <v>322.27300000000002</v>
      </c>
      <c r="Z11" s="333">
        <f t="shared" si="4"/>
        <v>320.94299999999998</v>
      </c>
      <c r="AA11" s="333">
        <f t="shared" ref="AA11" si="5">AA9-AA10</f>
        <v>340.36300000000006</v>
      </c>
      <c r="AB11" s="337">
        <f t="shared" ref="AB11" si="6">SUM(AB12:AB20)</f>
        <v>329.4707001836868</v>
      </c>
      <c r="AC11" s="337">
        <f>SUM(AC12:AC20)</f>
        <v>332.48379997830358</v>
      </c>
      <c r="AD11" s="337">
        <f>SUM(AD12:AD20)</f>
        <v>336.52658907016934</v>
      </c>
      <c r="AE11" s="337"/>
      <c r="AF11" s="337"/>
      <c r="AG11" s="337"/>
      <c r="AH11" s="337"/>
      <c r="AI11" s="337"/>
      <c r="AJ11" s="337"/>
      <c r="AK11" s="355"/>
      <c r="AL11" s="403"/>
    </row>
    <row r="12" spans="2:41" ht="16.399999999999999" customHeight="1" x14ac:dyDescent="0.35">
      <c r="B12" s="362" t="s">
        <v>149</v>
      </c>
      <c r="C12" s="39" t="s">
        <v>340</v>
      </c>
      <c r="D12" s="427"/>
      <c r="E12" s="39"/>
      <c r="F12" s="39"/>
      <c r="G12" s="39"/>
      <c r="H12" s="55"/>
      <c r="I12" s="55"/>
      <c r="J12" s="55">
        <f>'Haver Pivoted'!GU56</f>
        <v>597.9</v>
      </c>
      <c r="K12" s="55"/>
      <c r="L12" s="55"/>
      <c r="M12" s="55"/>
      <c r="N12" s="55"/>
      <c r="O12" s="37">
        <v>0</v>
      </c>
      <c r="P12" s="232">
        <v>0</v>
      </c>
      <c r="Q12" s="37">
        <v>0</v>
      </c>
      <c r="R12" s="37">
        <v>0</v>
      </c>
      <c r="S12" s="37">
        <v>0</v>
      </c>
      <c r="T12" s="37">
        <v>0</v>
      </c>
      <c r="U12" s="37">
        <v>0</v>
      </c>
      <c r="V12" s="37">
        <v>0</v>
      </c>
      <c r="W12" s="37">
        <v>0</v>
      </c>
      <c r="X12" s="337">
        <v>0</v>
      </c>
      <c r="Y12" s="337">
        <v>0</v>
      </c>
      <c r="Z12" s="337">
        <v>0</v>
      </c>
      <c r="AA12" s="337">
        <v>0</v>
      </c>
      <c r="AB12" s="337">
        <v>0</v>
      </c>
      <c r="AC12" s="337">
        <v>0</v>
      </c>
      <c r="AD12" s="337">
        <v>0</v>
      </c>
      <c r="AE12" s="337"/>
      <c r="AF12" s="337"/>
      <c r="AG12" s="337"/>
      <c r="AH12" s="337"/>
      <c r="AI12" s="337"/>
      <c r="AJ12" s="337"/>
      <c r="AK12" s="355">
        <f t="shared" ref="AK12:AK17" si="7">SUM(I12:Y12)/4</f>
        <v>149.47499999999999</v>
      </c>
      <c r="AL12" s="403">
        <f>AK24</f>
        <v>150</v>
      </c>
    </row>
    <row r="13" spans="2:41" x14ac:dyDescent="0.35">
      <c r="B13" s="362" t="s">
        <v>150</v>
      </c>
      <c r="C13" s="39" t="s">
        <v>341</v>
      </c>
      <c r="D13" s="427"/>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3">
        <f>'Haver Pivoted'!HA57</f>
        <v>87.2</v>
      </c>
      <c r="Q13" s="55">
        <f>'Haver Pivoted'!HB57</f>
        <v>72.400000000000006</v>
      </c>
      <c r="R13" s="55">
        <f>'Haver Pivoted'!HC57</f>
        <v>85.9</v>
      </c>
      <c r="S13" s="333">
        <f>'Haver Pivoted'!HD57</f>
        <v>68.3</v>
      </c>
      <c r="T13" s="333">
        <f>'Haver Pivoted'!HE57</f>
        <v>64</v>
      </c>
      <c r="U13" s="335">
        <f>U25+U29+U35</f>
        <v>60.929333333333297</v>
      </c>
      <c r="V13" s="335">
        <f t="shared" ref="V13:AD13" si="8">V25+V29+V35</f>
        <v>60.929333333333297</v>
      </c>
      <c r="W13" s="335">
        <f>W25+W29+W35</f>
        <v>60.929333333333297</v>
      </c>
      <c r="X13" s="335">
        <f t="shared" si="8"/>
        <v>54.244333333333302</v>
      </c>
      <c r="Y13" s="335">
        <f t="shared" si="8"/>
        <v>50.911000000000001</v>
      </c>
      <c r="Z13" s="335">
        <f t="shared" si="8"/>
        <v>31.911000000000001</v>
      </c>
      <c r="AA13" s="335">
        <f t="shared" si="8"/>
        <v>31.911000000000001</v>
      </c>
      <c r="AB13" s="335">
        <f t="shared" si="8"/>
        <v>23.099</v>
      </c>
      <c r="AC13" s="335">
        <f t="shared" si="8"/>
        <v>23.099</v>
      </c>
      <c r="AD13" s="335">
        <f t="shared" si="8"/>
        <v>23.099</v>
      </c>
      <c r="AE13" s="335"/>
      <c r="AF13" s="335"/>
      <c r="AG13" s="335"/>
      <c r="AH13" s="335"/>
      <c r="AI13" s="335"/>
      <c r="AJ13" s="335"/>
      <c r="AK13" s="355">
        <f t="shared" si="7"/>
        <v>225.58583333333326</v>
      </c>
      <c r="AL13" s="403">
        <f>AK25+AK29+AK35</f>
        <v>225.76349999999994</v>
      </c>
      <c r="AM13" s="43">
        <f>SUM(J13:R13)/4</f>
        <v>120.52500000000001</v>
      </c>
    </row>
    <row r="14" spans="2:41" x14ac:dyDescent="0.35">
      <c r="B14" s="362" t="s">
        <v>152</v>
      </c>
      <c r="C14" s="36" t="s">
        <v>306</v>
      </c>
      <c r="D14" s="358"/>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3">
        <f>'Haver Pivoted'!HA58</f>
        <v>18</v>
      </c>
      <c r="Q14" s="55">
        <f>'Haver Pivoted'!HB58</f>
        <v>15</v>
      </c>
      <c r="R14" s="55">
        <f>'Haver Pivoted'!HC58</f>
        <v>11.2</v>
      </c>
      <c r="S14" s="333">
        <f>'Haver Pivoted'!HD58</f>
        <v>7.5</v>
      </c>
      <c r="T14" s="333">
        <f>'Haver Pivoted'!HE58</f>
        <v>6.2</v>
      </c>
      <c r="U14" s="333">
        <f>'Haver Pivoted'!HF58</f>
        <v>0</v>
      </c>
      <c r="V14" s="333">
        <f>'Haver Pivoted'!HG58</f>
        <v>0</v>
      </c>
      <c r="W14" s="333">
        <f>'Haver Pivoted'!HH58</f>
        <v>0</v>
      </c>
      <c r="X14" s="333">
        <f>'Haver Pivoted'!HI58</f>
        <v>0</v>
      </c>
      <c r="Y14" s="333">
        <f>'Haver Pivoted'!HJ58</f>
        <v>0</v>
      </c>
      <c r="Z14" s="333">
        <f>'Haver Pivoted'!HK58</f>
        <v>0</v>
      </c>
      <c r="AA14" s="333">
        <f>'Haver Pivoted'!HL58</f>
        <v>0</v>
      </c>
      <c r="AB14" s="337">
        <f>'Provider Relief (expired)'!AB12</f>
        <v>0</v>
      </c>
      <c r="AC14" s="337">
        <f>'Provider Relief (expired)'!AC12</f>
        <v>0</v>
      </c>
      <c r="AD14" s="337">
        <f>'Provider Relief (expired)'!AD12</f>
        <v>0</v>
      </c>
      <c r="AE14" s="337"/>
      <c r="AF14" s="337"/>
      <c r="AG14" s="337"/>
      <c r="AH14" s="337"/>
      <c r="AI14" s="337"/>
      <c r="AJ14" s="337"/>
      <c r="AK14" s="355">
        <f t="shared" si="7"/>
        <v>47.375</v>
      </c>
      <c r="AL14" s="403">
        <f>AK26+AK30+AK36</f>
        <v>34.125000000000007</v>
      </c>
    </row>
    <row r="15" spans="2:41" ht="15.75" customHeight="1" x14ac:dyDescent="0.35">
      <c r="B15" s="362" t="s">
        <v>342</v>
      </c>
      <c r="C15" s="36"/>
      <c r="D15" s="358"/>
      <c r="E15" s="36"/>
      <c r="F15" s="36"/>
      <c r="G15" s="36"/>
      <c r="H15" s="55"/>
      <c r="I15" s="55"/>
      <c r="J15" s="55"/>
      <c r="K15" s="55"/>
      <c r="L15" s="55"/>
      <c r="M15" s="55">
        <f>M28</f>
        <v>9.6666666666666661</v>
      </c>
      <c r="N15" s="37">
        <f t="shared" ref="N15:AC15" si="9">N28</f>
        <v>9.6666666666666661</v>
      </c>
      <c r="O15" s="37">
        <f t="shared" si="9"/>
        <v>9.6666666666666661</v>
      </c>
      <c r="P15" s="232">
        <f>P28</f>
        <v>9.6666666666666661</v>
      </c>
      <c r="Q15" s="37">
        <f>Q28</f>
        <v>9.6666666666666661</v>
      </c>
      <c r="R15" s="37">
        <f t="shared" si="9"/>
        <v>9.6666666666666661</v>
      </c>
      <c r="S15" s="37">
        <f t="shared" si="9"/>
        <v>9.6666666666666661</v>
      </c>
      <c r="T15" s="37">
        <f t="shared" si="9"/>
        <v>9.6666666666666661</v>
      </c>
      <c r="U15" s="37">
        <f t="shared" si="9"/>
        <v>9.6666666666666661</v>
      </c>
      <c r="V15" s="37">
        <f t="shared" si="9"/>
        <v>9.6666666666666661</v>
      </c>
      <c r="W15" s="37">
        <f t="shared" si="9"/>
        <v>9.6666666666666661</v>
      </c>
      <c r="X15" s="337">
        <f t="shared" si="9"/>
        <v>9.6666666666666661</v>
      </c>
      <c r="Y15" s="337">
        <f t="shared" si="9"/>
        <v>0</v>
      </c>
      <c r="Z15" s="337">
        <f t="shared" si="9"/>
        <v>0</v>
      </c>
      <c r="AA15" s="337">
        <f t="shared" si="9"/>
        <v>0</v>
      </c>
      <c r="AB15" s="337">
        <f t="shared" si="9"/>
        <v>0</v>
      </c>
      <c r="AC15" s="337">
        <f t="shared" si="9"/>
        <v>0</v>
      </c>
      <c r="AD15" s="337">
        <f t="shared" ref="AD15" si="10">AD28</f>
        <v>0</v>
      </c>
      <c r="AE15" s="337"/>
      <c r="AF15" s="337"/>
      <c r="AG15" s="337"/>
      <c r="AH15" s="337"/>
      <c r="AI15" s="337"/>
      <c r="AJ15" s="337"/>
      <c r="AK15" s="355">
        <f t="shared" si="7"/>
        <v>29.000000000000004</v>
      </c>
      <c r="AL15" s="404">
        <f>AK28</f>
        <v>29.000000000000004</v>
      </c>
      <c r="AM15" s="374" t="s">
        <v>343</v>
      </c>
      <c r="AN15" s="374"/>
      <c r="AO15" s="374"/>
    </row>
    <row r="16" spans="2:41" ht="31.4" customHeight="1" x14ac:dyDescent="0.35">
      <c r="B16" s="362" t="s">
        <v>344</v>
      </c>
      <c r="C16" s="36"/>
      <c r="D16" s="358"/>
      <c r="E16" s="36"/>
      <c r="F16" s="36"/>
      <c r="G16" s="36"/>
      <c r="H16" s="55"/>
      <c r="I16" s="55"/>
      <c r="J16" s="55"/>
      <c r="K16" s="55"/>
      <c r="L16" s="55"/>
      <c r="M16" s="55">
        <f>M32+M31</f>
        <v>12</v>
      </c>
      <c r="N16" s="37">
        <f>N32+N31</f>
        <v>12</v>
      </c>
      <c r="O16" s="37">
        <f>O32+O31</f>
        <v>12</v>
      </c>
      <c r="P16" s="232">
        <f t="shared" ref="P16:AC16" si="11">P32+P31</f>
        <v>12</v>
      </c>
      <c r="Q16" s="37">
        <f t="shared" si="11"/>
        <v>12</v>
      </c>
      <c r="R16" s="37">
        <f t="shared" si="11"/>
        <v>12</v>
      </c>
      <c r="S16" s="37">
        <f t="shared" si="11"/>
        <v>12</v>
      </c>
      <c r="T16" s="37">
        <f t="shared" si="11"/>
        <v>12</v>
      </c>
      <c r="U16" s="37">
        <f t="shared" si="11"/>
        <v>12</v>
      </c>
      <c r="V16" s="37">
        <f t="shared" si="11"/>
        <v>12</v>
      </c>
      <c r="W16" s="37">
        <f t="shared" si="11"/>
        <v>12</v>
      </c>
      <c r="X16" s="337">
        <f t="shared" si="11"/>
        <v>12</v>
      </c>
      <c r="Y16" s="337">
        <f t="shared" si="11"/>
        <v>0</v>
      </c>
      <c r="Z16" s="337">
        <f t="shared" si="11"/>
        <v>0</v>
      </c>
      <c r="AA16" s="337">
        <f t="shared" si="11"/>
        <v>0</v>
      </c>
      <c r="AB16" s="337">
        <f t="shared" si="11"/>
        <v>0</v>
      </c>
      <c r="AC16" s="337">
        <f t="shared" si="11"/>
        <v>0</v>
      </c>
      <c r="AD16" s="337">
        <f t="shared" ref="AD16" si="12">AD32+AD31</f>
        <v>0</v>
      </c>
      <c r="AE16" s="337"/>
      <c r="AF16" s="337"/>
      <c r="AG16" s="337"/>
      <c r="AH16" s="337"/>
      <c r="AI16" s="337"/>
      <c r="AJ16" s="337"/>
      <c r="AK16" s="355">
        <f t="shared" si="7"/>
        <v>36</v>
      </c>
      <c r="AL16" s="403">
        <f>SUM(AK31:AK32)+AK37</f>
        <v>130.3365</v>
      </c>
      <c r="AM16" s="374" t="s">
        <v>345</v>
      </c>
      <c r="AN16" s="374"/>
      <c r="AO16" s="374"/>
    </row>
    <row r="17" spans="1:41" x14ac:dyDescent="0.35">
      <c r="B17" s="362" t="s">
        <v>346</v>
      </c>
      <c r="C17" s="36"/>
      <c r="D17" s="358"/>
      <c r="E17" s="36"/>
      <c r="F17" s="36"/>
      <c r="G17" s="36"/>
      <c r="H17" s="55"/>
      <c r="I17" s="55"/>
      <c r="J17" s="55"/>
      <c r="K17" s="55"/>
      <c r="L17" s="55"/>
      <c r="M17" s="55"/>
      <c r="N17" s="37">
        <f>N37</f>
        <v>59.256</v>
      </c>
      <c r="O17" s="37">
        <f>O37</f>
        <v>59.256</v>
      </c>
      <c r="P17" s="232">
        <f>P37</f>
        <v>35.671000000000006</v>
      </c>
      <c r="Q17" s="37">
        <f>Q37</f>
        <v>35.671000000000006</v>
      </c>
      <c r="R17" s="37">
        <f t="shared" ref="R17:AC17" si="13">R37</f>
        <v>35.671000000000006</v>
      </c>
      <c r="S17" s="37">
        <f t="shared" si="13"/>
        <v>35.671000000000006</v>
      </c>
      <c r="T17" s="37">
        <f t="shared" si="13"/>
        <v>24.216000000000001</v>
      </c>
      <c r="U17" s="37">
        <f t="shared" si="13"/>
        <v>24.216000000000001</v>
      </c>
      <c r="V17" s="37">
        <f t="shared" si="13"/>
        <v>24.216000000000001</v>
      </c>
      <c r="W17" s="37">
        <f t="shared" si="13"/>
        <v>24.216000000000001</v>
      </c>
      <c r="X17" s="337">
        <f t="shared" si="13"/>
        <v>9.6430000000000007</v>
      </c>
      <c r="Y17" s="337">
        <f t="shared" si="13"/>
        <v>9.6430000000000007</v>
      </c>
      <c r="Z17" s="337">
        <f t="shared" si="13"/>
        <v>9.6430000000000007</v>
      </c>
      <c r="AA17" s="337">
        <f t="shared" si="13"/>
        <v>9.6430000000000007</v>
      </c>
      <c r="AB17" s="337">
        <f t="shared" si="13"/>
        <v>4.5789999999999997</v>
      </c>
      <c r="AC17" s="337">
        <f t="shared" si="13"/>
        <v>4.5789999999999997</v>
      </c>
      <c r="AD17" s="337">
        <f t="shared" ref="AD17" si="14">AD37</f>
        <v>4.5789999999999997</v>
      </c>
      <c r="AE17" s="337"/>
      <c r="AF17" s="337"/>
      <c r="AG17" s="337"/>
      <c r="AH17" s="337"/>
      <c r="AI17" s="337"/>
      <c r="AJ17" s="337"/>
      <c r="AK17" s="355">
        <f t="shared" si="7"/>
        <v>94.336500000000001</v>
      </c>
      <c r="AL17" s="403"/>
      <c r="AM17" s="374"/>
      <c r="AN17" s="374"/>
      <c r="AO17" s="374"/>
    </row>
    <row r="18" spans="1:41" ht="54" customHeight="1" x14ac:dyDescent="0.35">
      <c r="B18" s="410" t="s">
        <v>779</v>
      </c>
      <c r="C18" s="36"/>
      <c r="D18" s="358"/>
      <c r="E18" s="36"/>
      <c r="F18" s="36"/>
      <c r="G18" s="36"/>
      <c r="H18" s="55"/>
      <c r="I18" s="55"/>
      <c r="J18" s="55"/>
      <c r="K18" s="55"/>
      <c r="L18" s="55"/>
      <c r="M18" s="55"/>
      <c r="N18" s="37">
        <v>-40</v>
      </c>
      <c r="O18" s="37">
        <v>-40</v>
      </c>
      <c r="P18" s="232">
        <f>-51</f>
        <v>-51</v>
      </c>
      <c r="Q18" s="37">
        <f>-51</f>
        <v>-51</v>
      </c>
      <c r="R18" s="37">
        <v>-51</v>
      </c>
      <c r="S18" s="37">
        <f>-51</f>
        <v>-51</v>
      </c>
      <c r="T18" s="37">
        <v>0</v>
      </c>
      <c r="U18" s="37">
        <v>0</v>
      </c>
      <c r="V18" s="37">
        <v>0</v>
      </c>
      <c r="W18" s="37">
        <v>0</v>
      </c>
      <c r="X18" s="337">
        <v>-4</v>
      </c>
      <c r="Y18" s="337">
        <v>-4</v>
      </c>
      <c r="Z18" s="337">
        <v>-4</v>
      </c>
      <c r="AA18" s="337">
        <v>-4</v>
      </c>
      <c r="AB18" s="337">
        <v>-4</v>
      </c>
      <c r="AC18" s="337">
        <v>-4</v>
      </c>
      <c r="AD18" s="337">
        <v>-3</v>
      </c>
      <c r="AE18" s="337">
        <v>0</v>
      </c>
      <c r="AF18" s="337">
        <v>0</v>
      </c>
      <c r="AG18" s="337">
        <v>0</v>
      </c>
      <c r="AH18" s="337"/>
      <c r="AI18" s="337"/>
      <c r="AJ18" s="337"/>
      <c r="AK18" s="355"/>
      <c r="AL18" s="403"/>
      <c r="AM18" s="374"/>
      <c r="AN18" s="374"/>
      <c r="AO18" s="374"/>
    </row>
    <row r="19" spans="1:41" ht="15.75" customHeight="1" x14ac:dyDescent="0.35">
      <c r="B19" s="362" t="s">
        <v>347</v>
      </c>
      <c r="C19" s="39" t="s">
        <v>348</v>
      </c>
      <c r="D19" s="358"/>
      <c r="E19" s="36"/>
      <c r="F19" s="36"/>
      <c r="G19" s="36"/>
      <c r="H19" s="55"/>
      <c r="I19" s="55"/>
      <c r="J19" s="55"/>
      <c r="K19" s="55">
        <f>'Haver Pivoted'!GV56</f>
        <v>0</v>
      </c>
      <c r="L19" s="55">
        <f>'Haver Pivoted'!GW56</f>
        <v>0</v>
      </c>
      <c r="M19" s="55">
        <f>'Haver Pivoted'!GX56</f>
        <v>0</v>
      </c>
      <c r="N19" s="55">
        <f>'Haver Pivoted'!GY56</f>
        <v>785.9</v>
      </c>
      <c r="O19" s="55">
        <f>'Haver Pivoted'!GZ56</f>
        <v>187.9</v>
      </c>
      <c r="P19" s="433">
        <f>'Haver Pivoted'!HA56</f>
        <v>9.1999999999999993</v>
      </c>
      <c r="Q19" s="55">
        <f>'Haver Pivoted'!HB56</f>
        <v>0.6</v>
      </c>
      <c r="R19" s="55">
        <f>'Haver Pivoted'!HC56</f>
        <v>0</v>
      </c>
      <c r="S19" s="333">
        <f>'Haver Pivoted'!HD56</f>
        <v>0</v>
      </c>
      <c r="T19" s="333">
        <f>'Haver Pivoted'!HE56</f>
        <v>0</v>
      </c>
      <c r="U19" s="333">
        <f>'Haver Pivoted'!HF56</f>
        <v>0</v>
      </c>
      <c r="V19" s="333">
        <f>'Haver Pivoted'!HG56</f>
        <v>0</v>
      </c>
      <c r="W19" s="333">
        <f>'Haver Pivoted'!HH56</f>
        <v>0</v>
      </c>
      <c r="X19" s="333">
        <f>'Haver Pivoted'!HI56</f>
        <v>0</v>
      </c>
      <c r="Y19" s="333">
        <f>'Haver Pivoted'!HJ56</f>
        <v>0</v>
      </c>
      <c r="Z19" s="333">
        <f>'Haver Pivoted'!HK56</f>
        <v>0</v>
      </c>
      <c r="AA19" s="333">
        <f>'Haver Pivoted'!HL56</f>
        <v>0</v>
      </c>
      <c r="AB19" s="330">
        <f t="shared" ref="AB19:AC19" si="15">AB34</f>
        <v>0</v>
      </c>
      <c r="AC19" s="330">
        <f t="shared" si="15"/>
        <v>0</v>
      </c>
      <c r="AD19" s="330">
        <f t="shared" ref="AD19" si="16">AD34</f>
        <v>0</v>
      </c>
      <c r="AE19" s="330">
        <v>0</v>
      </c>
      <c r="AF19" s="330">
        <v>0</v>
      </c>
      <c r="AG19" s="330">
        <v>0</v>
      </c>
      <c r="AH19" s="330"/>
      <c r="AI19" s="330"/>
      <c r="AJ19" s="330"/>
      <c r="AK19" s="355">
        <f>SUM(I19:Y19)/4</f>
        <v>245.9</v>
      </c>
      <c r="AL19" s="403">
        <f>AK34</f>
        <v>362.04999999999995</v>
      </c>
      <c r="AM19" s="395"/>
      <c r="AO19" s="374"/>
    </row>
    <row r="20" spans="1:41" ht="15.75" customHeight="1" x14ac:dyDescent="0.35">
      <c r="A20" s="376"/>
      <c r="B20" s="375" t="s">
        <v>349</v>
      </c>
      <c r="C20" s="387"/>
      <c r="D20" s="385">
        <f t="shared" ref="D20:T20" si="17">D11-SUM(D12:D19)</f>
        <v>198.17900000000003</v>
      </c>
      <c r="E20" s="387">
        <f t="shared" si="17"/>
        <v>185.83200000000005</v>
      </c>
      <c r="F20" s="387">
        <f t="shared" si="17"/>
        <v>196.50400000000002</v>
      </c>
      <c r="G20" s="387">
        <f t="shared" si="17"/>
        <v>190.11399999999998</v>
      </c>
      <c r="H20" s="387">
        <f t="shared" si="17"/>
        <v>208.815</v>
      </c>
      <c r="I20" s="387">
        <f t="shared" si="17"/>
        <v>212.11</v>
      </c>
      <c r="J20" s="387">
        <f t="shared" si="17"/>
        <v>193.39400000000012</v>
      </c>
      <c r="K20" s="387">
        <f t="shared" si="17"/>
        <v>211.21999999999997</v>
      </c>
      <c r="L20" s="387">
        <f t="shared" si="17"/>
        <v>219.01599999999996</v>
      </c>
      <c r="M20" s="387">
        <f t="shared" si="17"/>
        <v>215.70433333333341</v>
      </c>
      <c r="N20" s="387">
        <f t="shared" si="17"/>
        <v>218.08733333333339</v>
      </c>
      <c r="O20" s="387">
        <f t="shared" si="17"/>
        <v>220.25133333333321</v>
      </c>
      <c r="P20" s="317">
        <f t="shared" si="17"/>
        <v>247.95233333333329</v>
      </c>
      <c r="Q20" s="387">
        <f t="shared" si="17"/>
        <v>245.7353333333333</v>
      </c>
      <c r="R20" s="387">
        <f t="shared" si="17"/>
        <v>262.2163333333333</v>
      </c>
      <c r="S20" s="364">
        <f t="shared" si="17"/>
        <v>256.37333333333328</v>
      </c>
      <c r="T20" s="364">
        <f t="shared" si="17"/>
        <v>227.63733333333334</v>
      </c>
      <c r="U20" s="364">
        <f t="shared" ref="U20:Z20" si="18">U11-SUM(U12:U19)</f>
        <v>238.22800000000012</v>
      </c>
      <c r="V20" s="364">
        <f t="shared" si="18"/>
        <v>232.20100000000008</v>
      </c>
      <c r="W20" s="364">
        <f t="shared" si="18"/>
        <v>222.80400000000003</v>
      </c>
      <c r="X20" s="364">
        <f t="shared" si="18"/>
        <v>247.81200000000001</v>
      </c>
      <c r="Y20" s="364">
        <f t="shared" si="18"/>
        <v>265.71900000000005</v>
      </c>
      <c r="Z20" s="364">
        <f t="shared" si="18"/>
        <v>283.38900000000001</v>
      </c>
      <c r="AA20" s="364">
        <f t="shared" ref="AA20" si="19">AA11-SUM(AA12:AA19)</f>
        <v>302.80900000000008</v>
      </c>
      <c r="AB20" s="264">
        <f t="shared" ref="AB20:AC20" si="20">AA20*(1.04)^0.25</f>
        <v>305.7927001836868</v>
      </c>
      <c r="AC20" s="264">
        <f t="shared" si="20"/>
        <v>308.80579997830358</v>
      </c>
      <c r="AD20" s="264">
        <f>AC20*(1.04)^0.25</f>
        <v>311.84858907016934</v>
      </c>
      <c r="AE20" s="264">
        <f t="shared" ref="AE20:AJ20" si="21">AD20*(1.04)^0.25</f>
        <v>314.92136000000005</v>
      </c>
      <c r="AF20" s="264">
        <f t="shared" si="21"/>
        <v>318.02440819103424</v>
      </c>
      <c r="AG20" s="264">
        <f t="shared" si="21"/>
        <v>321.15803197743571</v>
      </c>
      <c r="AH20" s="264">
        <f t="shared" si="21"/>
        <v>324.32253263297611</v>
      </c>
      <c r="AI20" s="264">
        <f t="shared" si="21"/>
        <v>327.51821440000003</v>
      </c>
      <c r="AJ20" s="264">
        <f t="shared" si="21"/>
        <v>330.74538451867556</v>
      </c>
      <c r="AK20" s="408"/>
      <c r="AL20" s="405"/>
      <c r="AM20" s="374" t="s">
        <v>350</v>
      </c>
      <c r="AN20" s="374"/>
      <c r="AO20" s="374"/>
    </row>
    <row r="21" spans="1:41" ht="15.75" customHeight="1" x14ac:dyDescent="0.35">
      <c r="A21" s="4"/>
      <c r="B21" s="343"/>
      <c r="C21" s="36"/>
      <c r="D21" s="36"/>
      <c r="E21" s="36"/>
      <c r="F21" s="36"/>
      <c r="G21" s="36"/>
      <c r="H21" s="36"/>
      <c r="I21" s="36"/>
      <c r="J21" s="36"/>
      <c r="K21" s="36"/>
      <c r="L21" s="36"/>
      <c r="M21" s="36"/>
      <c r="N21" s="36"/>
      <c r="O21" s="36"/>
      <c r="P21" s="379"/>
      <c r="Q21" s="36"/>
      <c r="R21" s="36"/>
      <c r="AK21" s="232"/>
      <c r="AL21" s="379"/>
      <c r="AM21" s="374"/>
      <c r="AN21" s="374"/>
      <c r="AO21" s="374"/>
    </row>
    <row r="22" spans="1:41" ht="27" customHeight="1" x14ac:dyDescent="0.35">
      <c r="B22" s="1306" t="s">
        <v>352</v>
      </c>
      <c r="C22" s="1307"/>
      <c r="D22" s="1308"/>
      <c r="E22" s="1308"/>
      <c r="F22" s="1308"/>
      <c r="G22" s="1308"/>
      <c r="H22" s="1308"/>
      <c r="I22" s="1308"/>
      <c r="J22" s="1308"/>
      <c r="K22" s="1308"/>
      <c r="L22" s="1308"/>
      <c r="M22" s="1308"/>
      <c r="N22" s="1308"/>
      <c r="O22" s="1308"/>
      <c r="P22" s="1308"/>
      <c r="Q22" s="1308"/>
      <c r="R22" s="1308"/>
      <c r="S22" s="1308"/>
      <c r="T22" s="1308"/>
      <c r="U22" s="1308"/>
      <c r="V22" s="1308"/>
      <c r="W22" s="1308"/>
      <c r="X22" s="1308"/>
      <c r="Y22" s="1308"/>
      <c r="Z22" s="1308"/>
      <c r="AA22" s="1308"/>
      <c r="AB22" s="1308"/>
      <c r="AC22" s="1309"/>
      <c r="AD22" s="348"/>
      <c r="AE22" s="348"/>
      <c r="AF22" s="348"/>
      <c r="AG22" s="348"/>
      <c r="AH22" s="348"/>
      <c r="AI22" s="348"/>
      <c r="AJ22" s="348"/>
      <c r="AK22" s="347" t="s">
        <v>334</v>
      </c>
      <c r="AL22" s="406"/>
    </row>
    <row r="23" spans="1:41" ht="17.899999999999999" customHeight="1" x14ac:dyDescent="0.35">
      <c r="B23" s="413" t="s">
        <v>353</v>
      </c>
      <c r="C23" s="36"/>
      <c r="D23" s="424"/>
      <c r="E23" s="414"/>
      <c r="F23" s="414"/>
      <c r="G23" s="414"/>
      <c r="H23" s="411"/>
      <c r="I23" s="411"/>
      <c r="J23" s="372">
        <f>SUM(J24:J26)</f>
        <v>692.8</v>
      </c>
      <c r="K23" s="372">
        <f t="shared" ref="K23:P23" si="22">SUM(K24:K26)</f>
        <v>39.200000000000003</v>
      </c>
      <c r="L23" s="372">
        <f t="shared" si="22"/>
        <v>29</v>
      </c>
      <c r="M23" s="372">
        <f t="shared" si="22"/>
        <v>27</v>
      </c>
      <c r="N23" s="372">
        <f t="shared" si="22"/>
        <v>18</v>
      </c>
      <c r="O23" s="372">
        <f t="shared" si="22"/>
        <v>0</v>
      </c>
      <c r="P23" s="318">
        <f t="shared" si="22"/>
        <v>0</v>
      </c>
      <c r="Q23" s="372"/>
      <c r="R23" s="372"/>
      <c r="S23" s="372"/>
      <c r="T23" s="409"/>
      <c r="U23" s="409"/>
      <c r="V23" s="409"/>
      <c r="W23" s="409"/>
      <c r="X23" s="409"/>
      <c r="Y23" s="409"/>
      <c r="Z23" s="409"/>
      <c r="AA23" s="409"/>
      <c r="AB23" s="409"/>
      <c r="AC23" s="345"/>
      <c r="AD23" s="330"/>
      <c r="AE23" s="330"/>
      <c r="AF23" s="330"/>
      <c r="AG23" s="330"/>
      <c r="AH23" s="330"/>
      <c r="AI23" s="330"/>
      <c r="AJ23" s="330"/>
      <c r="AK23" s="355">
        <f t="shared" ref="AK23:AK37" si="23">SUM(I23:Y23)/4</f>
        <v>201.5</v>
      </c>
      <c r="AL23" s="1312" t="s">
        <v>354</v>
      </c>
      <c r="AM23" s="1313"/>
    </row>
    <row r="24" spans="1:41" x14ac:dyDescent="0.35">
      <c r="B24" s="377" t="s">
        <v>149</v>
      </c>
      <c r="C24" s="36"/>
      <c r="D24" s="358"/>
      <c r="E24" s="36"/>
      <c r="F24" s="36"/>
      <c r="G24" s="36"/>
      <c r="H24" s="37"/>
      <c r="I24" s="37"/>
      <c r="J24" s="323">
        <f>C44*4</f>
        <v>600</v>
      </c>
      <c r="K24" s="323"/>
      <c r="L24" s="323"/>
      <c r="M24" s="323"/>
      <c r="N24" s="323"/>
      <c r="O24" s="323"/>
      <c r="P24" s="228"/>
      <c r="Q24" s="323"/>
      <c r="R24" s="323"/>
      <c r="S24" s="323"/>
      <c r="T24" s="330"/>
      <c r="U24" s="330"/>
      <c r="V24" s="330"/>
      <c r="W24" s="330"/>
      <c r="X24" s="330"/>
      <c r="Y24" s="330"/>
      <c r="Z24" s="330"/>
      <c r="AA24" s="330"/>
      <c r="AB24" s="330"/>
      <c r="AC24" s="330"/>
      <c r="AD24" s="330"/>
      <c r="AE24" s="330"/>
      <c r="AF24" s="330"/>
      <c r="AG24" s="330"/>
      <c r="AH24" s="330"/>
      <c r="AI24" s="330"/>
      <c r="AJ24" s="330"/>
      <c r="AK24" s="355">
        <f t="shared" si="23"/>
        <v>150</v>
      </c>
      <c r="AL24" s="323"/>
    </row>
    <row r="25" spans="1:41" ht="15" customHeight="1" x14ac:dyDescent="0.35">
      <c r="B25" s="377" t="s">
        <v>150</v>
      </c>
      <c r="C25" s="36"/>
      <c r="D25" s="358"/>
      <c r="E25" s="36"/>
      <c r="F25" s="36"/>
      <c r="G25" s="36"/>
      <c r="H25" s="37"/>
      <c r="I25" s="37"/>
      <c r="J25" s="323">
        <v>28.4</v>
      </c>
      <c r="K25" s="323">
        <v>15.8</v>
      </c>
      <c r="L25" s="323">
        <v>15.2</v>
      </c>
      <c r="M25" s="323">
        <v>10.9</v>
      </c>
      <c r="N25" s="323">
        <v>18</v>
      </c>
      <c r="O25" s="323"/>
      <c r="P25" s="228"/>
      <c r="Q25" s="323"/>
      <c r="R25" s="323"/>
      <c r="S25" s="323">
        <v>20</v>
      </c>
      <c r="T25" s="373">
        <v>10</v>
      </c>
      <c r="U25" s="330"/>
      <c r="V25" s="330"/>
      <c r="W25" s="330"/>
      <c r="X25" s="330"/>
      <c r="Y25" s="330"/>
      <c r="Z25" s="330"/>
      <c r="AA25" s="330"/>
      <c r="AB25" s="330"/>
      <c r="AC25" s="330"/>
      <c r="AD25" s="330"/>
      <c r="AE25" s="330"/>
      <c r="AF25" s="330"/>
      <c r="AG25" s="330"/>
      <c r="AH25" s="330"/>
      <c r="AI25" s="330"/>
      <c r="AJ25" s="330"/>
      <c r="AK25" s="355">
        <f t="shared" si="23"/>
        <v>29.575000000000003</v>
      </c>
      <c r="AL25" s="323"/>
    </row>
    <row r="26" spans="1:41" x14ac:dyDescent="0.35">
      <c r="B26" s="377" t="s">
        <v>152</v>
      </c>
      <c r="C26" s="36"/>
      <c r="D26" s="358"/>
      <c r="E26" s="36"/>
      <c r="F26" s="36"/>
      <c r="G26" s="36"/>
      <c r="H26" s="37"/>
      <c r="I26" s="37"/>
      <c r="J26" s="231">
        <v>64.400000000000006</v>
      </c>
      <c r="K26" s="231">
        <v>23.4</v>
      </c>
      <c r="L26" s="231">
        <v>13.8</v>
      </c>
      <c r="M26" s="231">
        <v>16.100000000000001</v>
      </c>
      <c r="N26" s="323"/>
      <c r="O26" s="323"/>
      <c r="P26" s="228"/>
      <c r="Q26" s="323"/>
      <c r="R26" s="323"/>
      <c r="S26" s="323"/>
      <c r="T26" s="330"/>
      <c r="U26" s="330"/>
      <c r="V26" s="330"/>
      <c r="W26" s="330"/>
      <c r="X26" s="330"/>
      <c r="Y26" s="330"/>
      <c r="Z26" s="330"/>
      <c r="AA26" s="330"/>
      <c r="AB26" s="330"/>
      <c r="AC26" s="330"/>
      <c r="AD26" s="330"/>
      <c r="AE26" s="330"/>
      <c r="AF26" s="330"/>
      <c r="AG26" s="330"/>
      <c r="AH26" s="330"/>
      <c r="AI26" s="330"/>
      <c r="AJ26" s="330"/>
      <c r="AK26" s="355">
        <f t="shared" si="23"/>
        <v>29.425000000000004</v>
      </c>
      <c r="AL26" s="323"/>
    </row>
    <row r="27" spans="1:41" ht="16.5" customHeight="1" x14ac:dyDescent="0.35">
      <c r="B27" s="413" t="s">
        <v>355</v>
      </c>
      <c r="C27" s="36"/>
      <c r="D27" s="358"/>
      <c r="E27" s="36"/>
      <c r="F27" s="36"/>
      <c r="G27" s="36"/>
      <c r="H27" s="37"/>
      <c r="I27" s="37"/>
      <c r="J27" s="37"/>
      <c r="K27" s="37"/>
      <c r="L27" s="37"/>
      <c r="M27" s="323">
        <f>SUM(M28:M32)</f>
        <v>43</v>
      </c>
      <c r="N27" s="323">
        <f t="shared" ref="N27:AD27" si="24">SUM(N28:N32)</f>
        <v>70</v>
      </c>
      <c r="O27" s="323">
        <f t="shared" si="24"/>
        <v>59.999999999999964</v>
      </c>
      <c r="P27" s="228">
        <f t="shared" si="24"/>
        <v>50</v>
      </c>
      <c r="Q27" s="323">
        <f t="shared" si="24"/>
        <v>44.999999999999964</v>
      </c>
      <c r="R27" s="323">
        <f t="shared" si="24"/>
        <v>44.999999999999964</v>
      </c>
      <c r="S27" s="323">
        <f t="shared" si="24"/>
        <v>44.999999999999964</v>
      </c>
      <c r="T27" s="330">
        <f t="shared" si="24"/>
        <v>44.999999999999964</v>
      </c>
      <c r="U27" s="330">
        <f t="shared" si="24"/>
        <v>44.999999999999964</v>
      </c>
      <c r="V27" s="330">
        <f t="shared" si="24"/>
        <v>44.999999999999964</v>
      </c>
      <c r="W27" s="330">
        <f t="shared" si="24"/>
        <v>44.999999999999964</v>
      </c>
      <c r="X27" s="330">
        <f>SUM(X28:X32)</f>
        <v>44.999999999999964</v>
      </c>
      <c r="Y27" s="330">
        <f t="shared" si="24"/>
        <v>19</v>
      </c>
      <c r="Z27" s="330">
        <f t="shared" si="24"/>
        <v>0</v>
      </c>
      <c r="AA27" s="330">
        <f t="shared" si="24"/>
        <v>0</v>
      </c>
      <c r="AB27" s="330">
        <f t="shared" si="24"/>
        <v>0</v>
      </c>
      <c r="AC27" s="330">
        <f t="shared" si="24"/>
        <v>0</v>
      </c>
      <c r="AD27" s="330">
        <f t="shared" si="24"/>
        <v>0</v>
      </c>
      <c r="AE27" s="330"/>
      <c r="AF27" s="330"/>
      <c r="AG27" s="330"/>
      <c r="AH27" s="330"/>
      <c r="AI27" s="330"/>
      <c r="AJ27" s="330"/>
      <c r="AK27" s="355">
        <f t="shared" si="23"/>
        <v>150.49999999999991</v>
      </c>
      <c r="AL27" s="1312" t="s">
        <v>356</v>
      </c>
      <c r="AM27" s="1313"/>
    </row>
    <row r="28" spans="1:41" x14ac:dyDescent="0.35">
      <c r="B28" s="377" t="s">
        <v>342</v>
      </c>
      <c r="C28" s="36"/>
      <c r="D28" s="358"/>
      <c r="E28" s="36"/>
      <c r="F28" s="36"/>
      <c r="G28" s="36"/>
      <c r="H28" s="37"/>
      <c r="I28" s="37"/>
      <c r="J28" s="37"/>
      <c r="K28" s="37"/>
      <c r="L28" s="37"/>
      <c r="M28" s="323">
        <f>C47/12*4</f>
        <v>9.6666666666666661</v>
      </c>
      <c r="N28" s="323">
        <f>M28</f>
        <v>9.6666666666666661</v>
      </c>
      <c r="O28" s="323">
        <f t="shared" ref="O28:X28" si="25">N28</f>
        <v>9.6666666666666661</v>
      </c>
      <c r="P28" s="228">
        <f t="shared" si="25"/>
        <v>9.6666666666666661</v>
      </c>
      <c r="Q28" s="323">
        <f t="shared" si="25"/>
        <v>9.6666666666666661</v>
      </c>
      <c r="R28" s="323">
        <f t="shared" si="25"/>
        <v>9.6666666666666661</v>
      </c>
      <c r="S28" s="323">
        <f t="shared" si="25"/>
        <v>9.6666666666666661</v>
      </c>
      <c r="T28" s="330">
        <f t="shared" si="25"/>
        <v>9.6666666666666661</v>
      </c>
      <c r="U28" s="330">
        <f t="shared" si="25"/>
        <v>9.6666666666666661</v>
      </c>
      <c r="V28" s="330">
        <f t="shared" si="25"/>
        <v>9.6666666666666661</v>
      </c>
      <c r="W28" s="330">
        <f t="shared" si="25"/>
        <v>9.6666666666666661</v>
      </c>
      <c r="X28" s="330">
        <f t="shared" si="25"/>
        <v>9.6666666666666661</v>
      </c>
      <c r="Y28" s="337"/>
      <c r="Z28" s="337"/>
      <c r="AA28" s="337"/>
      <c r="AB28" s="337"/>
      <c r="AC28" s="337"/>
      <c r="AD28" s="337"/>
      <c r="AE28" s="337"/>
      <c r="AF28" s="337"/>
      <c r="AG28" s="337"/>
      <c r="AH28" s="337"/>
      <c r="AI28" s="337"/>
      <c r="AJ28" s="337"/>
      <c r="AK28" s="355">
        <f t="shared" si="23"/>
        <v>29.000000000000004</v>
      </c>
      <c r="AL28" s="1312"/>
      <c r="AM28" s="1313"/>
    </row>
    <row r="29" spans="1:41" ht="41.9" customHeight="1" x14ac:dyDescent="0.35">
      <c r="B29" s="377" t="s">
        <v>150</v>
      </c>
      <c r="C29" s="36"/>
      <c r="D29" s="358"/>
      <c r="E29" s="36"/>
      <c r="F29" s="36"/>
      <c r="G29" s="36"/>
      <c r="H29" s="37"/>
      <c r="I29" s="37"/>
      <c r="J29" s="37"/>
      <c r="K29" s="37"/>
      <c r="L29" s="37"/>
      <c r="M29" s="399">
        <f>C58/12*4 - 7</f>
        <v>20.333333333333332</v>
      </c>
      <c r="N29" s="399">
        <f>C58/12*4 + 20</f>
        <v>47.333333333333329</v>
      </c>
      <c r="O29" s="399">
        <v>37.3333333333333</v>
      </c>
      <c r="P29" s="319">
        <v>27.333333333333332</v>
      </c>
      <c r="Q29" s="399">
        <v>22.3333333333333</v>
      </c>
      <c r="R29" s="399">
        <v>22.3333333333333</v>
      </c>
      <c r="S29" s="399">
        <v>22.3333333333333</v>
      </c>
      <c r="T29" s="346">
        <v>22.3333333333333</v>
      </c>
      <c r="U29" s="346">
        <v>22.3333333333333</v>
      </c>
      <c r="V29" s="346">
        <v>22.3333333333333</v>
      </c>
      <c r="W29" s="346">
        <v>22.3333333333333</v>
      </c>
      <c r="X29" s="346">
        <v>22.3333333333333</v>
      </c>
      <c r="Y29" s="346">
        <v>19</v>
      </c>
      <c r="Z29" s="346"/>
      <c r="AA29" s="346"/>
      <c r="AB29" s="346"/>
      <c r="AC29" s="346"/>
      <c r="AD29" s="346"/>
      <c r="AE29" s="346"/>
      <c r="AF29" s="346"/>
      <c r="AG29" s="346"/>
      <c r="AH29" s="346"/>
      <c r="AI29" s="346"/>
      <c r="AJ29" s="346"/>
      <c r="AK29" s="355">
        <f t="shared" si="23"/>
        <v>82.499999999999943</v>
      </c>
      <c r="AL29" s="420" t="s">
        <v>357</v>
      </c>
    </row>
    <row r="30" spans="1:41" x14ac:dyDescent="0.35">
      <c r="B30" s="377" t="s">
        <v>152</v>
      </c>
      <c r="C30" s="36"/>
      <c r="D30" s="358"/>
      <c r="E30" s="36"/>
      <c r="F30" s="36"/>
      <c r="G30" s="36"/>
      <c r="H30" s="37"/>
      <c r="I30" s="37"/>
      <c r="J30" s="37"/>
      <c r="K30" s="37"/>
      <c r="L30" s="37"/>
      <c r="M30" s="323">
        <f>C59/12*4</f>
        <v>1</v>
      </c>
      <c r="N30" s="323">
        <f>C59/12*4</f>
        <v>1</v>
      </c>
      <c r="O30" s="323">
        <f t="shared" ref="O30:X30" si="26">$C$59/12*4</f>
        <v>1</v>
      </c>
      <c r="P30" s="228">
        <f t="shared" si="26"/>
        <v>1</v>
      </c>
      <c r="Q30" s="323">
        <f t="shared" si="26"/>
        <v>1</v>
      </c>
      <c r="R30" s="323">
        <f t="shared" si="26"/>
        <v>1</v>
      </c>
      <c r="S30" s="323">
        <f t="shared" si="26"/>
        <v>1</v>
      </c>
      <c r="T30" s="330">
        <f t="shared" si="26"/>
        <v>1</v>
      </c>
      <c r="U30" s="330">
        <f t="shared" si="26"/>
        <v>1</v>
      </c>
      <c r="V30" s="330">
        <f t="shared" si="26"/>
        <v>1</v>
      </c>
      <c r="W30" s="330">
        <f t="shared" si="26"/>
        <v>1</v>
      </c>
      <c r="X30" s="330">
        <f t="shared" si="26"/>
        <v>1</v>
      </c>
      <c r="Y30" s="337"/>
      <c r="Z30" s="337"/>
      <c r="AA30" s="337"/>
      <c r="AB30" s="337"/>
      <c r="AC30" s="337"/>
      <c r="AD30" s="337"/>
      <c r="AE30" s="337"/>
      <c r="AF30" s="337"/>
      <c r="AG30" s="337"/>
      <c r="AH30" s="337"/>
      <c r="AI30" s="337"/>
      <c r="AJ30" s="337"/>
      <c r="AK30" s="355">
        <f t="shared" si="23"/>
        <v>3</v>
      </c>
      <c r="AL30" s="37"/>
    </row>
    <row r="31" spans="1:41" ht="13.4" customHeight="1" x14ac:dyDescent="0.35">
      <c r="B31" s="377" t="s">
        <v>358</v>
      </c>
      <c r="C31" s="36"/>
      <c r="D31" s="358"/>
      <c r="E31" s="36"/>
      <c r="F31" s="36"/>
      <c r="G31" s="36"/>
      <c r="H31" s="37"/>
      <c r="I31" s="37"/>
      <c r="J31" s="37"/>
      <c r="K31" s="37"/>
      <c r="L31" s="37"/>
      <c r="M31" s="323">
        <f t="shared" ref="M31:X31" si="27">$C$60/12*4</f>
        <v>11.333333333333334</v>
      </c>
      <c r="N31" s="323">
        <f t="shared" si="27"/>
        <v>11.333333333333334</v>
      </c>
      <c r="O31" s="323">
        <f t="shared" si="27"/>
        <v>11.333333333333334</v>
      </c>
      <c r="P31" s="228">
        <f t="shared" si="27"/>
        <v>11.333333333333334</v>
      </c>
      <c r="Q31" s="323">
        <f t="shared" si="27"/>
        <v>11.333333333333334</v>
      </c>
      <c r="R31" s="323">
        <f t="shared" si="27"/>
        <v>11.333333333333334</v>
      </c>
      <c r="S31" s="323">
        <f t="shared" si="27"/>
        <v>11.333333333333334</v>
      </c>
      <c r="T31" s="330">
        <f t="shared" si="27"/>
        <v>11.333333333333334</v>
      </c>
      <c r="U31" s="330">
        <f t="shared" si="27"/>
        <v>11.333333333333334</v>
      </c>
      <c r="V31" s="330">
        <f t="shared" si="27"/>
        <v>11.333333333333334</v>
      </c>
      <c r="W31" s="330">
        <f t="shared" si="27"/>
        <v>11.333333333333334</v>
      </c>
      <c r="X31" s="330">
        <f t="shared" si="27"/>
        <v>11.333333333333334</v>
      </c>
      <c r="Y31" s="337"/>
      <c r="Z31" s="337"/>
      <c r="AA31" s="337"/>
      <c r="AB31" s="337"/>
      <c r="AC31" s="337"/>
      <c r="AD31" s="337"/>
      <c r="AE31" s="337"/>
      <c r="AF31" s="337"/>
      <c r="AG31" s="337"/>
      <c r="AH31" s="337"/>
      <c r="AI31" s="337"/>
      <c r="AJ31" s="337"/>
      <c r="AK31" s="355">
        <f t="shared" si="23"/>
        <v>33.999999999999993</v>
      </c>
      <c r="AL31" s="37"/>
    </row>
    <row r="32" spans="1:41" ht="29.25" customHeight="1" x14ac:dyDescent="0.35">
      <c r="B32" s="377" t="s">
        <v>359</v>
      </c>
      <c r="C32" s="36"/>
      <c r="D32" s="358"/>
      <c r="E32" s="36"/>
      <c r="F32" s="36"/>
      <c r="G32" s="36"/>
      <c r="H32" s="37"/>
      <c r="I32" s="37"/>
      <c r="J32" s="37"/>
      <c r="K32" s="37"/>
      <c r="L32" s="37"/>
      <c r="M32" s="323">
        <f t="shared" ref="M32:X32" si="28">$C$61/12*4</f>
        <v>0.66666666666666663</v>
      </c>
      <c r="N32" s="323">
        <f t="shared" si="28"/>
        <v>0.66666666666666663</v>
      </c>
      <c r="O32" s="323">
        <f t="shared" si="28"/>
        <v>0.66666666666666663</v>
      </c>
      <c r="P32" s="228">
        <f t="shared" si="28"/>
        <v>0.66666666666666663</v>
      </c>
      <c r="Q32" s="323">
        <f t="shared" si="28"/>
        <v>0.66666666666666663</v>
      </c>
      <c r="R32" s="323">
        <f t="shared" si="28"/>
        <v>0.66666666666666663</v>
      </c>
      <c r="S32" s="323">
        <f t="shared" si="28"/>
        <v>0.66666666666666663</v>
      </c>
      <c r="T32" s="330">
        <f t="shared" si="28"/>
        <v>0.66666666666666663</v>
      </c>
      <c r="U32" s="330">
        <f t="shared" si="28"/>
        <v>0.66666666666666663</v>
      </c>
      <c r="V32" s="330">
        <f t="shared" si="28"/>
        <v>0.66666666666666663</v>
      </c>
      <c r="W32" s="330">
        <f t="shared" si="28"/>
        <v>0.66666666666666663</v>
      </c>
      <c r="X32" s="330">
        <f t="shared" si="28"/>
        <v>0.66666666666666663</v>
      </c>
      <c r="Y32" s="337"/>
      <c r="Z32" s="337"/>
      <c r="AA32" s="337"/>
      <c r="AB32" s="337"/>
      <c r="AC32" s="337"/>
      <c r="AD32" s="337"/>
      <c r="AE32" s="337"/>
      <c r="AF32" s="337"/>
      <c r="AG32" s="337"/>
      <c r="AH32" s="337"/>
      <c r="AI32" s="337"/>
      <c r="AJ32" s="337"/>
      <c r="AK32" s="355">
        <f t="shared" si="23"/>
        <v>2</v>
      </c>
      <c r="AL32" s="37"/>
    </row>
    <row r="33" spans="1:95" ht="44.25" customHeight="1" x14ac:dyDescent="0.35">
      <c r="B33" s="413" t="s">
        <v>360</v>
      </c>
      <c r="C33" s="36"/>
      <c r="D33" s="358"/>
      <c r="E33" s="36"/>
      <c r="F33" s="36"/>
      <c r="G33" s="36"/>
      <c r="H33" s="37"/>
      <c r="I33" s="37"/>
      <c r="J33" s="37"/>
      <c r="K33" s="37"/>
      <c r="L33" s="37"/>
      <c r="M33" s="323"/>
      <c r="N33" s="323">
        <f t="shared" ref="N33:AD33" si="29">SUM(N34:N38)</f>
        <v>954.03959999999972</v>
      </c>
      <c r="O33" s="323">
        <f t="shared" si="29"/>
        <v>85.500399999999999</v>
      </c>
      <c r="P33" s="228">
        <f t="shared" si="29"/>
        <v>83.481000000000009</v>
      </c>
      <c r="Q33" s="323">
        <f t="shared" si="29"/>
        <v>662.76099999999997</v>
      </c>
      <c r="R33" s="323">
        <f t="shared" si="29"/>
        <v>83.481000000000009</v>
      </c>
      <c r="S33" s="323">
        <f t="shared" si="29"/>
        <v>83.481000000000009</v>
      </c>
      <c r="T33" s="330">
        <f t="shared" si="29"/>
        <v>62.811999999999998</v>
      </c>
      <c r="U33" s="330">
        <f t="shared" si="29"/>
        <v>62.811999999999998</v>
      </c>
      <c r="V33" s="330">
        <f t="shared" si="29"/>
        <v>62.811999999999998</v>
      </c>
      <c r="W33" s="330">
        <f t="shared" si="29"/>
        <v>62.811999999999998</v>
      </c>
      <c r="X33" s="330">
        <f t="shared" si="29"/>
        <v>41.554000000000002</v>
      </c>
      <c r="Y33" s="330">
        <f t="shared" si="29"/>
        <v>41.554000000000002</v>
      </c>
      <c r="Z33" s="330">
        <f t="shared" si="29"/>
        <v>41.554000000000002</v>
      </c>
      <c r="AA33" s="330">
        <f t="shared" si="29"/>
        <v>41.554000000000002</v>
      </c>
      <c r="AB33" s="330">
        <f t="shared" si="29"/>
        <v>27.678000000000001</v>
      </c>
      <c r="AC33" s="330">
        <f t="shared" si="29"/>
        <v>27.678000000000001</v>
      </c>
      <c r="AD33" s="330">
        <f t="shared" si="29"/>
        <v>27.678000000000001</v>
      </c>
      <c r="AE33" s="330"/>
      <c r="AF33" s="330"/>
      <c r="AG33" s="330"/>
      <c r="AH33" s="330"/>
      <c r="AI33" s="330"/>
      <c r="AJ33" s="330"/>
      <c r="AK33" s="355">
        <f t="shared" si="23"/>
        <v>571.77499999999986</v>
      </c>
      <c r="AL33" s="1312" t="s">
        <v>361</v>
      </c>
      <c r="AM33" s="1313"/>
    </row>
    <row r="34" spans="1:95" ht="17.899999999999999" customHeight="1" x14ac:dyDescent="0.35">
      <c r="B34" s="377" t="s">
        <v>347</v>
      </c>
      <c r="C34" s="36"/>
      <c r="D34" s="358"/>
      <c r="E34" s="36"/>
      <c r="F34" s="36"/>
      <c r="G34" s="36"/>
      <c r="H34" s="37"/>
      <c r="I34" s="37"/>
      <c r="J34" s="37"/>
      <c r="K34" s="37"/>
      <c r="L34" s="37"/>
      <c r="M34" s="323"/>
      <c r="N34" s="323">
        <f>0.6*C63*4</f>
        <v>868.91999999999985</v>
      </c>
      <c r="O34" s="323"/>
      <c r="P34" s="228"/>
      <c r="Q34" s="323">
        <f>0.4*C63*4</f>
        <v>579.28</v>
      </c>
      <c r="R34" s="323"/>
      <c r="S34" s="323"/>
      <c r="T34" s="330"/>
      <c r="U34" s="330"/>
      <c r="V34" s="330"/>
      <c r="W34" s="330"/>
      <c r="X34" s="330"/>
      <c r="Y34" s="330"/>
      <c r="Z34" s="330"/>
      <c r="AA34" s="330"/>
      <c r="AB34" s="330"/>
      <c r="AC34" s="330"/>
      <c r="AD34" s="330"/>
      <c r="AE34" s="330"/>
      <c r="AF34" s="330"/>
      <c r="AG34" s="330"/>
      <c r="AH34" s="330"/>
      <c r="AI34" s="330"/>
      <c r="AJ34" s="330"/>
      <c r="AK34" s="355">
        <f t="shared" si="23"/>
        <v>362.04999999999995</v>
      </c>
      <c r="AL34" s="395" t="s">
        <v>362</v>
      </c>
      <c r="AM34" s="395"/>
    </row>
    <row r="35" spans="1:95" x14ac:dyDescent="0.35">
      <c r="B35" s="377" t="s">
        <v>150</v>
      </c>
      <c r="C35" s="36"/>
      <c r="D35" s="358"/>
      <c r="E35" s="36"/>
      <c r="F35" s="36"/>
      <c r="G35" s="36"/>
      <c r="H35" s="37"/>
      <c r="I35" s="37"/>
      <c r="J35" s="37"/>
      <c r="K35" s="37"/>
      <c r="L35" s="37"/>
      <c r="M35" s="323"/>
      <c r="N35" s="323">
        <f>'ARP Quarterly'!D9</f>
        <v>24.693999999999999</v>
      </c>
      <c r="O35" s="323">
        <f>'ARP Quarterly'!E9</f>
        <v>24.693999999999999</v>
      </c>
      <c r="P35" s="228">
        <f>'ARP Quarterly'!F9</f>
        <v>46.79</v>
      </c>
      <c r="Q35" s="323">
        <f>'ARP Quarterly'!G9</f>
        <v>46.79</v>
      </c>
      <c r="R35" s="323">
        <f>'ARP Quarterly'!H9</f>
        <v>46.79</v>
      </c>
      <c r="S35" s="323">
        <f>'ARP Quarterly'!I9</f>
        <v>46.79</v>
      </c>
      <c r="T35" s="330">
        <f>'ARP Quarterly'!J9</f>
        <v>38.595999999999997</v>
      </c>
      <c r="U35" s="330">
        <f>'ARP Quarterly'!K9</f>
        <v>38.595999999999997</v>
      </c>
      <c r="V35" s="330">
        <f>'ARP Quarterly'!L9</f>
        <v>38.595999999999997</v>
      </c>
      <c r="W35" s="330">
        <f>'ARP Quarterly'!M9</f>
        <v>38.595999999999997</v>
      </c>
      <c r="X35" s="330">
        <f>'ARP Quarterly'!N9</f>
        <v>31.911000000000001</v>
      </c>
      <c r="Y35" s="330">
        <f>'ARP Quarterly'!O9</f>
        <v>31.911000000000001</v>
      </c>
      <c r="Z35" s="330">
        <f>'ARP Quarterly'!P9</f>
        <v>31.911000000000001</v>
      </c>
      <c r="AA35" s="330">
        <f>'ARP Quarterly'!Q9</f>
        <v>31.911000000000001</v>
      </c>
      <c r="AB35" s="330">
        <f>'ARP Quarterly'!R9</f>
        <v>23.099</v>
      </c>
      <c r="AC35" s="330">
        <f>'ARP Quarterly'!S9</f>
        <v>23.099</v>
      </c>
      <c r="AD35" s="330">
        <f>'ARP Quarterly'!T9</f>
        <v>23.099</v>
      </c>
      <c r="AE35" s="330"/>
      <c r="AF35" s="330"/>
      <c r="AG35" s="330"/>
      <c r="AH35" s="330"/>
      <c r="AI35" s="330"/>
      <c r="AJ35" s="330"/>
      <c r="AK35" s="355">
        <f t="shared" si="23"/>
        <v>113.68849999999999</v>
      </c>
      <c r="AL35" s="323"/>
    </row>
    <row r="36" spans="1:95" x14ac:dyDescent="0.35">
      <c r="B36" s="377" t="s">
        <v>152</v>
      </c>
      <c r="C36" s="36"/>
      <c r="D36" s="358"/>
      <c r="E36" s="36"/>
      <c r="F36" s="36"/>
      <c r="G36" s="36"/>
      <c r="H36" s="37"/>
      <c r="I36" s="37"/>
      <c r="J36" s="37"/>
      <c r="K36" s="37"/>
      <c r="L36" s="37"/>
      <c r="M36" s="323"/>
      <c r="N36" s="323">
        <f>'ARP Quarterly'!D14</f>
        <v>1.1696</v>
      </c>
      <c r="O36" s="323">
        <f>'ARP Quarterly'!E14</f>
        <v>1.5503999999999998</v>
      </c>
      <c r="P36" s="228">
        <f>'ARP Quarterly'!F14</f>
        <v>1.02</v>
      </c>
      <c r="Q36" s="323">
        <f>'ARP Quarterly'!G14</f>
        <v>1.02</v>
      </c>
      <c r="R36" s="323">
        <f>'ARP Quarterly'!H14</f>
        <v>1.02</v>
      </c>
      <c r="S36" s="323">
        <f>'ARP Quarterly'!I14</f>
        <v>1.02</v>
      </c>
      <c r="T36" s="330">
        <f>'ARP Quarterly'!J14</f>
        <v>0</v>
      </c>
      <c r="U36" s="330">
        <f>'ARP Quarterly'!K14</f>
        <v>0</v>
      </c>
      <c r="V36" s="330">
        <f>'ARP Quarterly'!L14</f>
        <v>0</v>
      </c>
      <c r="W36" s="330">
        <f>'ARP Quarterly'!M14</f>
        <v>0</v>
      </c>
      <c r="X36" s="330">
        <f>'ARP Quarterly'!N14</f>
        <v>0</v>
      </c>
      <c r="Y36" s="330">
        <f>'ARP Quarterly'!O14</f>
        <v>0</v>
      </c>
      <c r="Z36" s="330">
        <f>'ARP Quarterly'!P14</f>
        <v>0</v>
      </c>
      <c r="AA36" s="330">
        <f>'ARP Quarterly'!Q14</f>
        <v>0</v>
      </c>
      <c r="AB36" s="330">
        <f>'ARP Quarterly'!R14</f>
        <v>0</v>
      </c>
      <c r="AC36" s="330">
        <f>'ARP Quarterly'!S14</f>
        <v>0</v>
      </c>
      <c r="AD36" s="330">
        <f>'ARP Quarterly'!T14</f>
        <v>0</v>
      </c>
      <c r="AE36" s="330"/>
      <c r="AF36" s="330"/>
      <c r="AG36" s="330"/>
      <c r="AH36" s="330"/>
      <c r="AI36" s="330"/>
      <c r="AJ36" s="330"/>
      <c r="AK36" s="355">
        <f t="shared" si="23"/>
        <v>1.6999999999999997</v>
      </c>
      <c r="AL36" s="323"/>
    </row>
    <row r="37" spans="1:95" x14ac:dyDescent="0.35">
      <c r="B37" s="377" t="s">
        <v>363</v>
      </c>
      <c r="C37" s="36"/>
      <c r="D37" s="358"/>
      <c r="E37" s="36"/>
      <c r="F37" s="36"/>
      <c r="G37" s="36"/>
      <c r="H37" s="37"/>
      <c r="I37" s="37"/>
      <c r="J37" s="37"/>
      <c r="K37" s="37"/>
      <c r="L37" s="37"/>
      <c r="M37" s="323"/>
      <c r="N37" s="323">
        <f>'ARP Quarterly'!D10</f>
        <v>59.256</v>
      </c>
      <c r="O37" s="323">
        <f>'ARP Quarterly'!E10</f>
        <v>59.256</v>
      </c>
      <c r="P37" s="228">
        <f>'ARP Quarterly'!F10</f>
        <v>35.671000000000006</v>
      </c>
      <c r="Q37" s="323">
        <f>'ARP Quarterly'!G10</f>
        <v>35.671000000000006</v>
      </c>
      <c r="R37" s="323">
        <f>'ARP Quarterly'!H10</f>
        <v>35.671000000000006</v>
      </c>
      <c r="S37" s="323">
        <f>'ARP Quarterly'!I10</f>
        <v>35.671000000000006</v>
      </c>
      <c r="T37" s="330">
        <f>'ARP Quarterly'!J10</f>
        <v>24.216000000000001</v>
      </c>
      <c r="U37" s="330">
        <f>'ARP Quarterly'!K10</f>
        <v>24.216000000000001</v>
      </c>
      <c r="V37" s="330">
        <f>'ARP Quarterly'!L10</f>
        <v>24.216000000000001</v>
      </c>
      <c r="W37" s="330">
        <f>'ARP Quarterly'!M10</f>
        <v>24.216000000000001</v>
      </c>
      <c r="X37" s="330">
        <f>'ARP Quarterly'!N10</f>
        <v>9.6430000000000007</v>
      </c>
      <c r="Y37" s="330">
        <f>'ARP Quarterly'!O10</f>
        <v>9.6430000000000007</v>
      </c>
      <c r="Z37" s="330">
        <f>'ARP Quarterly'!P10</f>
        <v>9.6430000000000007</v>
      </c>
      <c r="AA37" s="330">
        <f>'ARP Quarterly'!Q10</f>
        <v>9.6430000000000007</v>
      </c>
      <c r="AB37" s="330">
        <f>'ARP Quarterly'!R10</f>
        <v>4.5789999999999997</v>
      </c>
      <c r="AC37" s="330">
        <f>'ARP Quarterly'!S10</f>
        <v>4.5789999999999997</v>
      </c>
      <c r="AD37" s="330">
        <f>'ARP Quarterly'!T10</f>
        <v>4.5789999999999997</v>
      </c>
      <c r="AE37" s="330"/>
      <c r="AF37" s="330"/>
      <c r="AG37" s="330"/>
      <c r="AH37" s="330"/>
      <c r="AI37" s="330"/>
      <c r="AJ37" s="330"/>
      <c r="AK37" s="355">
        <f t="shared" si="23"/>
        <v>94.336500000000001</v>
      </c>
      <c r="AL37" s="323"/>
    </row>
    <row r="38" spans="1:95" x14ac:dyDescent="0.35">
      <c r="A38" s="4"/>
      <c r="B38" s="390"/>
      <c r="C38" s="387"/>
      <c r="D38" s="385"/>
      <c r="E38" s="387"/>
      <c r="F38" s="387"/>
      <c r="G38" s="387"/>
      <c r="H38" s="392"/>
      <c r="I38" s="392"/>
      <c r="J38" s="392"/>
      <c r="K38" s="392"/>
      <c r="L38" s="392"/>
      <c r="M38" s="324"/>
      <c r="N38" s="324"/>
      <c r="O38" s="324"/>
      <c r="P38" s="320"/>
      <c r="Q38" s="324"/>
      <c r="R38" s="324"/>
      <c r="S38" s="324"/>
      <c r="T38" s="396"/>
      <c r="U38" s="396"/>
      <c r="V38" s="396"/>
      <c r="W38" s="396"/>
      <c r="X38" s="396"/>
      <c r="Y38" s="396"/>
      <c r="Z38" s="396"/>
      <c r="AA38" s="396"/>
      <c r="AB38" s="396"/>
      <c r="AC38" s="396"/>
      <c r="AD38" s="330"/>
      <c r="AE38" s="330"/>
      <c r="AF38" s="330"/>
      <c r="AG38" s="330"/>
      <c r="AH38" s="330"/>
      <c r="AI38" s="330"/>
      <c r="AJ38" s="330"/>
      <c r="AK38" s="407"/>
      <c r="AL38" s="323"/>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row>
    <row r="39" spans="1:95" x14ac:dyDescent="0.35">
      <c r="B39" s="343"/>
      <c r="C39" s="36"/>
      <c r="D39" s="36"/>
      <c r="E39" s="36"/>
      <c r="F39" s="36"/>
      <c r="G39" s="36"/>
      <c r="H39" s="36"/>
      <c r="I39" s="36"/>
      <c r="J39" s="36"/>
      <c r="K39" s="36"/>
      <c r="L39" s="36"/>
      <c r="M39" s="36"/>
      <c r="N39" s="36"/>
      <c r="O39" s="36"/>
      <c r="P39" s="379"/>
      <c r="Q39" s="36"/>
      <c r="R39" s="36"/>
      <c r="S39" s="36"/>
      <c r="T39" s="36"/>
      <c r="U39" s="36"/>
      <c r="V39" s="36"/>
      <c r="W39" s="36"/>
      <c r="X39" s="36"/>
      <c r="Y39" s="36"/>
      <c r="Z39" s="36"/>
      <c r="AA39" s="36"/>
      <c r="AB39" s="36"/>
      <c r="AC39" s="36"/>
      <c r="AD39" s="36"/>
      <c r="AE39" s="36"/>
      <c r="AF39" s="36"/>
      <c r="AG39" s="36"/>
      <c r="AH39" s="36"/>
      <c r="AI39" s="36"/>
      <c r="AJ39" s="36"/>
      <c r="AK39" s="36"/>
      <c r="AL39" s="36"/>
    </row>
    <row r="40" spans="1:95" x14ac:dyDescent="0.35">
      <c r="B40" s="343"/>
      <c r="C40" s="36"/>
      <c r="D40" s="36"/>
      <c r="E40" s="36"/>
      <c r="F40" s="36"/>
      <c r="G40" s="36"/>
      <c r="H40" s="36"/>
      <c r="I40" s="36"/>
      <c r="J40" s="36"/>
      <c r="K40" s="36"/>
      <c r="L40" s="36"/>
      <c r="M40" s="36"/>
      <c r="N40" s="36"/>
      <c r="O40" s="36"/>
      <c r="P40" s="379"/>
      <c r="Q40" s="36"/>
      <c r="R40" s="36"/>
      <c r="S40" s="36"/>
      <c r="T40" s="36"/>
      <c r="U40" s="36"/>
      <c r="V40" s="36"/>
      <c r="W40" s="36"/>
      <c r="X40" s="36"/>
      <c r="Y40" s="36"/>
      <c r="Z40" s="36"/>
      <c r="AA40" s="36"/>
      <c r="AB40" s="36"/>
      <c r="AC40" s="36"/>
      <c r="AD40" s="36"/>
      <c r="AE40" s="36"/>
      <c r="AF40" s="36"/>
      <c r="AG40" s="36"/>
      <c r="AH40" s="36"/>
      <c r="AI40" s="36"/>
      <c r="AJ40" s="36"/>
      <c r="AK40" s="36"/>
      <c r="AL40" s="36"/>
    </row>
    <row r="41" spans="1:95" ht="17.899999999999999" customHeight="1" x14ac:dyDescent="0.35">
      <c r="B41" s="397" t="s">
        <v>364</v>
      </c>
      <c r="H41" s="37"/>
      <c r="I41" s="37"/>
      <c r="J41" s="37"/>
      <c r="K41" s="37"/>
      <c r="L41" s="37"/>
      <c r="M41" s="37"/>
      <c r="N41" s="37"/>
      <c r="O41" s="37"/>
      <c r="P41" s="232"/>
      <c r="Q41" s="37"/>
      <c r="R41" s="37"/>
      <c r="S41" s="37"/>
      <c r="T41" s="37"/>
      <c r="U41" s="37"/>
      <c r="V41" s="37"/>
      <c r="W41" s="37"/>
      <c r="X41" s="37"/>
      <c r="Y41" s="37"/>
      <c r="Z41" s="37"/>
      <c r="AA41" s="37"/>
      <c r="AB41" s="37"/>
      <c r="AC41" s="37"/>
      <c r="AD41" s="37"/>
      <c r="AE41" s="37"/>
      <c r="AF41" s="37"/>
      <c r="AG41" s="37"/>
      <c r="AH41" s="37"/>
      <c r="AI41" s="37"/>
      <c r="AJ41" s="37"/>
      <c r="AK41" s="37"/>
      <c r="AL41" s="37"/>
    </row>
    <row r="42" spans="1:95" ht="29.9" customHeight="1" x14ac:dyDescent="0.35">
      <c r="B42" s="417" t="s">
        <v>365</v>
      </c>
      <c r="C42" s="418" t="s">
        <v>366</v>
      </c>
      <c r="D42" s="419" t="s">
        <v>367</v>
      </c>
      <c r="E42" s="402" t="s">
        <v>368</v>
      </c>
      <c r="F42" s="37"/>
      <c r="G42" s="37"/>
      <c r="H42" s="37"/>
      <c r="I42" s="37"/>
      <c r="J42" s="37"/>
      <c r="K42" s="37"/>
      <c r="L42" s="37"/>
      <c r="M42" s="37"/>
      <c r="N42" s="37"/>
      <c r="O42" s="37"/>
      <c r="P42" s="232"/>
      <c r="Q42" s="37"/>
      <c r="R42" s="37"/>
      <c r="S42" s="37"/>
      <c r="T42" s="37"/>
      <c r="U42" s="37"/>
      <c r="V42" s="37"/>
      <c r="W42" s="37"/>
    </row>
    <row r="43" spans="1:95" ht="18.75" customHeight="1" x14ac:dyDescent="0.35">
      <c r="B43" s="423" t="s">
        <v>369</v>
      </c>
      <c r="C43" s="393">
        <f>SUM(C44:C49)</f>
        <v>898.11599999999999</v>
      </c>
      <c r="D43" s="37">
        <f>SUM(D44:D48)</f>
        <v>202.36666666666667</v>
      </c>
      <c r="E43" s="363">
        <f>SUM(E44:E48)</f>
        <v>650.35233333333326</v>
      </c>
      <c r="F43" s="37"/>
      <c r="G43" s="37"/>
      <c r="H43" s="37"/>
      <c r="I43" s="37"/>
      <c r="J43" s="37"/>
      <c r="K43" s="37"/>
      <c r="L43" s="37"/>
      <c r="M43" s="37"/>
      <c r="N43" s="37"/>
      <c r="O43" s="37"/>
      <c r="P43" s="232"/>
      <c r="Q43" s="37"/>
      <c r="R43" s="37"/>
      <c r="S43" s="37"/>
      <c r="T43" s="37"/>
      <c r="U43" s="37"/>
      <c r="V43" s="37"/>
      <c r="W43" s="37"/>
    </row>
    <row r="44" spans="1:95" x14ac:dyDescent="0.35">
      <c r="B44" s="422" t="s">
        <v>149</v>
      </c>
      <c r="C44" s="393">
        <f>C53</f>
        <v>150</v>
      </c>
      <c r="D44" s="37">
        <f>SUM(H12:M12)/4</f>
        <v>149.47499999999999</v>
      </c>
      <c r="E44" s="355">
        <f>C44-D44</f>
        <v>0.52500000000000568</v>
      </c>
      <c r="F44" s="37"/>
      <c r="G44" s="37"/>
      <c r="H44" s="37"/>
      <c r="I44" s="383"/>
      <c r="J44" s="383"/>
      <c r="K44" s="383"/>
      <c r="L44" s="383"/>
      <c r="M44" s="383"/>
      <c r="N44" s="383"/>
      <c r="O44" s="383"/>
      <c r="P44" s="432"/>
      <c r="Q44" s="37"/>
      <c r="R44" s="37"/>
      <c r="S44" s="37"/>
      <c r="T44" s="37"/>
      <c r="U44" s="37"/>
      <c r="V44" s="37"/>
      <c r="W44" s="37"/>
    </row>
    <row r="45" spans="1:95" x14ac:dyDescent="0.35">
      <c r="B45" s="422" t="s">
        <v>150</v>
      </c>
      <c r="C45" s="425">
        <f>C54+C58+C64</f>
        <v>273.16899999999998</v>
      </c>
      <c r="D45" s="37">
        <f>SUM(H13:M13)/4</f>
        <v>22.075000000000003</v>
      </c>
      <c r="E45" s="355">
        <f>C45-D45</f>
        <v>251.09399999999999</v>
      </c>
      <c r="F45" s="37"/>
      <c r="G45" s="37"/>
      <c r="H45" s="37"/>
      <c r="I45" s="383"/>
      <c r="J45" s="383"/>
      <c r="K45" s="383"/>
      <c r="L45" s="383"/>
      <c r="M45" s="383"/>
      <c r="N45" s="383"/>
      <c r="O45" s="383"/>
      <c r="P45" s="432"/>
      <c r="Q45" s="37"/>
      <c r="R45" s="37"/>
      <c r="S45" s="37"/>
      <c r="T45" s="37"/>
      <c r="U45" s="37"/>
      <c r="V45" s="37"/>
      <c r="W45" s="37"/>
    </row>
    <row r="46" spans="1:95" x14ac:dyDescent="0.35">
      <c r="B46" s="422" t="s">
        <v>152</v>
      </c>
      <c r="C46" s="270">
        <f>C55+C65+C59</f>
        <v>38.5</v>
      </c>
      <c r="D46" s="37">
        <f>SUM(H14:M14)/4</f>
        <v>28.400000000000002</v>
      </c>
      <c r="E46" s="355">
        <f>C46-D46</f>
        <v>10.099999999999998</v>
      </c>
      <c r="F46" s="37"/>
      <c r="G46" s="37"/>
      <c r="H46" s="37"/>
      <c r="I46" s="383"/>
      <c r="J46" s="383"/>
      <c r="K46" s="383"/>
      <c r="L46" s="383"/>
      <c r="M46" s="383"/>
      <c r="N46" s="383"/>
      <c r="O46" s="383"/>
      <c r="P46" s="432"/>
      <c r="Q46" s="1310"/>
      <c r="R46" s="1310"/>
      <c r="S46" s="1310"/>
      <c r="T46" s="1310"/>
      <c r="U46" s="1310"/>
      <c r="V46" s="1310"/>
      <c r="W46" s="1310"/>
      <c r="X46" s="1310"/>
      <c r="Y46" s="1310"/>
      <c r="Z46" s="1310"/>
      <c r="AA46" s="1310"/>
      <c r="AB46" s="1310"/>
      <c r="AC46" s="1310"/>
      <c r="AD46" s="1310"/>
      <c r="AE46" s="1310"/>
      <c r="AF46" s="1310"/>
      <c r="AG46" s="1310"/>
      <c r="AH46" s="1310"/>
      <c r="AI46" s="1310"/>
      <c r="AJ46" s="1310"/>
      <c r="AK46" s="1310"/>
      <c r="AL46" s="1310"/>
      <c r="AM46" s="1310"/>
      <c r="AN46" s="1310"/>
      <c r="AO46" s="1310"/>
    </row>
    <row r="47" spans="1:95" ht="17.25" customHeight="1" x14ac:dyDescent="0.35">
      <c r="B47" s="422" t="s">
        <v>370</v>
      </c>
      <c r="C47" s="270">
        <f>C57</f>
        <v>29</v>
      </c>
      <c r="D47" s="37">
        <f>SUM(H15:M15)/4</f>
        <v>2.4166666666666665</v>
      </c>
      <c r="E47" s="355">
        <f>C47-D47</f>
        <v>26.583333333333332</v>
      </c>
      <c r="F47" s="37"/>
      <c r="G47" s="37"/>
      <c r="H47" s="37"/>
      <c r="I47" s="383"/>
      <c r="J47" s="383"/>
      <c r="K47" s="383"/>
      <c r="L47" s="383"/>
      <c r="M47" s="383"/>
      <c r="N47" s="383"/>
      <c r="O47" s="383"/>
      <c r="P47" s="432"/>
      <c r="Q47" s="1311"/>
      <c r="R47" s="1311"/>
      <c r="S47" s="1311"/>
      <c r="T47" s="1311"/>
      <c r="U47" s="1311"/>
      <c r="V47" s="1311"/>
      <c r="W47" s="1311"/>
      <c r="X47" s="1311"/>
      <c r="Y47" s="1311"/>
      <c r="Z47" s="219"/>
      <c r="AA47" s="219"/>
      <c r="AB47" s="219"/>
      <c r="AC47" s="219"/>
      <c r="AD47" s="219"/>
      <c r="AE47" s="219"/>
      <c r="AF47" s="219"/>
      <c r="AG47" s="219"/>
      <c r="AH47" s="219"/>
      <c r="AI47" s="219"/>
      <c r="AJ47" s="219"/>
      <c r="AK47" s="1311"/>
      <c r="AL47" s="1311"/>
      <c r="AM47" s="1311"/>
      <c r="AN47" s="1311"/>
      <c r="AO47" s="219"/>
    </row>
    <row r="48" spans="1:95" ht="15.75" customHeight="1" x14ac:dyDescent="0.35">
      <c r="B48" s="422" t="s">
        <v>347</v>
      </c>
      <c r="C48" s="270">
        <f>C63</f>
        <v>362.04999999999995</v>
      </c>
      <c r="D48" s="37">
        <v>0</v>
      </c>
      <c r="E48" s="355">
        <f>C48-D48</f>
        <v>362.04999999999995</v>
      </c>
      <c r="F48" s="37"/>
      <c r="G48" s="37"/>
      <c r="H48" s="37"/>
      <c r="I48" s="383"/>
      <c r="J48" s="383"/>
      <c r="K48" s="383"/>
      <c r="L48" s="383"/>
      <c r="M48" s="383"/>
      <c r="N48" s="383"/>
      <c r="O48" s="383"/>
      <c r="P48" s="432"/>
      <c r="Q48" s="219"/>
      <c r="R48" s="219"/>
      <c r="S48" s="219"/>
      <c r="T48" s="219"/>
      <c r="U48" s="219"/>
      <c r="V48" s="219"/>
      <c r="W48" s="219"/>
      <c r="X48" s="219"/>
      <c r="Y48" s="219"/>
      <c r="Z48" s="219"/>
      <c r="AA48" s="219"/>
      <c r="AB48" s="219"/>
      <c r="AC48" s="219"/>
      <c r="AD48" s="219"/>
      <c r="AE48" s="219"/>
      <c r="AF48" s="219"/>
      <c r="AG48" s="219"/>
      <c r="AH48" s="219"/>
      <c r="AI48" s="219"/>
      <c r="AJ48" s="219"/>
      <c r="AK48" s="219"/>
      <c r="AL48" s="219"/>
      <c r="AM48" s="219"/>
      <c r="AN48" s="219"/>
      <c r="AO48" s="219"/>
    </row>
    <row r="49" spans="1:23" ht="15" customHeight="1" x14ac:dyDescent="0.35">
      <c r="B49" s="421" t="s">
        <v>371</v>
      </c>
      <c r="C49" s="393">
        <f>C66+C67+C60+C61</f>
        <v>45.396999999999998</v>
      </c>
      <c r="D49" s="37"/>
      <c r="E49" s="355"/>
      <c r="F49" s="37"/>
      <c r="G49" s="37"/>
      <c r="H49" s="37"/>
      <c r="I49" s="383"/>
      <c r="J49" s="383"/>
      <c r="K49" s="383"/>
      <c r="L49" s="383"/>
      <c r="M49" s="383"/>
      <c r="N49" s="383"/>
      <c r="O49" s="383"/>
      <c r="P49" s="432"/>
      <c r="Q49" s="37"/>
      <c r="R49" s="37"/>
      <c r="S49" s="37"/>
      <c r="T49" s="37"/>
      <c r="U49" s="37"/>
      <c r="V49" s="37"/>
      <c r="W49" s="37"/>
    </row>
    <row r="50" spans="1:23" ht="5.25" customHeight="1" x14ac:dyDescent="0.35">
      <c r="B50" s="421"/>
      <c r="C50" s="393"/>
      <c r="D50" s="37"/>
      <c r="E50" s="355"/>
      <c r="F50" s="37"/>
      <c r="G50" s="37"/>
      <c r="H50" s="37"/>
      <c r="I50" s="383"/>
      <c r="J50" s="383"/>
      <c r="K50" s="383"/>
      <c r="L50" s="383"/>
      <c r="M50" s="383"/>
      <c r="N50" s="383"/>
      <c r="O50" s="383"/>
      <c r="P50" s="432"/>
      <c r="Q50" s="37"/>
      <c r="R50" s="37"/>
      <c r="S50" s="37"/>
      <c r="T50" s="37"/>
      <c r="U50" s="37"/>
      <c r="V50" s="37"/>
      <c r="W50" s="37"/>
    </row>
    <row r="51" spans="1:23" ht="18.75" customHeight="1" x14ac:dyDescent="0.35">
      <c r="B51" s="423" t="s">
        <v>372</v>
      </c>
      <c r="C51" s="270">
        <f>C52+C56+C62</f>
        <v>898.11599999999999</v>
      </c>
      <c r="D51" s="37"/>
      <c r="E51" s="355"/>
      <c r="F51" s="37"/>
      <c r="G51" s="37"/>
      <c r="H51" s="37"/>
      <c r="I51" s="383"/>
      <c r="J51" s="383"/>
      <c r="K51" s="383"/>
      <c r="L51" s="383"/>
      <c r="M51" s="383"/>
      <c r="N51" s="383"/>
      <c r="O51" s="383"/>
      <c r="P51" s="432"/>
      <c r="Q51" s="37"/>
      <c r="R51" s="37"/>
      <c r="S51" s="37"/>
      <c r="T51" s="37"/>
      <c r="U51" s="37"/>
      <c r="V51" s="37"/>
      <c r="W51" s="37"/>
    </row>
    <row r="52" spans="1:23" ht="16.399999999999999" customHeight="1" x14ac:dyDescent="0.35">
      <c r="B52" s="413" t="s">
        <v>353</v>
      </c>
      <c r="C52" s="270">
        <f>SUM(C53:C55)</f>
        <v>199</v>
      </c>
      <c r="D52" s="37"/>
      <c r="E52" s="355"/>
      <c r="F52" s="37"/>
      <c r="G52" s="37"/>
      <c r="H52" s="37"/>
      <c r="I52" s="383"/>
      <c r="J52" s="383"/>
      <c r="K52" s="383"/>
      <c r="L52" s="383"/>
      <c r="M52" s="383"/>
      <c r="N52" s="383"/>
      <c r="O52" s="383"/>
      <c r="P52" s="432"/>
      <c r="Q52" s="37"/>
      <c r="R52" s="37"/>
      <c r="S52" s="37"/>
      <c r="T52" s="37"/>
      <c r="U52" s="37"/>
      <c r="V52" s="37"/>
      <c r="W52" s="37"/>
    </row>
    <row r="53" spans="1:23" ht="20.9" customHeight="1" x14ac:dyDescent="0.35">
      <c r="B53" s="377" t="s">
        <v>149</v>
      </c>
      <c r="C53" s="270">
        <v>150</v>
      </c>
      <c r="D53" s="37"/>
      <c r="E53" s="355"/>
      <c r="F53" s="37"/>
      <c r="G53" s="37"/>
      <c r="H53" s="37"/>
      <c r="I53" s="383"/>
      <c r="J53" s="383"/>
      <c r="K53" s="383"/>
      <c r="L53" s="383"/>
      <c r="M53" s="383"/>
      <c r="N53" s="383"/>
      <c r="O53" s="383"/>
      <c r="P53" s="432"/>
      <c r="Q53" s="37"/>
      <c r="R53" s="37"/>
      <c r="S53" s="37"/>
      <c r="T53" s="37"/>
      <c r="U53" s="37"/>
      <c r="V53" s="37"/>
      <c r="W53" s="37"/>
    </row>
    <row r="54" spans="1:23" ht="16.5" customHeight="1" x14ac:dyDescent="0.35">
      <c r="B54" s="377" t="s">
        <v>150</v>
      </c>
      <c r="C54" s="425">
        <v>22</v>
      </c>
      <c r="D54" s="231"/>
      <c r="E54" s="355"/>
      <c r="F54" s="37"/>
      <c r="G54" s="37"/>
      <c r="H54" s="37"/>
      <c r="I54" s="383"/>
      <c r="J54" s="383"/>
      <c r="K54" s="383"/>
      <c r="L54" s="383"/>
      <c r="M54" s="383"/>
      <c r="N54" s="383"/>
      <c r="O54" s="383"/>
      <c r="P54" s="432"/>
      <c r="Q54" s="37"/>
      <c r="R54" s="37"/>
      <c r="S54" s="37"/>
      <c r="T54" s="37"/>
      <c r="U54" s="37"/>
      <c r="V54" s="37"/>
      <c r="W54" s="37"/>
    </row>
    <row r="55" spans="1:23" x14ac:dyDescent="0.35">
      <c r="B55" s="377" t="s">
        <v>152</v>
      </c>
      <c r="C55" s="270">
        <v>27</v>
      </c>
      <c r="D55" s="37"/>
      <c r="E55" s="355"/>
      <c r="F55" s="36"/>
      <c r="G55" s="37"/>
      <c r="H55" s="37"/>
      <c r="I55" s="383"/>
      <c r="J55" s="383"/>
      <c r="K55" s="383"/>
      <c r="L55" s="383"/>
      <c r="M55" s="383"/>
      <c r="N55" s="383"/>
      <c r="P55" s="432"/>
      <c r="Q55" s="37"/>
      <c r="R55" s="37"/>
      <c r="S55" s="37"/>
      <c r="T55" s="37"/>
      <c r="U55" s="37"/>
      <c r="V55" s="37"/>
      <c r="W55" s="37"/>
    </row>
    <row r="56" spans="1:23" ht="15" customHeight="1" x14ac:dyDescent="0.35">
      <c r="B56" s="413" t="s">
        <v>355</v>
      </c>
      <c r="C56" s="270">
        <f>SUM(C57:C61)</f>
        <v>150</v>
      </c>
      <c r="D56" s="37"/>
      <c r="E56" s="355"/>
      <c r="F56" s="37"/>
      <c r="G56" s="37"/>
      <c r="H56" s="37"/>
      <c r="I56" s="37"/>
      <c r="J56" s="37"/>
      <c r="K56" s="37"/>
      <c r="L56" s="37"/>
      <c r="M56" s="37"/>
      <c r="N56" s="37"/>
      <c r="P56" s="232"/>
      <c r="Q56" s="37"/>
      <c r="R56" s="37"/>
      <c r="S56" s="37"/>
      <c r="T56" s="37"/>
      <c r="U56" s="37"/>
      <c r="V56" s="37"/>
      <c r="W56" s="37"/>
    </row>
    <row r="57" spans="1:23" ht="17.25" customHeight="1" x14ac:dyDescent="0.35">
      <c r="B57" s="377" t="s">
        <v>342</v>
      </c>
      <c r="C57" s="270">
        <f>'Response and Relief Act Score'!F7</f>
        <v>29</v>
      </c>
      <c r="D57" s="37"/>
      <c r="E57" s="355"/>
      <c r="F57" s="37"/>
      <c r="G57" s="37"/>
      <c r="H57" s="37"/>
      <c r="I57" s="37"/>
    </row>
    <row r="58" spans="1:23" x14ac:dyDescent="0.35">
      <c r="B58" s="377" t="s">
        <v>150</v>
      </c>
      <c r="C58" s="270">
        <f>'Response and Relief Act Score'!F5</f>
        <v>82</v>
      </c>
      <c r="D58" s="37"/>
      <c r="E58" s="355"/>
      <c r="F58" s="37"/>
      <c r="G58" s="37"/>
      <c r="H58" s="37"/>
      <c r="I58" s="37"/>
      <c r="J58" s="37"/>
      <c r="K58" s="37"/>
      <c r="L58" s="37"/>
      <c r="M58" s="37"/>
      <c r="N58" s="37"/>
      <c r="P58" s="232"/>
      <c r="Q58" s="37"/>
      <c r="R58" s="37"/>
      <c r="S58" s="37"/>
      <c r="T58" s="37"/>
      <c r="U58" s="37"/>
      <c r="V58" s="37"/>
      <c r="W58" s="37"/>
    </row>
    <row r="59" spans="1:23" x14ac:dyDescent="0.35">
      <c r="B59" s="377" t="s">
        <v>152</v>
      </c>
      <c r="C59" s="270">
        <f>'Response and Relief Act Score'!F6</f>
        <v>3</v>
      </c>
      <c r="D59" s="37"/>
      <c r="E59" s="355"/>
      <c r="F59" s="37"/>
      <c r="G59" s="37"/>
      <c r="H59" s="37"/>
      <c r="I59" s="37"/>
      <c r="J59" s="37"/>
      <c r="K59" s="37"/>
      <c r="L59" s="37"/>
      <c r="M59" s="37"/>
      <c r="N59" s="37"/>
      <c r="P59" s="232"/>
      <c r="Q59" s="37"/>
      <c r="R59" s="37"/>
      <c r="S59" s="37"/>
      <c r="T59" s="37"/>
      <c r="U59" s="37"/>
      <c r="V59" s="37"/>
      <c r="W59" s="37"/>
    </row>
    <row r="60" spans="1:23" ht="29.25" customHeight="1" x14ac:dyDescent="0.35">
      <c r="B60" s="377" t="s">
        <v>358</v>
      </c>
      <c r="C60" s="270">
        <f>'Response and Relief Act Score'!F9</f>
        <v>34</v>
      </c>
      <c r="D60" s="37"/>
      <c r="E60" s="355"/>
      <c r="F60" s="37"/>
      <c r="G60" s="37"/>
      <c r="H60" s="37"/>
      <c r="I60" s="398"/>
      <c r="J60" s="37"/>
      <c r="K60" s="37"/>
      <c r="L60" s="37"/>
      <c r="M60" s="37"/>
      <c r="N60" s="37"/>
      <c r="O60" s="383"/>
      <c r="P60" s="232"/>
      <c r="Q60" s="37"/>
      <c r="R60" s="37"/>
      <c r="S60" s="37"/>
      <c r="T60" s="37"/>
      <c r="U60" s="37"/>
      <c r="V60" s="37"/>
      <c r="W60" s="37"/>
    </row>
    <row r="61" spans="1:23" ht="12.75" customHeight="1" x14ac:dyDescent="0.35">
      <c r="B61" s="377" t="s">
        <v>359</v>
      </c>
      <c r="C61" s="270">
        <f>'Response and Relief Act Score'!F8</f>
        <v>2</v>
      </c>
      <c r="D61" s="37"/>
      <c r="E61" s="355"/>
      <c r="F61" s="37"/>
      <c r="G61" s="37"/>
      <c r="H61" s="37"/>
      <c r="I61" s="37"/>
      <c r="J61" s="37"/>
      <c r="K61" s="37"/>
      <c r="L61" s="37"/>
      <c r="M61" s="37"/>
      <c r="N61" s="37"/>
      <c r="O61" s="37"/>
      <c r="P61" s="232"/>
      <c r="Q61" s="37"/>
      <c r="R61" s="37"/>
      <c r="S61" s="37"/>
      <c r="T61" s="37"/>
      <c r="U61" s="37"/>
      <c r="V61" s="37"/>
      <c r="W61" s="37"/>
    </row>
    <row r="62" spans="1:23" x14ac:dyDescent="0.35">
      <c r="A62" s="389"/>
      <c r="B62" s="386" t="s">
        <v>360</v>
      </c>
      <c r="C62" s="393">
        <f>SUM(C63:C67)</f>
        <v>549.11599999999999</v>
      </c>
      <c r="D62" s="37"/>
      <c r="E62" s="355"/>
      <c r="F62" s="37"/>
      <c r="G62" s="37"/>
      <c r="H62" s="37"/>
      <c r="I62" s="37"/>
      <c r="J62" s="37"/>
      <c r="K62" s="37"/>
      <c r="L62" s="37"/>
      <c r="M62" s="37"/>
      <c r="N62" s="37"/>
      <c r="P62" s="232"/>
      <c r="Q62" s="37"/>
      <c r="R62" s="37"/>
      <c r="S62" s="37"/>
      <c r="T62" s="37"/>
      <c r="U62" s="37"/>
      <c r="V62" s="37"/>
      <c r="W62" s="37"/>
    </row>
    <row r="63" spans="1:23" ht="16.399999999999999" customHeight="1" x14ac:dyDescent="0.35">
      <c r="A63" s="389"/>
      <c r="B63" s="388" t="s">
        <v>347</v>
      </c>
      <c r="C63" s="393">
        <f>'ARP Score'!AJ16</f>
        <v>362.04999999999995</v>
      </c>
      <c r="D63" s="37"/>
      <c r="E63" s="355"/>
      <c r="F63" s="37"/>
      <c r="G63" s="37"/>
      <c r="H63" s="37"/>
      <c r="I63" s="37"/>
      <c r="J63" s="37"/>
      <c r="K63" s="37"/>
      <c r="L63" s="37"/>
      <c r="M63" s="37"/>
      <c r="N63" s="37"/>
      <c r="O63" s="37"/>
      <c r="P63" s="232"/>
      <c r="Q63" s="37"/>
      <c r="R63" s="37"/>
      <c r="S63" s="37"/>
      <c r="T63" s="37"/>
      <c r="U63" s="37"/>
      <c r="V63" s="37"/>
      <c r="W63" s="37"/>
    </row>
    <row r="64" spans="1:23" ht="15" customHeight="1" x14ac:dyDescent="0.35">
      <c r="A64" s="1301"/>
      <c r="B64" s="388" t="s">
        <v>150</v>
      </c>
      <c r="C64" s="393">
        <f>'ARP Score'!AL16</f>
        <v>169.16899999999998</v>
      </c>
      <c r="D64" s="37"/>
      <c r="E64" s="355"/>
      <c r="F64" s="37"/>
      <c r="G64" s="37"/>
      <c r="H64" s="37"/>
      <c r="I64" s="37"/>
      <c r="J64" s="37"/>
      <c r="K64" s="37"/>
      <c r="L64" s="37"/>
      <c r="M64" s="37"/>
      <c r="N64" s="37"/>
      <c r="O64" s="37"/>
      <c r="P64" s="232"/>
      <c r="Q64" s="391"/>
      <c r="R64" s="37"/>
      <c r="S64" s="37"/>
      <c r="T64" s="37"/>
      <c r="U64" s="37"/>
      <c r="V64" s="37"/>
      <c r="W64" s="37"/>
    </row>
    <row r="65" spans="1:38" x14ac:dyDescent="0.35">
      <c r="A65" s="1301"/>
      <c r="B65" s="388" t="s">
        <v>152</v>
      </c>
      <c r="C65" s="393">
        <f>'ARP Score'!AK16</f>
        <v>8.5</v>
      </c>
      <c r="D65" s="37"/>
      <c r="E65" s="355"/>
      <c r="F65" s="37"/>
      <c r="G65" s="37"/>
      <c r="H65" s="37"/>
      <c r="I65" s="37"/>
      <c r="J65" s="37"/>
      <c r="K65" s="37"/>
      <c r="L65" s="37"/>
      <c r="M65" s="37"/>
      <c r="N65" s="37"/>
      <c r="O65" s="37"/>
      <c r="P65" s="232"/>
      <c r="Q65" s="37"/>
      <c r="R65" s="37"/>
      <c r="S65" s="37"/>
      <c r="T65" s="37"/>
      <c r="U65" s="37"/>
      <c r="V65" s="37"/>
      <c r="W65" s="37"/>
    </row>
    <row r="66" spans="1:38" ht="17.25" customHeight="1" x14ac:dyDescent="0.35">
      <c r="A66" s="389"/>
      <c r="B66" s="388" t="s">
        <v>363</v>
      </c>
      <c r="C66" s="393">
        <f>'ARP Score'!AM16</f>
        <v>0.79700000000000004</v>
      </c>
      <c r="D66" s="37"/>
      <c r="E66" s="355"/>
      <c r="F66" s="37"/>
      <c r="G66" s="37"/>
      <c r="H66" s="37"/>
      <c r="I66" s="37"/>
      <c r="J66" s="37"/>
      <c r="K66" s="37"/>
      <c r="L66" s="37"/>
      <c r="M66" s="37"/>
      <c r="N66" s="37"/>
      <c r="O66" s="37"/>
      <c r="P66" s="232"/>
      <c r="Q66" s="37"/>
      <c r="R66" s="37"/>
      <c r="S66" s="37"/>
      <c r="T66" s="37"/>
      <c r="U66" s="37"/>
      <c r="V66" s="37"/>
      <c r="W66" s="37"/>
    </row>
    <row r="67" spans="1:38" ht="17.25" customHeight="1" x14ac:dyDescent="0.35">
      <c r="A67" s="389"/>
      <c r="B67" s="390" t="s">
        <v>373</v>
      </c>
      <c r="C67" s="394">
        <f>'ARP Score'!AN16</f>
        <v>8.6</v>
      </c>
      <c r="D67" s="392"/>
      <c r="E67" s="380"/>
      <c r="F67" s="37"/>
      <c r="G67" s="37"/>
      <c r="H67" s="37"/>
      <c r="I67" s="37"/>
      <c r="J67" s="37"/>
      <c r="K67" s="37"/>
      <c r="L67" s="37"/>
      <c r="M67" s="37"/>
      <c r="N67" s="37"/>
      <c r="O67" s="37"/>
      <c r="P67" s="232"/>
      <c r="Q67" s="37"/>
      <c r="R67" s="37"/>
      <c r="S67" s="37"/>
      <c r="T67" s="37"/>
      <c r="U67" s="37"/>
      <c r="V67" s="37"/>
      <c r="W67" s="37"/>
    </row>
    <row r="68" spans="1:38" ht="17.25" customHeight="1" x14ac:dyDescent="0.35">
      <c r="B68" s="388"/>
      <c r="C68" s="56"/>
      <c r="D68" s="56"/>
      <c r="E68" s="56"/>
      <c r="F68" s="56"/>
      <c r="G68" s="56"/>
      <c r="H68" s="37"/>
      <c r="I68" s="37"/>
      <c r="J68" s="37"/>
      <c r="K68" s="37"/>
      <c r="L68" s="37"/>
      <c r="M68" s="37"/>
      <c r="N68" s="37"/>
      <c r="O68" s="37"/>
      <c r="P68" s="232"/>
      <c r="Q68" s="37"/>
      <c r="R68" s="37"/>
      <c r="S68" s="37"/>
      <c r="T68" s="37"/>
      <c r="U68" s="37"/>
      <c r="V68" s="37"/>
      <c r="W68" s="37"/>
      <c r="X68" s="37"/>
      <c r="Y68" s="37"/>
      <c r="Z68" s="37"/>
      <c r="AA68" s="37"/>
      <c r="AB68" s="37"/>
      <c r="AC68" s="37"/>
      <c r="AD68" s="37"/>
      <c r="AE68" s="37"/>
      <c r="AF68" s="37"/>
      <c r="AG68" s="37"/>
      <c r="AH68" s="37"/>
      <c r="AI68" s="37"/>
      <c r="AJ68" s="37"/>
      <c r="AK68" s="37"/>
      <c r="AL68" s="37"/>
    </row>
    <row r="69" spans="1:38" ht="17.25" customHeight="1" x14ac:dyDescent="0.35">
      <c r="B69" s="378" t="s">
        <v>374</v>
      </c>
      <c r="C69" s="56"/>
      <c r="D69" s="56"/>
      <c r="E69" s="56"/>
      <c r="F69" s="56"/>
      <c r="G69" s="56"/>
      <c r="H69" s="37"/>
      <c r="I69" s="37"/>
      <c r="J69" s="37"/>
      <c r="K69" s="37"/>
      <c r="L69" s="37"/>
      <c r="M69" s="37"/>
      <c r="N69" s="37"/>
      <c r="O69" s="37"/>
      <c r="P69" s="232"/>
      <c r="Q69" s="37"/>
      <c r="R69" s="37"/>
      <c r="S69" s="37"/>
      <c r="T69" s="37"/>
      <c r="U69" s="37"/>
      <c r="V69" s="37"/>
      <c r="W69" s="37"/>
      <c r="X69" s="37"/>
      <c r="Y69" s="37"/>
      <c r="Z69" s="37"/>
      <c r="AA69" s="37"/>
      <c r="AB69" s="37"/>
      <c r="AC69" s="37"/>
      <c r="AD69" s="37"/>
      <c r="AE69" s="37"/>
      <c r="AF69" s="37"/>
      <c r="AG69" s="37"/>
      <c r="AH69" s="37"/>
      <c r="AI69" s="37"/>
      <c r="AJ69" s="37"/>
      <c r="AK69" s="37"/>
      <c r="AL69" s="37"/>
    </row>
    <row r="70" spans="1:38" ht="14.9" customHeight="1" x14ac:dyDescent="0.35">
      <c r="B70" s="1276" t="s">
        <v>375</v>
      </c>
      <c r="C70" s="1277"/>
      <c r="D70" s="1280" t="s">
        <v>279</v>
      </c>
      <c r="E70" s="1290"/>
      <c r="F70" s="1290"/>
      <c r="G70" s="1290"/>
      <c r="H70" s="1290"/>
      <c r="I70" s="1290"/>
      <c r="J70" s="1290"/>
      <c r="K70" s="1290"/>
      <c r="L70" s="1290"/>
      <c r="M70" s="1290"/>
      <c r="N70" s="1290"/>
      <c r="O70" s="1290"/>
      <c r="P70" s="1290"/>
      <c r="Q70" s="1290"/>
      <c r="R70" s="1290"/>
      <c r="S70" s="1290"/>
      <c r="T70" s="1290"/>
      <c r="U70" s="1290"/>
      <c r="V70" s="1281"/>
      <c r="W70" s="1302" t="s">
        <v>280</v>
      </c>
      <c r="X70" s="1303"/>
      <c r="Y70" s="1303"/>
      <c r="Z70" s="1303"/>
      <c r="AA70" s="1303"/>
      <c r="AB70" s="1303"/>
      <c r="AC70" s="1303"/>
      <c r="AD70" s="1303"/>
      <c r="AE70" s="1303"/>
      <c r="AF70" s="1303"/>
      <c r="AG70" s="1304"/>
      <c r="AH70" s="237"/>
      <c r="AI70" s="237"/>
      <c r="AJ70" s="237"/>
      <c r="AK70" s="314"/>
      <c r="AL70" s="314"/>
    </row>
    <row r="71" spans="1:38" x14ac:dyDescent="0.35">
      <c r="B71" s="1278"/>
      <c r="C71" s="1279"/>
      <c r="D71" s="215">
        <v>2018</v>
      </c>
      <c r="E71" s="1282">
        <v>2019</v>
      </c>
      <c r="F71" s="1283"/>
      <c r="G71" s="1283"/>
      <c r="H71" s="1284"/>
      <c r="I71" s="1282">
        <v>2020</v>
      </c>
      <c r="J71" s="1283"/>
      <c r="K71" s="1283"/>
      <c r="L71" s="1283"/>
      <c r="M71" s="1282">
        <v>2021</v>
      </c>
      <c r="N71" s="1283"/>
      <c r="O71" s="1283"/>
      <c r="P71" s="1283"/>
      <c r="Q71" s="1299">
        <v>2022</v>
      </c>
      <c r="R71" s="1300"/>
      <c r="S71" s="284"/>
      <c r="T71" s="284"/>
      <c r="U71" s="238"/>
      <c r="V71" s="284">
        <v>2023</v>
      </c>
      <c r="W71" s="285"/>
      <c r="X71" s="257"/>
      <c r="Y71" s="1269">
        <v>2024</v>
      </c>
      <c r="Z71" s="1292"/>
      <c r="AA71" s="1292"/>
      <c r="AB71" s="1270"/>
      <c r="AC71" s="1268">
        <v>2025</v>
      </c>
      <c r="AD71" s="1269"/>
      <c r="AE71" s="1269"/>
      <c r="AF71" s="1270"/>
      <c r="AG71" s="1268">
        <v>2026</v>
      </c>
      <c r="AH71" s="1269"/>
      <c r="AI71" s="1269"/>
      <c r="AJ71" s="1270"/>
      <c r="AK71" s="239"/>
      <c r="AL71" s="239"/>
    </row>
    <row r="72" spans="1:38" x14ac:dyDescent="0.35">
      <c r="B72" s="1280"/>
      <c r="C72" s="1281"/>
      <c r="D72" s="212" t="s">
        <v>281</v>
      </c>
      <c r="E72" s="212" t="s">
        <v>282</v>
      </c>
      <c r="F72" s="213" t="s">
        <v>283</v>
      </c>
      <c r="G72" s="213" t="s">
        <v>238</v>
      </c>
      <c r="H72" s="214" t="s">
        <v>281</v>
      </c>
      <c r="I72" s="213" t="s">
        <v>282</v>
      </c>
      <c r="J72" s="213" t="s">
        <v>283</v>
      </c>
      <c r="K72" s="213" t="s">
        <v>238</v>
      </c>
      <c r="L72" s="213" t="s">
        <v>281</v>
      </c>
      <c r="M72" s="212" t="s">
        <v>282</v>
      </c>
      <c r="N72" s="213" t="s">
        <v>283</v>
      </c>
      <c r="O72" s="213" t="s">
        <v>238</v>
      </c>
      <c r="P72" s="213" t="s">
        <v>281</v>
      </c>
      <c r="Q72" s="212" t="s">
        <v>282</v>
      </c>
      <c r="R72" s="213" t="s">
        <v>283</v>
      </c>
      <c r="S72" s="213" t="s">
        <v>238</v>
      </c>
      <c r="T72" s="213" t="s">
        <v>281</v>
      </c>
      <c r="U72" s="281" t="s">
        <v>282</v>
      </c>
      <c r="V72" s="282" t="s">
        <v>283</v>
      </c>
      <c r="W72" s="267" t="s">
        <v>238</v>
      </c>
      <c r="X72" s="268" t="s">
        <v>281</v>
      </c>
      <c r="Y72" s="267" t="s">
        <v>282</v>
      </c>
      <c r="Z72" s="264" t="s">
        <v>283</v>
      </c>
      <c r="AA72" s="267" t="s">
        <v>238</v>
      </c>
      <c r="AB72" s="267" t="s">
        <v>281</v>
      </c>
      <c r="AC72" s="266" t="s">
        <v>282</v>
      </c>
      <c r="AD72" s="264" t="s">
        <v>283</v>
      </c>
      <c r="AE72" s="267" t="s">
        <v>238</v>
      </c>
      <c r="AF72" s="268" t="s">
        <v>281</v>
      </c>
      <c r="AG72" s="222" t="s">
        <v>282</v>
      </c>
      <c r="AH72" s="264" t="s">
        <v>283</v>
      </c>
      <c r="AI72" s="264" t="s">
        <v>238</v>
      </c>
      <c r="AJ72" s="287" t="s">
        <v>281</v>
      </c>
      <c r="AK72" s="57"/>
      <c r="AL72" s="57"/>
    </row>
    <row r="73" spans="1:38" ht="29.25" customHeight="1" x14ac:dyDescent="0.35">
      <c r="B73" s="351" t="s">
        <v>376</v>
      </c>
      <c r="C73" s="415"/>
      <c r="D73" s="352"/>
      <c r="E73" s="353"/>
      <c r="F73" s="353"/>
      <c r="G73" s="353"/>
      <c r="H73" s="354">
        <f t="shared" ref="H73:O73" si="30">SUM(H75:H83)</f>
        <v>208.815</v>
      </c>
      <c r="I73" s="354">
        <f t="shared" si="30"/>
        <v>212.11</v>
      </c>
      <c r="J73" s="354">
        <f t="shared" si="30"/>
        <v>321.19400000000007</v>
      </c>
      <c r="K73" s="354">
        <f t="shared" si="30"/>
        <v>295.41999999999996</v>
      </c>
      <c r="L73" s="354">
        <f t="shared" si="30"/>
        <v>293.01599999999996</v>
      </c>
      <c r="M73" s="354">
        <f t="shared" si="30"/>
        <v>318.27100000000007</v>
      </c>
      <c r="N73" s="354">
        <f t="shared" si="30"/>
        <v>354.85400000000004</v>
      </c>
      <c r="O73" s="354">
        <f t="shared" si="30"/>
        <v>373.11799999999988</v>
      </c>
      <c r="P73" s="431">
        <f>SUM(P75:P84)</f>
        <v>399.43985199999997</v>
      </c>
      <c r="Q73" s="354">
        <f>SUM(Q75:Q84)</f>
        <v>430.7982748</v>
      </c>
      <c r="R73" s="354">
        <f>SUM(R75:R84)</f>
        <v>500.33303199999995</v>
      </c>
      <c r="S73" s="354">
        <f>SUM(S75:S84)</f>
        <v>483.13586799999996</v>
      </c>
      <c r="T73" s="372">
        <f t="shared" ref="T73:AF73" si="31">SUM(T75:T84)</f>
        <v>450.110928</v>
      </c>
      <c r="U73" s="323">
        <f>SUM(U75:U84)</f>
        <v>441.01454320000011</v>
      </c>
      <c r="V73" s="323">
        <f>SUM(V75:V84)</f>
        <v>433.78172000000006</v>
      </c>
      <c r="W73" s="323">
        <f>SUM(W75:W84)</f>
        <v>417.68194400000004</v>
      </c>
      <c r="X73" s="323">
        <f t="shared" si="31"/>
        <v>432.29994399999998</v>
      </c>
      <c r="Y73" s="409">
        <f t="shared" si="31"/>
        <v>434.70694400000002</v>
      </c>
      <c r="Z73" s="409">
        <f t="shared" si="31"/>
        <v>440.59710899999999</v>
      </c>
      <c r="AA73" s="409">
        <f t="shared" si="31"/>
        <v>461.9273300000001</v>
      </c>
      <c r="AB73" s="409">
        <f t="shared" si="31"/>
        <v>467.08702588368681</v>
      </c>
      <c r="AC73" s="330">
        <f t="shared" si="31"/>
        <v>450.66879697830359</v>
      </c>
      <c r="AD73" s="330">
        <f t="shared" si="31"/>
        <v>446.4122085701693</v>
      </c>
      <c r="AE73" s="330">
        <f>SUM(AE75:AE84)</f>
        <v>449.361288</v>
      </c>
      <c r="AF73" s="330">
        <f t="shared" si="31"/>
        <v>448.45372699103427</v>
      </c>
      <c r="AG73" s="328">
        <f>SUM(AG75:AG84)</f>
        <v>451.58735077743574</v>
      </c>
      <c r="AH73" s="328">
        <f>SUM(AH75:AH84)</f>
        <v>451.94885143297614</v>
      </c>
      <c r="AI73" s="328">
        <f>SUM(AI75:AI84)</f>
        <v>456.14453320000007</v>
      </c>
      <c r="AJ73" s="328">
        <f>SUM(AJ75:AJ84)</f>
        <v>458.3717033186756</v>
      </c>
      <c r="AK73" s="342"/>
      <c r="AL73" s="342"/>
    </row>
    <row r="74" spans="1:38" ht="19.399999999999999" customHeight="1" x14ac:dyDescent="0.35">
      <c r="B74" s="423" t="s">
        <v>377</v>
      </c>
      <c r="C74" s="231"/>
      <c r="D74" s="270"/>
      <c r="E74" s="231"/>
      <c r="F74" s="231"/>
      <c r="G74" s="231"/>
      <c r="H74" s="323"/>
      <c r="I74" s="323"/>
      <c r="J74" s="323"/>
      <c r="K74" s="323"/>
      <c r="L74" s="323"/>
      <c r="M74" s="323"/>
      <c r="N74" s="323"/>
      <c r="O74" s="323"/>
      <c r="P74" s="227"/>
      <c r="Q74" s="323"/>
      <c r="R74" s="323"/>
      <c r="S74" s="323"/>
      <c r="T74" s="323"/>
      <c r="U74" s="323"/>
      <c r="V74" s="323"/>
      <c r="W74" s="323"/>
      <c r="X74" s="323"/>
      <c r="Y74" s="331"/>
      <c r="Z74" s="331"/>
      <c r="AA74" s="331"/>
      <c r="AB74" s="331"/>
      <c r="AC74" s="331"/>
      <c r="AD74" s="331"/>
      <c r="AE74" s="331"/>
      <c r="AF74" s="331"/>
      <c r="AG74" s="331"/>
      <c r="AH74" s="331"/>
      <c r="AI74" s="331"/>
      <c r="AJ74" s="331"/>
      <c r="AK74" s="342"/>
      <c r="AL74" s="342"/>
    </row>
    <row r="75" spans="1:38" x14ac:dyDescent="0.35">
      <c r="B75" s="362" t="s">
        <v>152</v>
      </c>
      <c r="C75" s="36"/>
      <c r="D75" s="358"/>
      <c r="E75" s="36"/>
      <c r="F75" s="36"/>
      <c r="G75" s="36"/>
      <c r="H75" s="323"/>
      <c r="I75" s="323"/>
      <c r="J75" s="323">
        <f t="shared" ref="J75:AG75" si="32">J14</f>
        <v>64.400000000000006</v>
      </c>
      <c r="K75" s="323">
        <f t="shared" si="32"/>
        <v>23.4</v>
      </c>
      <c r="L75" s="323">
        <f t="shared" si="32"/>
        <v>13.8</v>
      </c>
      <c r="M75" s="323">
        <f t="shared" si="32"/>
        <v>12</v>
      </c>
      <c r="N75" s="323">
        <f t="shared" si="32"/>
        <v>7.5</v>
      </c>
      <c r="O75" s="323">
        <f t="shared" si="32"/>
        <v>10.5</v>
      </c>
      <c r="P75" s="227">
        <f t="shared" si="32"/>
        <v>18</v>
      </c>
      <c r="Q75" s="323">
        <f t="shared" si="32"/>
        <v>15</v>
      </c>
      <c r="R75" s="323">
        <f t="shared" si="32"/>
        <v>11.2</v>
      </c>
      <c r="S75" s="323">
        <f t="shared" si="32"/>
        <v>7.5</v>
      </c>
      <c r="T75" s="323">
        <f t="shared" si="32"/>
        <v>6.2</v>
      </c>
      <c r="U75" s="323">
        <f t="shared" si="32"/>
        <v>0</v>
      </c>
      <c r="V75" s="323">
        <f t="shared" si="32"/>
        <v>0</v>
      </c>
      <c r="W75" s="323">
        <f t="shared" si="32"/>
        <v>0</v>
      </c>
      <c r="X75" s="323">
        <f t="shared" si="32"/>
        <v>0</v>
      </c>
      <c r="Y75" s="331">
        <f t="shared" si="32"/>
        <v>0</v>
      </c>
      <c r="Z75" s="331">
        <f t="shared" si="32"/>
        <v>0</v>
      </c>
      <c r="AA75" s="331">
        <f t="shared" si="32"/>
        <v>0</v>
      </c>
      <c r="AB75" s="331">
        <f t="shared" si="32"/>
        <v>0</v>
      </c>
      <c r="AC75" s="331">
        <f t="shared" si="32"/>
        <v>0</v>
      </c>
      <c r="AD75" s="331">
        <f t="shared" si="32"/>
        <v>0</v>
      </c>
      <c r="AE75" s="331">
        <f t="shared" si="32"/>
        <v>0</v>
      </c>
      <c r="AF75" s="331">
        <f t="shared" si="32"/>
        <v>0</v>
      </c>
      <c r="AG75" s="331">
        <f t="shared" si="32"/>
        <v>0</v>
      </c>
      <c r="AH75" s="331">
        <f t="shared" ref="AH75:AI75" si="33">AH14</f>
        <v>0</v>
      </c>
      <c r="AI75" s="331">
        <f t="shared" si="33"/>
        <v>0</v>
      </c>
      <c r="AJ75" s="331">
        <f t="shared" ref="AJ75" si="34">AJ14</f>
        <v>0</v>
      </c>
      <c r="AK75" s="323"/>
      <c r="AL75" s="323"/>
    </row>
    <row r="76" spans="1:38" x14ac:dyDescent="0.35">
      <c r="B76" s="362" t="s">
        <v>342</v>
      </c>
      <c r="C76" s="36"/>
      <c r="D76" s="358"/>
      <c r="E76" s="36"/>
      <c r="F76" s="36"/>
      <c r="G76" s="36"/>
      <c r="H76" s="323"/>
      <c r="I76" s="323"/>
      <c r="J76" s="323"/>
      <c r="K76" s="323"/>
      <c r="L76" s="323"/>
      <c r="M76" s="323">
        <f>M28</f>
        <v>9.6666666666666661</v>
      </c>
      <c r="N76" s="323">
        <f t="shared" ref="N76:AC76" si="35">N28</f>
        <v>9.6666666666666661</v>
      </c>
      <c r="O76" s="323">
        <f t="shared" si="35"/>
        <v>9.6666666666666661</v>
      </c>
      <c r="P76" s="227">
        <f t="shared" si="35"/>
        <v>9.6666666666666661</v>
      </c>
      <c r="Q76" s="323">
        <f>Q28</f>
        <v>9.6666666666666661</v>
      </c>
      <c r="R76" s="323">
        <f>R28</f>
        <v>9.6666666666666661</v>
      </c>
      <c r="S76" s="323">
        <f>S28</f>
        <v>9.6666666666666661</v>
      </c>
      <c r="T76" s="323">
        <f t="shared" si="35"/>
        <v>9.6666666666666661</v>
      </c>
      <c r="U76" s="323">
        <f t="shared" si="35"/>
        <v>9.6666666666666661</v>
      </c>
      <c r="V76" s="323">
        <f t="shared" si="35"/>
        <v>9.6666666666666661</v>
      </c>
      <c r="W76" s="323">
        <f t="shared" si="35"/>
        <v>9.6666666666666661</v>
      </c>
      <c r="X76" s="323">
        <f t="shared" si="35"/>
        <v>9.6666666666666661</v>
      </c>
      <c r="Y76" s="331">
        <f t="shared" si="35"/>
        <v>0</v>
      </c>
      <c r="Z76" s="331">
        <f t="shared" si="35"/>
        <v>0</v>
      </c>
      <c r="AA76" s="331">
        <f t="shared" si="35"/>
        <v>0</v>
      </c>
      <c r="AB76" s="331">
        <f t="shared" si="35"/>
        <v>0</v>
      </c>
      <c r="AC76" s="331">
        <f t="shared" si="35"/>
        <v>0</v>
      </c>
      <c r="AD76" s="331">
        <f t="shared" ref="AD76:AG76" si="36">AD28</f>
        <v>0</v>
      </c>
      <c r="AE76" s="331">
        <f t="shared" si="36"/>
        <v>0</v>
      </c>
      <c r="AF76" s="331">
        <f t="shared" si="36"/>
        <v>0</v>
      </c>
      <c r="AG76" s="331">
        <f t="shared" si="36"/>
        <v>0</v>
      </c>
      <c r="AH76" s="331">
        <f t="shared" ref="AH76:AI76" si="37">AH28</f>
        <v>0</v>
      </c>
      <c r="AI76" s="331">
        <f t="shared" si="37"/>
        <v>0</v>
      </c>
      <c r="AJ76" s="331">
        <f t="shared" ref="AJ76" si="38">AJ28</f>
        <v>0</v>
      </c>
      <c r="AK76" s="323"/>
      <c r="AL76" s="323"/>
    </row>
    <row r="77" spans="1:38" x14ac:dyDescent="0.35">
      <c r="B77" s="362" t="s">
        <v>378</v>
      </c>
      <c r="C77" s="36"/>
      <c r="D77" s="358"/>
      <c r="E77" s="36"/>
      <c r="F77" s="36"/>
      <c r="G77" s="36"/>
      <c r="H77" s="323"/>
      <c r="I77" s="323"/>
      <c r="J77" s="323"/>
      <c r="K77" s="323"/>
      <c r="L77" s="323"/>
      <c r="M77" s="323">
        <f t="shared" ref="M77:AG77" si="39">M16</f>
        <v>12</v>
      </c>
      <c r="N77" s="323">
        <f t="shared" si="39"/>
        <v>12</v>
      </c>
      <c r="O77" s="323">
        <f t="shared" si="39"/>
        <v>12</v>
      </c>
      <c r="P77" s="227">
        <f t="shared" si="39"/>
        <v>12</v>
      </c>
      <c r="Q77" s="323">
        <f t="shared" si="39"/>
        <v>12</v>
      </c>
      <c r="R77" s="323">
        <f t="shared" si="39"/>
        <v>12</v>
      </c>
      <c r="S77" s="323">
        <f t="shared" si="39"/>
        <v>12</v>
      </c>
      <c r="T77" s="323">
        <f t="shared" si="39"/>
        <v>12</v>
      </c>
      <c r="U77" s="323">
        <f t="shared" si="39"/>
        <v>12</v>
      </c>
      <c r="V77" s="323">
        <f t="shared" si="39"/>
        <v>12</v>
      </c>
      <c r="W77" s="323">
        <f t="shared" si="39"/>
        <v>12</v>
      </c>
      <c r="X77" s="323">
        <f t="shared" si="39"/>
        <v>12</v>
      </c>
      <c r="Y77" s="331">
        <f t="shared" si="39"/>
        <v>0</v>
      </c>
      <c r="Z77" s="331">
        <f t="shared" si="39"/>
        <v>0</v>
      </c>
      <c r="AA77" s="331">
        <f t="shared" si="39"/>
        <v>0</v>
      </c>
      <c r="AB77" s="331">
        <f t="shared" si="39"/>
        <v>0</v>
      </c>
      <c r="AC77" s="331">
        <f t="shared" si="39"/>
        <v>0</v>
      </c>
      <c r="AD77" s="331">
        <f t="shared" si="39"/>
        <v>0</v>
      </c>
      <c r="AE77" s="331">
        <f t="shared" si="39"/>
        <v>0</v>
      </c>
      <c r="AF77" s="331">
        <f t="shared" si="39"/>
        <v>0</v>
      </c>
      <c r="AG77" s="331">
        <f t="shared" si="39"/>
        <v>0</v>
      </c>
      <c r="AH77" s="331">
        <f t="shared" ref="AH77:AI77" si="40">AH16</f>
        <v>0</v>
      </c>
      <c r="AI77" s="331">
        <f t="shared" si="40"/>
        <v>0</v>
      </c>
      <c r="AJ77" s="331">
        <f t="shared" ref="AJ77" si="41">AJ16</f>
        <v>0</v>
      </c>
      <c r="AK77" s="323"/>
      <c r="AL77" s="323"/>
    </row>
    <row r="78" spans="1:38" x14ac:dyDescent="0.35">
      <c r="B78" s="362" t="s">
        <v>379</v>
      </c>
      <c r="C78" s="36"/>
      <c r="D78" s="358"/>
      <c r="E78" s="36"/>
      <c r="F78" s="36"/>
      <c r="G78" s="36"/>
      <c r="H78" s="39">
        <f t="shared" ref="H78:AH78" si="42">H20</f>
        <v>208.815</v>
      </c>
      <c r="I78" s="39">
        <f t="shared" si="42"/>
        <v>212.11</v>
      </c>
      <c r="J78" s="39">
        <f t="shared" si="42"/>
        <v>193.39400000000012</v>
      </c>
      <c r="K78" s="39">
        <f t="shared" si="42"/>
        <v>211.21999999999997</v>
      </c>
      <c r="L78" s="39">
        <f t="shared" si="42"/>
        <v>219.01599999999996</v>
      </c>
      <c r="M78" s="39">
        <f t="shared" si="42"/>
        <v>215.70433333333341</v>
      </c>
      <c r="N78" s="39">
        <f t="shared" si="42"/>
        <v>218.08733333333339</v>
      </c>
      <c r="O78" s="39">
        <f t="shared" si="42"/>
        <v>220.25133333333321</v>
      </c>
      <c r="P78" s="321">
        <f t="shared" si="42"/>
        <v>247.95233333333329</v>
      </c>
      <c r="Q78" s="39">
        <f t="shared" si="42"/>
        <v>245.7353333333333</v>
      </c>
      <c r="R78" s="39">
        <f t="shared" si="42"/>
        <v>262.2163333333333</v>
      </c>
      <c r="S78" s="39">
        <f t="shared" si="42"/>
        <v>256.37333333333328</v>
      </c>
      <c r="T78" s="39">
        <f t="shared" si="42"/>
        <v>227.63733333333334</v>
      </c>
      <c r="U78" s="349">
        <f t="shared" si="42"/>
        <v>238.22800000000012</v>
      </c>
      <c r="V78" s="39">
        <f t="shared" si="42"/>
        <v>232.20100000000008</v>
      </c>
      <c r="W78" s="39">
        <f t="shared" si="42"/>
        <v>222.80400000000003</v>
      </c>
      <c r="X78" s="39">
        <f t="shared" si="42"/>
        <v>247.81200000000001</v>
      </c>
      <c r="Y78" s="332">
        <f t="shared" si="42"/>
        <v>265.71900000000005</v>
      </c>
      <c r="Z78" s="332">
        <f t="shared" si="42"/>
        <v>283.38900000000001</v>
      </c>
      <c r="AA78" s="332">
        <f t="shared" si="42"/>
        <v>302.80900000000008</v>
      </c>
      <c r="AB78" s="332">
        <f t="shared" si="42"/>
        <v>305.7927001836868</v>
      </c>
      <c r="AC78" s="332">
        <f t="shared" si="42"/>
        <v>308.80579997830358</v>
      </c>
      <c r="AD78" s="332">
        <f t="shared" si="42"/>
        <v>311.84858907016934</v>
      </c>
      <c r="AE78" s="332">
        <f t="shared" si="42"/>
        <v>314.92136000000005</v>
      </c>
      <c r="AF78" s="332">
        <f t="shared" si="42"/>
        <v>318.02440819103424</v>
      </c>
      <c r="AG78" s="332">
        <f t="shared" si="42"/>
        <v>321.15803197743571</v>
      </c>
      <c r="AH78" s="332">
        <f t="shared" si="42"/>
        <v>324.32253263297611</v>
      </c>
      <c r="AI78" s="332">
        <f t="shared" ref="AI78:AJ78" si="43">AI20</f>
        <v>327.51821440000003</v>
      </c>
      <c r="AJ78" s="332">
        <f t="shared" si="43"/>
        <v>330.74538451867556</v>
      </c>
      <c r="AK78" s="39"/>
      <c r="AL78" s="39"/>
    </row>
    <row r="79" spans="1:38" x14ac:dyDescent="0.35">
      <c r="B79" s="362" t="s">
        <v>1184</v>
      </c>
      <c r="C79" s="36"/>
      <c r="D79" s="358"/>
      <c r="E79" s="36"/>
      <c r="F79" s="36"/>
      <c r="G79" s="36"/>
      <c r="H79" s="39"/>
      <c r="I79" s="39"/>
      <c r="J79" s="39"/>
      <c r="K79" s="39"/>
      <c r="L79" s="39"/>
      <c r="M79" s="39"/>
      <c r="N79" s="39"/>
      <c r="O79" s="39"/>
      <c r="P79" s="321"/>
      <c r="Q79" s="39"/>
      <c r="R79" s="39"/>
      <c r="S79" s="325">
        <f>'IRA and CHIPS'!E184</f>
        <v>0</v>
      </c>
      <c r="T79" s="325">
        <f>'IRA and CHIPS'!F184</f>
        <v>6.8000000000000005E-2</v>
      </c>
      <c r="U79" s="325">
        <f>'IRA and CHIPS'!G184</f>
        <v>6.8000000000000005E-2</v>
      </c>
      <c r="V79" s="325">
        <f>'IRA and CHIPS'!H184</f>
        <v>6.8000000000000005E-2</v>
      </c>
      <c r="W79" s="325">
        <f>'IRA and CHIPS'!I184</f>
        <v>6.8000000000000005E-2</v>
      </c>
      <c r="X79" s="325">
        <f>'IRA and CHIPS'!J184</f>
        <v>1.363</v>
      </c>
      <c r="Y79" s="344">
        <f>'IRA and CHIPS'!K184</f>
        <v>1.363</v>
      </c>
      <c r="Z79" s="344">
        <f>'IRA and CHIPS'!L184</f>
        <v>1.363</v>
      </c>
      <c r="AA79" s="344">
        <f>'IRA and CHIPS'!M184</f>
        <v>1.363</v>
      </c>
      <c r="AB79" s="344">
        <f>'IRA and CHIPS'!N184</f>
        <v>2.4329999999999998</v>
      </c>
      <c r="AC79" s="344">
        <f>'IRA and CHIPS'!O184</f>
        <v>2.4329999999999998</v>
      </c>
      <c r="AD79" s="344">
        <f>'IRA and CHIPS'!P184</f>
        <v>2.4329999999999998</v>
      </c>
      <c r="AE79" s="344">
        <f>'IRA and CHIPS'!Q184</f>
        <v>2.4329999999999998</v>
      </c>
      <c r="AF79" s="344">
        <f>'IRA and CHIPS'!R184</f>
        <v>2.8029999999999999</v>
      </c>
      <c r="AG79" s="344">
        <f>'IRA and CHIPS'!S184</f>
        <v>2.8029999999999999</v>
      </c>
      <c r="AH79" s="344"/>
      <c r="AI79" s="344">
        <f>'IRA and CHIPS'!U184</f>
        <v>0</v>
      </c>
      <c r="AJ79" s="344"/>
      <c r="AK79" s="39"/>
      <c r="AL79" s="39"/>
    </row>
    <row r="80" spans="1:38" ht="14.9" customHeight="1" x14ac:dyDescent="0.35">
      <c r="B80" s="401" t="s">
        <v>380</v>
      </c>
      <c r="C80" s="36"/>
      <c r="D80" s="358"/>
      <c r="E80" s="36"/>
      <c r="F80" s="36"/>
      <c r="G80" s="36"/>
      <c r="H80" s="323"/>
      <c r="I80" s="323"/>
      <c r="J80" s="323"/>
      <c r="K80" s="323"/>
      <c r="L80" s="323"/>
      <c r="M80" s="323"/>
      <c r="N80" s="323"/>
      <c r="O80" s="323"/>
      <c r="P80" s="227"/>
      <c r="Q80" s="323"/>
      <c r="R80" s="323"/>
      <c r="S80" s="323"/>
      <c r="T80" s="323"/>
      <c r="U80" s="323"/>
      <c r="V80" s="323"/>
      <c r="W80" s="323"/>
      <c r="X80" s="323"/>
      <c r="Y80" s="331"/>
      <c r="Z80" s="331"/>
      <c r="AA80" s="331"/>
      <c r="AB80" s="331"/>
      <c r="AC80" s="331"/>
      <c r="AD80" s="331"/>
      <c r="AE80" s="331"/>
      <c r="AF80" s="331"/>
      <c r="AG80" s="331"/>
      <c r="AH80" s="331"/>
      <c r="AI80" s="331"/>
      <c r="AJ80" s="331"/>
      <c r="AK80" s="323"/>
      <c r="AL80" s="323"/>
    </row>
    <row r="81" spans="2:38" ht="14.9" customHeight="1" x14ac:dyDescent="0.35">
      <c r="B81" s="362" t="s">
        <v>150</v>
      </c>
      <c r="C81" s="36"/>
      <c r="D81" s="358"/>
      <c r="E81" s="36"/>
      <c r="F81" s="36"/>
      <c r="G81" s="36"/>
      <c r="H81" s="323"/>
      <c r="I81" s="323"/>
      <c r="J81" s="323">
        <f t="shared" ref="J81:Y81" si="44">J13</f>
        <v>28.4</v>
      </c>
      <c r="K81" s="323">
        <f t="shared" si="44"/>
        <v>15.8</v>
      </c>
      <c r="L81" s="323">
        <f t="shared" si="44"/>
        <v>15.2</v>
      </c>
      <c r="M81" s="323">
        <f t="shared" si="44"/>
        <v>28.9</v>
      </c>
      <c r="N81" s="323">
        <f t="shared" si="44"/>
        <v>67.599999999999994</v>
      </c>
      <c r="O81" s="323">
        <f t="shared" si="44"/>
        <v>80.7</v>
      </c>
      <c r="P81" s="227">
        <f t="shared" si="44"/>
        <v>87.2</v>
      </c>
      <c r="Q81" s="323">
        <f t="shared" si="44"/>
        <v>72.400000000000006</v>
      </c>
      <c r="R81" s="323">
        <f t="shared" si="44"/>
        <v>85.9</v>
      </c>
      <c r="S81" s="323">
        <f t="shared" si="44"/>
        <v>68.3</v>
      </c>
      <c r="T81" s="323">
        <f t="shared" si="44"/>
        <v>64</v>
      </c>
      <c r="U81" s="323">
        <f t="shared" si="44"/>
        <v>60.929333333333297</v>
      </c>
      <c r="V81" s="323">
        <f t="shared" si="44"/>
        <v>60.929333333333297</v>
      </c>
      <c r="W81" s="323">
        <f t="shared" si="44"/>
        <v>60.929333333333297</v>
      </c>
      <c r="X81" s="323">
        <f t="shared" si="44"/>
        <v>54.244333333333302</v>
      </c>
      <c r="Y81" s="330">
        <f t="shared" si="44"/>
        <v>50.911000000000001</v>
      </c>
      <c r="Z81" s="331">
        <f>Z25+Z29+'ARP Quarterly'!P28</f>
        <v>44.428388999999996</v>
      </c>
      <c r="AA81" s="331">
        <f>AA25+AA29+'ARP Quarterly'!Q28</f>
        <v>46.338610000000003</v>
      </c>
      <c r="AB81" s="331">
        <f>AB25+AB29+'ARP Quarterly'!R28</f>
        <v>47.279744500000007</v>
      </c>
      <c r="AC81" s="331">
        <f>AC25+AC29+'ARP Quarterly'!S28</f>
        <v>46.283419000000009</v>
      </c>
      <c r="AD81" s="331">
        <f>AD25+AD29+'ARP Quarterly'!T28</f>
        <v>45.578489500000011</v>
      </c>
      <c r="AE81" s="331">
        <f>AE25+AE29+'ARP Quarterly'!U28</f>
        <v>45.454798000000011</v>
      </c>
      <c r="AF81" s="331">
        <f>AF25+AF29+'ARP Quarterly'!V28</f>
        <v>45.360580000000013</v>
      </c>
      <c r="AG81" s="328">
        <f>AF81</f>
        <v>45.360580000000013</v>
      </c>
      <c r="AH81" s="328">
        <f>AG81</f>
        <v>45.360580000000013</v>
      </c>
      <c r="AI81" s="328">
        <f>AH81</f>
        <v>45.360580000000013</v>
      </c>
      <c r="AJ81" s="328">
        <f>AI81</f>
        <v>45.360580000000013</v>
      </c>
      <c r="AK81" s="343"/>
      <c r="AL81" s="323"/>
    </row>
    <row r="82" spans="2:38" x14ac:dyDescent="0.35">
      <c r="B82" s="362" t="s">
        <v>149</v>
      </c>
      <c r="C82" s="39"/>
      <c r="D82" s="427"/>
      <c r="E82" s="39"/>
      <c r="F82" s="39"/>
      <c r="G82" s="39"/>
      <c r="H82" s="323"/>
      <c r="I82" s="323"/>
      <c r="J82" s="323">
        <v>35</v>
      </c>
      <c r="K82" s="323">
        <v>45</v>
      </c>
      <c r="L82" s="323">
        <v>45</v>
      </c>
      <c r="M82" s="323">
        <v>40</v>
      </c>
      <c r="N82" s="323">
        <v>40</v>
      </c>
      <c r="O82" s="323">
        <v>40</v>
      </c>
      <c r="P82" s="227">
        <v>40</v>
      </c>
      <c r="Q82" s="323">
        <v>50</v>
      </c>
      <c r="R82" s="323">
        <v>50</v>
      </c>
      <c r="S82" s="323">
        <v>50</v>
      </c>
      <c r="T82" s="323">
        <v>50</v>
      </c>
      <c r="U82" s="350">
        <v>40</v>
      </c>
      <c r="V82" s="323">
        <v>30</v>
      </c>
      <c r="W82" s="323">
        <v>20</v>
      </c>
      <c r="X82" s="323">
        <v>15</v>
      </c>
      <c r="Y82" s="331">
        <v>10</v>
      </c>
      <c r="Z82" s="331">
        <v>0</v>
      </c>
      <c r="AA82" s="331">
        <v>0</v>
      </c>
      <c r="AB82" s="331">
        <v>0</v>
      </c>
      <c r="AC82" s="331">
        <v>0</v>
      </c>
      <c r="AD82" s="331">
        <v>0</v>
      </c>
      <c r="AE82" s="331">
        <v>0</v>
      </c>
      <c r="AF82" s="331">
        <v>0</v>
      </c>
      <c r="AG82" s="331">
        <v>0</v>
      </c>
      <c r="AH82" s="331"/>
      <c r="AI82" s="331">
        <v>1</v>
      </c>
      <c r="AJ82" s="331"/>
      <c r="AK82" s="316"/>
    </row>
    <row r="83" spans="2:38" ht="28.5" customHeight="1" x14ac:dyDescent="0.35">
      <c r="B83" s="375" t="s">
        <v>381</v>
      </c>
      <c r="C83" s="387"/>
      <c r="D83" s="358"/>
      <c r="E83" s="36"/>
      <c r="F83" s="36"/>
      <c r="G83" s="36"/>
      <c r="H83" s="323"/>
      <c r="I83" s="323"/>
      <c r="J83" s="323"/>
      <c r="K83" s="323"/>
      <c r="L83" s="323"/>
      <c r="M83" s="323"/>
      <c r="N83" s="323">
        <f>'ARP Quarterly'!D47</f>
        <v>0</v>
      </c>
      <c r="O83" s="323">
        <f>'ARP Quarterly'!E47</f>
        <v>0</v>
      </c>
      <c r="P83" s="227">
        <f>'ARP Quarterly'!F47</f>
        <v>34.620851999999999</v>
      </c>
      <c r="Q83" s="323">
        <f>'ARP Quarterly'!G47</f>
        <v>50.996274799999995</v>
      </c>
      <c r="R83" s="323">
        <f>'ARP Quarterly'!H47</f>
        <v>69.350031999999999</v>
      </c>
      <c r="S83" s="323">
        <f>'ARP Quarterly'!I47</f>
        <v>79.295867999999999</v>
      </c>
      <c r="T83" s="323">
        <f>'ARP Quarterly'!J47</f>
        <v>80.538927999999999</v>
      </c>
      <c r="U83" s="323">
        <f>'ARP Quarterly'!K47</f>
        <v>80.122543199999996</v>
      </c>
      <c r="V83" s="323">
        <f>'ARP Quarterly'!L47</f>
        <v>88.916719999999998</v>
      </c>
      <c r="W83" s="324">
        <f>'ARP Quarterly'!M47</f>
        <v>92.213943999999998</v>
      </c>
      <c r="X83" s="324">
        <f>'ARP Quarterly'!N47</f>
        <v>92.213943999999998</v>
      </c>
      <c r="Y83" s="412">
        <f>'ARP Quarterly'!O47</f>
        <v>94.213943999999998</v>
      </c>
      <c r="Z83" s="412">
        <f>'ARP Quarterly'!P47</f>
        <v>98.916719999999998</v>
      </c>
      <c r="AA83" s="412">
        <f>'ARP Quarterly'!Q47</f>
        <v>98.916719999999998</v>
      </c>
      <c r="AB83" s="412">
        <f>'ARP Quarterly'!R47</f>
        <v>99.081581199999988</v>
      </c>
      <c r="AC83" s="331">
        <f>'ARP Quarterly'!S47</f>
        <v>93.146578000000005</v>
      </c>
      <c r="AD83" s="331">
        <f>'ARP Quarterly'!T47</f>
        <v>86.552129999999991</v>
      </c>
      <c r="AE83" s="331">
        <f>'ARP Quarterly'!U47</f>
        <v>86.552129999999991</v>
      </c>
      <c r="AF83" s="331">
        <f>'ARP Quarterly'!V47</f>
        <v>82.265738799999994</v>
      </c>
      <c r="AG83" s="328">
        <f>AF83</f>
        <v>82.265738799999994</v>
      </c>
      <c r="AH83" s="328">
        <f>AG83</f>
        <v>82.265738799999994</v>
      </c>
      <c r="AI83" s="328">
        <f>AH83</f>
        <v>82.265738799999994</v>
      </c>
      <c r="AJ83" s="328">
        <f>AI83</f>
        <v>82.265738799999994</v>
      </c>
      <c r="AK83" s="400"/>
    </row>
    <row r="84" spans="2:38" ht="55.4" customHeight="1" x14ac:dyDescent="0.35">
      <c r="B84" s="381" t="s">
        <v>828</v>
      </c>
      <c r="C84" s="382"/>
      <c r="D84" s="356"/>
      <c r="E84" s="357"/>
      <c r="F84" s="357"/>
      <c r="G84" s="357"/>
      <c r="H84" s="357"/>
      <c r="I84" s="382"/>
      <c r="J84" s="382"/>
      <c r="K84" s="382"/>
      <c r="L84" s="382"/>
      <c r="M84" s="382"/>
      <c r="N84" s="382"/>
      <c r="O84" s="382"/>
      <c r="P84" s="382">
        <v>-50</v>
      </c>
      <c r="Q84" s="382">
        <v>-25</v>
      </c>
      <c r="R84" s="382"/>
      <c r="S84" s="382"/>
      <c r="T84" s="382"/>
      <c r="U84" s="428"/>
      <c r="V84" s="357"/>
      <c r="W84" s="382"/>
      <c r="X84" s="382"/>
      <c r="Y84" s="382">
        <v>12.5</v>
      </c>
      <c r="Z84" s="382">
        <v>12.5</v>
      </c>
      <c r="AA84" s="382">
        <v>12.5</v>
      </c>
      <c r="AB84" s="382">
        <v>12.5</v>
      </c>
      <c r="AC84" s="428"/>
      <c r="AD84" s="239"/>
      <c r="AE84" s="239"/>
      <c r="AF84" s="239"/>
      <c r="AG84" s="239"/>
      <c r="AH84" s="239"/>
      <c r="AI84" s="239"/>
      <c r="AJ84" s="239"/>
    </row>
    <row r="85" spans="2:38" x14ac:dyDescent="0.35">
      <c r="B85" s="279"/>
      <c r="C85" s="239"/>
      <c r="D85" s="239"/>
      <c r="E85" s="239"/>
      <c r="F85" s="239"/>
      <c r="G85" s="239"/>
      <c r="H85" s="239"/>
      <c r="I85" s="239"/>
      <c r="J85" s="239"/>
      <c r="K85" s="239"/>
      <c r="L85" s="239"/>
      <c r="M85" s="239"/>
      <c r="Z85" s="239"/>
      <c r="AA85" s="239"/>
      <c r="AB85" s="239"/>
      <c r="AC85" s="239"/>
      <c r="AD85" s="239"/>
      <c r="AE85" s="239"/>
      <c r="AF85" s="239"/>
      <c r="AG85" s="239"/>
      <c r="AH85" s="239"/>
      <c r="AI85" s="239"/>
      <c r="AJ85" s="239"/>
    </row>
    <row r="86" spans="2:38" x14ac:dyDescent="0.35">
      <c r="B86" s="27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c r="AA86" s="239"/>
      <c r="AB86" s="239"/>
      <c r="AC86" s="239"/>
      <c r="AD86" s="239"/>
      <c r="AE86" s="239"/>
      <c r="AF86" s="239"/>
      <c r="AG86" s="239"/>
      <c r="AH86" s="239"/>
      <c r="AI86" s="239"/>
      <c r="AJ86" s="239"/>
    </row>
    <row r="87" spans="2:38" ht="14.5" customHeight="1" x14ac:dyDescent="0.35">
      <c r="B87" s="27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c r="AA87" s="239"/>
      <c r="AB87" s="239"/>
      <c r="AC87" s="239"/>
      <c r="AD87" s="239"/>
      <c r="AE87" s="239"/>
      <c r="AF87" s="239"/>
      <c r="AG87" s="239"/>
      <c r="AH87" s="239"/>
      <c r="AI87" s="239"/>
      <c r="AJ87" s="239"/>
    </row>
    <row r="88" spans="2:38" x14ac:dyDescent="0.35">
      <c r="B88" s="1271" t="s">
        <v>134</v>
      </c>
      <c r="C88" s="1271"/>
      <c r="D88" s="1271"/>
      <c r="E88" s="1271"/>
      <c r="F88" s="1271"/>
      <c r="G88" s="1271"/>
      <c r="H88" s="1271"/>
      <c r="I88" s="1271"/>
      <c r="J88" s="1271"/>
      <c r="K88" s="1271"/>
      <c r="L88" s="1271"/>
      <c r="M88" s="1271"/>
      <c r="N88" s="1271"/>
      <c r="O88" s="1271"/>
      <c r="P88" s="1271"/>
      <c r="Q88" s="1271"/>
      <c r="R88" s="1271"/>
      <c r="S88" s="1271"/>
      <c r="T88" s="1271"/>
      <c r="U88" s="1271"/>
      <c r="V88" s="1271"/>
      <c r="W88" s="1271"/>
      <c r="X88" s="1271"/>
      <c r="Y88" s="1271"/>
      <c r="Z88" s="210"/>
      <c r="AA88" s="210"/>
      <c r="AB88" s="210"/>
      <c r="AC88" s="210"/>
      <c r="AD88" s="210"/>
      <c r="AE88" s="210"/>
      <c r="AF88" s="210"/>
      <c r="AG88" s="210"/>
      <c r="AH88" s="210"/>
      <c r="AI88" s="210"/>
      <c r="AJ88" s="210"/>
      <c r="AK88" s="314"/>
      <c r="AL88" s="314"/>
    </row>
    <row r="89" spans="2:38" ht="19.399999999999999" customHeight="1" x14ac:dyDescent="0.35">
      <c r="B89" s="1272" t="s">
        <v>1833</v>
      </c>
      <c r="C89" s="1272"/>
      <c r="D89" s="1272"/>
      <c r="E89" s="1272"/>
      <c r="F89" s="1272"/>
      <c r="G89" s="1272"/>
      <c r="H89" s="1272"/>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211"/>
      <c r="AE89" s="211"/>
      <c r="AF89" s="211"/>
      <c r="AG89" s="211"/>
      <c r="AH89" s="211"/>
      <c r="AI89" s="211"/>
      <c r="AJ89" s="211"/>
      <c r="AK89" s="211"/>
      <c r="AL89" s="211"/>
    </row>
    <row r="90" spans="2:38" ht="11.9" customHeight="1" x14ac:dyDescent="0.35">
      <c r="B90" s="245"/>
      <c r="C90" s="245"/>
      <c r="D90" s="245"/>
      <c r="E90" s="245"/>
      <c r="F90" s="245"/>
      <c r="G90" s="245"/>
      <c r="H90" s="245"/>
      <c r="I90" s="245"/>
      <c r="J90" s="245"/>
      <c r="K90" s="245"/>
      <c r="L90" s="245"/>
      <c r="M90" s="245"/>
      <c r="V90" s="219"/>
      <c r="W90" s="219"/>
      <c r="X90" s="219"/>
      <c r="Y90" s="219"/>
      <c r="Z90" s="219"/>
      <c r="AA90" s="219"/>
      <c r="AB90" s="219"/>
      <c r="AC90" s="219"/>
      <c r="AD90" s="219"/>
      <c r="AE90" s="219"/>
      <c r="AF90" s="219"/>
      <c r="AG90" s="219"/>
      <c r="AH90" s="219"/>
      <c r="AI90" s="219"/>
      <c r="AJ90" s="219"/>
      <c r="AK90" s="219"/>
      <c r="AL90" s="219"/>
    </row>
    <row r="91" spans="2:38" ht="14.9" customHeight="1" x14ac:dyDescent="0.35">
      <c r="B91" s="1276" t="s">
        <v>278</v>
      </c>
      <c r="C91" s="1277"/>
      <c r="D91" s="1280" t="s">
        <v>279</v>
      </c>
      <c r="E91" s="1290"/>
      <c r="F91" s="1290"/>
      <c r="G91" s="1290"/>
      <c r="H91" s="1290"/>
      <c r="I91" s="1290"/>
      <c r="J91" s="1290"/>
      <c r="K91" s="1290"/>
      <c r="L91" s="1290"/>
      <c r="M91" s="1290"/>
      <c r="N91" s="1290"/>
      <c r="O91" s="1290"/>
      <c r="P91" s="1290"/>
      <c r="Q91" s="1290"/>
      <c r="R91" s="1290"/>
      <c r="S91" s="1290"/>
      <c r="T91" s="1290"/>
      <c r="U91" s="1291"/>
      <c r="V91" s="1279"/>
      <c r="W91" s="1317" t="s">
        <v>280</v>
      </c>
      <c r="X91" s="1304"/>
      <c r="Y91" s="1303"/>
      <c r="Z91" s="1303"/>
      <c r="AA91" s="1303"/>
      <c r="AB91" s="1303"/>
      <c r="AC91" s="1303"/>
      <c r="AD91" s="1303"/>
      <c r="AE91" s="1303"/>
      <c r="AF91" s="1303"/>
      <c r="AG91" s="1303"/>
      <c r="AH91" s="237"/>
      <c r="AI91" s="237"/>
      <c r="AJ91" s="237"/>
      <c r="AK91" s="314"/>
      <c r="AL91" s="314"/>
    </row>
    <row r="92" spans="2:38" x14ac:dyDescent="0.35">
      <c r="B92" s="1278"/>
      <c r="C92" s="1279"/>
      <c r="D92" s="216">
        <v>2018</v>
      </c>
      <c r="E92" s="1282">
        <v>2019</v>
      </c>
      <c r="F92" s="1283"/>
      <c r="G92" s="1283"/>
      <c r="H92" s="1284"/>
      <c r="I92" s="1282">
        <v>2020</v>
      </c>
      <c r="J92" s="1283"/>
      <c r="K92" s="1283"/>
      <c r="L92" s="1283"/>
      <c r="M92" s="1282">
        <v>2021</v>
      </c>
      <c r="N92" s="1283"/>
      <c r="O92" s="1283"/>
      <c r="P92" s="1283"/>
      <c r="Q92" s="1282">
        <v>2022</v>
      </c>
      <c r="R92" s="1305"/>
      <c r="S92" s="1305"/>
      <c r="T92" s="1305"/>
      <c r="U92" s="238"/>
      <c r="V92" s="284">
        <v>2023</v>
      </c>
      <c r="W92" s="285"/>
      <c r="X92" s="257"/>
      <c r="Y92" s="1269">
        <v>2024</v>
      </c>
      <c r="Z92" s="1292"/>
      <c r="AA92" s="1292"/>
      <c r="AB92" s="1269"/>
      <c r="AC92" s="1268">
        <v>2025</v>
      </c>
      <c r="AD92" s="1269"/>
      <c r="AE92" s="1269"/>
      <c r="AF92" s="1270"/>
      <c r="AG92" s="1268">
        <v>2026</v>
      </c>
      <c r="AH92" s="1269"/>
      <c r="AI92" s="1269"/>
      <c r="AJ92" s="1270"/>
      <c r="AK92" s="219"/>
      <c r="AL92" s="219"/>
    </row>
    <row r="93" spans="2:38" x14ac:dyDescent="0.35">
      <c r="B93" s="1278"/>
      <c r="C93" s="1279"/>
      <c r="D93" s="213" t="s">
        <v>281</v>
      </c>
      <c r="E93" s="212" t="s">
        <v>282</v>
      </c>
      <c r="F93" s="213" t="s">
        <v>283</v>
      </c>
      <c r="G93" s="213" t="s">
        <v>238</v>
      </c>
      <c r="H93" s="214" t="s">
        <v>281</v>
      </c>
      <c r="I93" s="213" t="s">
        <v>282</v>
      </c>
      <c r="J93" s="213" t="s">
        <v>283</v>
      </c>
      <c r="K93" s="213" t="s">
        <v>238</v>
      </c>
      <c r="L93" s="213" t="s">
        <v>281</v>
      </c>
      <c r="M93" s="212" t="s">
        <v>282</v>
      </c>
      <c r="N93" s="213" t="s">
        <v>283</v>
      </c>
      <c r="O93" s="213" t="s">
        <v>238</v>
      </c>
      <c r="P93" s="213" t="s">
        <v>281</v>
      </c>
      <c r="Q93" s="212" t="s">
        <v>282</v>
      </c>
      <c r="R93" s="213" t="s">
        <v>283</v>
      </c>
      <c r="S93" s="213" t="s">
        <v>238</v>
      </c>
      <c r="T93" s="213" t="s">
        <v>281</v>
      </c>
      <c r="U93" s="212" t="s">
        <v>282</v>
      </c>
      <c r="V93" s="213" t="s">
        <v>283</v>
      </c>
      <c r="W93" s="329" t="s">
        <v>238</v>
      </c>
      <c r="X93" s="429" t="s">
        <v>281</v>
      </c>
      <c r="Y93" s="329" t="s">
        <v>282</v>
      </c>
      <c r="Z93" s="336" t="s">
        <v>283</v>
      </c>
      <c r="AA93" s="329" t="s">
        <v>238</v>
      </c>
      <c r="AB93" s="329" t="s">
        <v>281</v>
      </c>
      <c r="AC93" s="430" t="s">
        <v>282</v>
      </c>
      <c r="AD93" s="336" t="s">
        <v>283</v>
      </c>
      <c r="AE93" s="329" t="s">
        <v>238</v>
      </c>
      <c r="AF93" s="429" t="s">
        <v>281</v>
      </c>
      <c r="AG93" s="222" t="s">
        <v>282</v>
      </c>
      <c r="AH93" s="264" t="s">
        <v>283</v>
      </c>
      <c r="AI93" s="264" t="s">
        <v>238</v>
      </c>
      <c r="AJ93" s="287" t="s">
        <v>281</v>
      </c>
      <c r="AK93" s="219"/>
      <c r="AL93" s="219"/>
    </row>
    <row r="94" spans="2:38" ht="14.9" customHeight="1" x14ac:dyDescent="0.35">
      <c r="B94" s="426" t="s">
        <v>382</v>
      </c>
      <c r="C94" s="368" t="s">
        <v>383</v>
      </c>
      <c r="D94" s="369"/>
      <c r="E94" s="370"/>
      <c r="F94" s="370"/>
      <c r="G94" s="370"/>
      <c r="H94" s="326">
        <f>'Haver Pivoted'!GS41</f>
        <v>72.497</v>
      </c>
      <c r="I94" s="326">
        <f>'Haver Pivoted'!GT41</f>
        <v>75.649000000000001</v>
      </c>
      <c r="J94" s="326">
        <f>'Haver Pivoted'!GU41</f>
        <v>75.483999999999995</v>
      </c>
      <c r="K94" s="326">
        <f>'Haver Pivoted'!GV41</f>
        <v>79.444000000000003</v>
      </c>
      <c r="L94" s="326">
        <f>'Haver Pivoted'!GW41</f>
        <v>75.742999999999995</v>
      </c>
      <c r="M94" s="326">
        <f>'Haver Pivoted'!GX41</f>
        <v>73.183000000000007</v>
      </c>
      <c r="N94" s="326">
        <f>'Haver Pivoted'!GY41</f>
        <v>74.421000000000006</v>
      </c>
      <c r="O94" s="326">
        <f>'Haver Pivoted'!GZ41</f>
        <v>70.334000000000003</v>
      </c>
      <c r="P94" s="326">
        <f>'Haver Pivoted'!HA41</f>
        <v>72.707999999999998</v>
      </c>
      <c r="Q94" s="326">
        <f>'Haver Pivoted'!HB41</f>
        <v>75.024000000000001</v>
      </c>
      <c r="R94" s="326">
        <f t="shared" ref="R94:S94" si="45">AVERAGE($H$94:$N$94)</f>
        <v>75.203000000000003</v>
      </c>
      <c r="S94" s="326">
        <f t="shared" si="45"/>
        <v>75.203000000000003</v>
      </c>
      <c r="T94" s="326">
        <f t="shared" ref="T94:AC94" si="46">AVERAGE($H$94:$N$94)+T95</f>
        <v>76.022000000000006</v>
      </c>
      <c r="U94" s="326">
        <f t="shared" si="46"/>
        <v>76.022000000000006</v>
      </c>
      <c r="V94" s="326">
        <f t="shared" si="46"/>
        <v>76.022000000000006</v>
      </c>
      <c r="W94" s="326">
        <f t="shared" si="46"/>
        <v>76.022000000000006</v>
      </c>
      <c r="X94" s="360">
        <f t="shared" si="46"/>
        <v>77.680999999999997</v>
      </c>
      <c r="Y94" s="360">
        <f t="shared" si="46"/>
        <v>77.680999999999997</v>
      </c>
      <c r="Z94" s="360">
        <f t="shared" si="46"/>
        <v>77.680999999999997</v>
      </c>
      <c r="AA94" s="360">
        <f t="shared" si="46"/>
        <v>77.680999999999997</v>
      </c>
      <c r="AB94" s="360">
        <f t="shared" si="46"/>
        <v>79.275000000000006</v>
      </c>
      <c r="AC94" s="360">
        <f t="shared" si="46"/>
        <v>79.275000000000006</v>
      </c>
      <c r="AD94" s="360">
        <f>AVERAGE($H$94:$N$94)+AD95</f>
        <v>75.203000000000003</v>
      </c>
      <c r="AE94" s="360">
        <f t="shared" ref="AE94:AF94" si="47">AVERAGE($H$94:$N$94)+AE95</f>
        <v>75.203000000000003</v>
      </c>
      <c r="AF94" s="360">
        <f t="shared" si="47"/>
        <v>75.203000000000003</v>
      </c>
      <c r="AG94" s="360">
        <f>AVERAGE($H$94:$N$94)+AG95</f>
        <v>75.203000000000003</v>
      </c>
      <c r="AH94" s="360">
        <f>AVERAGE($H$94:$N$94)+AH95</f>
        <v>75.203000000000003</v>
      </c>
      <c r="AI94" s="360">
        <f t="shared" ref="AI94:AJ94" si="48">AVERAGE($H$94:$N$94)+AI95</f>
        <v>75.203000000000003</v>
      </c>
      <c r="AJ94" s="315">
        <f t="shared" si="48"/>
        <v>75.203000000000003</v>
      </c>
      <c r="AK94" s="229"/>
      <c r="AL94" s="229"/>
    </row>
    <row r="95" spans="2:38" x14ac:dyDescent="0.35">
      <c r="B95" s="322" t="s">
        <v>1183</v>
      </c>
      <c r="C95" s="35"/>
      <c r="D95" s="322"/>
      <c r="E95" s="35"/>
      <c r="F95" s="35"/>
      <c r="G95" s="35"/>
      <c r="H95" s="35"/>
      <c r="I95" s="35"/>
      <c r="J95" s="35"/>
      <c r="K95" s="35"/>
      <c r="L95" s="35"/>
      <c r="M95" s="35"/>
      <c r="N95" s="35"/>
      <c r="O95" s="35"/>
      <c r="P95" s="35"/>
      <c r="Q95" s="35"/>
      <c r="R95" s="35"/>
      <c r="S95" s="327">
        <f>'IRA and CHIPS'!E185</f>
        <v>0</v>
      </c>
      <c r="T95" s="327">
        <f>'IRA and CHIPS'!F185</f>
        <v>0.81899999999999995</v>
      </c>
      <c r="U95" s="327">
        <f>'IRA and CHIPS'!G185</f>
        <v>0.81899999999999995</v>
      </c>
      <c r="V95" s="327">
        <f>'IRA and CHIPS'!H185</f>
        <v>0.81899999999999995</v>
      </c>
      <c r="W95" s="327">
        <f>'IRA and CHIPS'!I185</f>
        <v>0.81899999999999995</v>
      </c>
      <c r="X95" s="359">
        <f>'IRA and CHIPS'!J185</f>
        <v>2.4780000000000002</v>
      </c>
      <c r="Y95" s="359">
        <f>'IRA and CHIPS'!K185</f>
        <v>2.4780000000000002</v>
      </c>
      <c r="Z95" s="359">
        <f>'IRA and CHIPS'!L185</f>
        <v>2.4780000000000002</v>
      </c>
      <c r="AA95" s="359">
        <f>'IRA and CHIPS'!M185</f>
        <v>2.4780000000000002</v>
      </c>
      <c r="AB95" s="359">
        <f>'IRA and CHIPS'!N185</f>
        <v>4.0720000000000001</v>
      </c>
      <c r="AC95" s="359">
        <f>'IRA and CHIPS'!O185</f>
        <v>4.0720000000000001</v>
      </c>
      <c r="AD95" s="359">
        <f>'IRA and CHIPS'!T185</f>
        <v>0</v>
      </c>
      <c r="AE95" s="359">
        <v>0</v>
      </c>
      <c r="AF95" s="359">
        <v>0</v>
      </c>
      <c r="AG95" s="359">
        <v>0</v>
      </c>
      <c r="AH95" s="359">
        <v>0</v>
      </c>
      <c r="AI95" s="359">
        <v>0</v>
      </c>
      <c r="AJ95" s="361">
        <v>0</v>
      </c>
    </row>
    <row r="96" spans="2:38" ht="18.75" customHeight="1" x14ac:dyDescent="0.35"/>
    <row r="97" ht="21.75" customHeight="1" x14ac:dyDescent="0.35"/>
  </sheetData>
  <mergeCells count="45">
    <mergeCell ref="AG92:AJ92"/>
    <mergeCell ref="AC92:AF92"/>
    <mergeCell ref="W91:AG91"/>
    <mergeCell ref="D91:V91"/>
    <mergeCell ref="AK6:AK8"/>
    <mergeCell ref="E7:H7"/>
    <mergeCell ref="Y7:AB7"/>
    <mergeCell ref="M7:P7"/>
    <mergeCell ref="Q7:T7"/>
    <mergeCell ref="D6:V6"/>
    <mergeCell ref="W6:AG6"/>
    <mergeCell ref="AC7:AF7"/>
    <mergeCell ref="AL23:AM23"/>
    <mergeCell ref="AL27:AM28"/>
    <mergeCell ref="AL33:AM33"/>
    <mergeCell ref="AG7:AJ7"/>
    <mergeCell ref="AG71:AJ71"/>
    <mergeCell ref="AL6:AL8"/>
    <mergeCell ref="B91:C93"/>
    <mergeCell ref="I92:L92"/>
    <mergeCell ref="E92:H92"/>
    <mergeCell ref="Y92:AB92"/>
    <mergeCell ref="B1:Y1"/>
    <mergeCell ref="B6:C8"/>
    <mergeCell ref="I7:L7"/>
    <mergeCell ref="M92:P92"/>
    <mergeCell ref="Q92:T92"/>
    <mergeCell ref="B2:AC4"/>
    <mergeCell ref="B22:AC22"/>
    <mergeCell ref="Q71:R71"/>
    <mergeCell ref="Q46:AO46"/>
    <mergeCell ref="Q47:S47"/>
    <mergeCell ref="T47:Y47"/>
    <mergeCell ref="AK47:AN47"/>
    <mergeCell ref="A64:A65"/>
    <mergeCell ref="B89:AC89"/>
    <mergeCell ref="Y71:AB71"/>
    <mergeCell ref="B70:C72"/>
    <mergeCell ref="I71:L71"/>
    <mergeCell ref="B88:Y88"/>
    <mergeCell ref="E71:H71"/>
    <mergeCell ref="M71:P71"/>
    <mergeCell ref="AC71:AF71"/>
    <mergeCell ref="D70:V70"/>
    <mergeCell ref="W70:AG70"/>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1"/>
  <sheetViews>
    <sheetView zoomScale="93" zoomScaleNormal="110" workbookViewId="0">
      <pane xSplit="2" ySplit="4" topLeftCell="AK17" activePane="bottomRight" state="frozen"/>
      <selection pane="topRight" activeCell="C1" sqref="C1"/>
      <selection pane="bottomLeft" activeCell="A5" sqref="A5"/>
      <selection pane="bottomRight" activeCell="AW33" sqref="AW33"/>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271" t="s">
        <v>384</v>
      </c>
      <c r="C1" s="1271"/>
      <c r="D1" s="1271"/>
      <c r="E1" s="1271"/>
      <c r="F1" s="1271"/>
      <c r="G1" s="1271"/>
      <c r="H1" s="1271"/>
      <c r="I1" s="1271"/>
      <c r="J1" s="1271"/>
      <c r="K1" s="1271"/>
      <c r="L1" s="1271"/>
      <c r="M1" s="1271"/>
      <c r="N1" s="1271"/>
      <c r="O1" s="1271"/>
      <c r="P1" s="1271"/>
      <c r="Q1" s="1271"/>
      <c r="R1" s="1271"/>
      <c r="S1" s="1271"/>
      <c r="T1" s="1271"/>
      <c r="U1" s="1271"/>
      <c r="V1" s="1271"/>
      <c r="W1" s="1271"/>
      <c r="X1" s="1271"/>
      <c r="Y1" s="1271"/>
      <c r="Z1" s="1271"/>
      <c r="AA1" s="1271"/>
      <c r="AB1" s="1271"/>
      <c r="AC1" s="1271"/>
      <c r="AD1" s="210"/>
      <c r="AE1" s="210"/>
      <c r="AF1" s="210"/>
      <c r="AG1" s="210"/>
      <c r="AH1" s="210"/>
    </row>
    <row r="2" spans="2:69" ht="14.25" customHeight="1" x14ac:dyDescent="0.35">
      <c r="B2" s="1313" t="s">
        <v>385</v>
      </c>
      <c r="C2" s="1313"/>
      <c r="D2" s="1313"/>
      <c r="E2" s="1313"/>
      <c r="F2" s="1313"/>
      <c r="G2" s="1313"/>
      <c r="H2" s="1313"/>
      <c r="I2" s="1313"/>
      <c r="J2" s="1313"/>
      <c r="K2" s="1313"/>
      <c r="L2" s="1313"/>
      <c r="M2" s="1313"/>
      <c r="N2" s="1313"/>
      <c r="O2" s="1313"/>
      <c r="P2" s="1313"/>
      <c r="Q2" s="1313"/>
      <c r="R2" s="1313"/>
      <c r="S2" s="1313"/>
      <c r="T2" s="1313"/>
      <c r="U2" s="1313"/>
      <c r="V2" s="1313"/>
      <c r="W2" s="1313"/>
      <c r="X2" s="1313"/>
      <c r="Y2" s="1313"/>
      <c r="Z2" s="1313"/>
      <c r="AA2" s="1313"/>
      <c r="AB2" s="1313"/>
      <c r="AC2" s="1313"/>
      <c r="AD2" s="245"/>
      <c r="AE2" s="245"/>
      <c r="AF2" s="245"/>
      <c r="AG2" s="245"/>
      <c r="AH2" s="245"/>
    </row>
    <row r="3" spans="2:69" ht="9" customHeight="1" x14ac:dyDescent="0.35">
      <c r="B3" s="1313"/>
      <c r="C3" s="1313"/>
      <c r="D3" s="1313"/>
      <c r="E3" s="1313"/>
      <c r="F3" s="1313"/>
      <c r="G3" s="1313"/>
      <c r="H3" s="1313"/>
      <c r="I3" s="1313"/>
      <c r="J3" s="1313"/>
      <c r="K3" s="1313"/>
      <c r="L3" s="1313"/>
      <c r="M3" s="1313"/>
      <c r="N3" s="1313"/>
      <c r="O3" s="1313"/>
      <c r="P3" s="1313"/>
      <c r="Q3" s="1313"/>
      <c r="R3" s="1313"/>
      <c r="S3" s="1313"/>
      <c r="T3" s="1313"/>
      <c r="U3" s="1313"/>
      <c r="V3" s="1313"/>
      <c r="W3" s="1313"/>
      <c r="X3" s="1313"/>
      <c r="Y3" s="1313"/>
      <c r="Z3" s="1313"/>
      <c r="AA3" s="1313"/>
      <c r="AB3" s="1313"/>
      <c r="AC3" s="1313"/>
      <c r="AD3" s="245"/>
      <c r="AE3" s="245"/>
      <c r="AF3" s="245"/>
      <c r="AG3" s="245"/>
      <c r="AH3" s="245"/>
    </row>
    <row r="4" spans="2:69" ht="27" customHeight="1" x14ac:dyDescent="0.35">
      <c r="B4" s="1313"/>
      <c r="C4" s="1313"/>
      <c r="D4" s="1313"/>
      <c r="E4" s="1313"/>
      <c r="F4" s="1313"/>
      <c r="G4" s="1313"/>
      <c r="H4" s="1313"/>
      <c r="I4" s="1313"/>
      <c r="J4" s="1313"/>
      <c r="K4" s="1313"/>
      <c r="L4" s="1313"/>
      <c r="M4" s="1313"/>
      <c r="N4" s="1313"/>
      <c r="O4" s="1313"/>
      <c r="P4" s="1313"/>
      <c r="Q4" s="1313"/>
      <c r="R4" s="1313"/>
      <c r="S4" s="1313"/>
      <c r="T4" s="1313"/>
      <c r="U4" s="1313"/>
      <c r="V4" s="1313"/>
      <c r="W4" s="1313"/>
      <c r="X4" s="1313"/>
      <c r="Y4" s="1313"/>
      <c r="Z4" s="1313"/>
      <c r="AA4" s="1313"/>
      <c r="AB4" s="1313"/>
      <c r="AC4" s="1313"/>
      <c r="AD4" s="245"/>
      <c r="AE4" s="245"/>
      <c r="AF4" s="245"/>
      <c r="AG4" s="245"/>
      <c r="AH4" s="245"/>
      <c r="AJ4" s="485"/>
      <c r="AK4" s="485"/>
      <c r="AL4" s="485"/>
      <c r="AM4" s="485"/>
      <c r="AN4" s="485"/>
      <c r="AO4" s="485"/>
      <c r="AP4" s="485"/>
      <c r="AQ4" s="485"/>
      <c r="AR4" s="485"/>
    </row>
    <row r="5" spans="2:69" x14ac:dyDescent="0.35">
      <c r="B5" s="279"/>
      <c r="AC5" s="224"/>
      <c r="AD5" s="224"/>
      <c r="AE5" s="224"/>
      <c r="AF5" s="224"/>
      <c r="AG5" s="224"/>
      <c r="AH5" s="224"/>
      <c r="AI5" s="224"/>
      <c r="AJ5" s="224"/>
      <c r="AK5" s="224"/>
    </row>
    <row r="6" spans="2:69" ht="14.9" customHeight="1" x14ac:dyDescent="0.35">
      <c r="B6" s="1323" t="s">
        <v>278</v>
      </c>
      <c r="C6" s="1324"/>
      <c r="D6" s="1331" t="s">
        <v>279</v>
      </c>
      <c r="E6" s="1332"/>
      <c r="F6" s="1332"/>
      <c r="G6" s="1332"/>
      <c r="H6" s="1332"/>
      <c r="I6" s="1332"/>
      <c r="J6" s="1332"/>
      <c r="K6" s="1332"/>
      <c r="L6" s="1332"/>
      <c r="M6" s="1332"/>
      <c r="N6" s="1332"/>
      <c r="O6" s="1332"/>
      <c r="P6" s="1332"/>
      <c r="Q6" s="1332"/>
      <c r="R6" s="1332"/>
      <c r="S6" s="1332"/>
      <c r="T6" s="1332"/>
      <c r="U6" s="1333"/>
      <c r="V6" s="1326"/>
      <c r="W6" s="1317" t="s">
        <v>280</v>
      </c>
      <c r="X6" s="1304"/>
      <c r="Y6" s="1303"/>
      <c r="Z6" s="1303"/>
      <c r="AA6" s="1303"/>
      <c r="AB6" s="1303"/>
      <c r="AC6" s="1303"/>
      <c r="AD6" s="1303"/>
      <c r="AE6" s="1303"/>
      <c r="AF6" s="1303"/>
      <c r="AG6" s="1304"/>
      <c r="AH6" s="237"/>
    </row>
    <row r="7" spans="2:69" ht="14.9" customHeight="1" x14ac:dyDescent="0.35">
      <c r="B7" s="1325"/>
      <c r="C7" s="1326"/>
      <c r="D7" s="434">
        <v>2018</v>
      </c>
      <c r="E7" s="1327">
        <v>2019</v>
      </c>
      <c r="F7" s="1328"/>
      <c r="G7" s="1328"/>
      <c r="H7" s="1329"/>
      <c r="I7" s="1327">
        <v>2020</v>
      </c>
      <c r="J7" s="1328"/>
      <c r="K7" s="1328"/>
      <c r="L7" s="1328"/>
      <c r="M7" s="1327">
        <v>2021</v>
      </c>
      <c r="N7" s="1330"/>
      <c r="O7" s="1330"/>
      <c r="P7" s="1330"/>
      <c r="Q7" s="1327">
        <v>2022</v>
      </c>
      <c r="R7" s="1330"/>
      <c r="S7" s="1330"/>
      <c r="T7" s="1329"/>
      <c r="U7" s="238"/>
      <c r="V7" s="284">
        <v>2023</v>
      </c>
      <c r="W7" s="285"/>
      <c r="X7" s="257"/>
      <c r="Y7" s="1269">
        <v>2024</v>
      </c>
      <c r="Z7" s="1292"/>
      <c r="AA7" s="1292"/>
      <c r="AB7" s="1270"/>
      <c r="AC7" s="1268">
        <v>2025</v>
      </c>
      <c r="AD7" s="1269"/>
      <c r="AE7" s="1269"/>
      <c r="AF7" s="1269"/>
      <c r="AG7" s="1268">
        <v>2026</v>
      </c>
      <c r="AH7" s="1269"/>
      <c r="AI7" s="1269"/>
      <c r="AJ7" s="1270"/>
    </row>
    <row r="8" spans="2:69" x14ac:dyDescent="0.35">
      <c r="B8" s="1325"/>
      <c r="C8" s="1326"/>
      <c r="D8" s="471" t="s">
        <v>281</v>
      </c>
      <c r="E8" s="471" t="s">
        <v>282</v>
      </c>
      <c r="F8" s="458" t="s">
        <v>283</v>
      </c>
      <c r="G8" s="458" t="s">
        <v>238</v>
      </c>
      <c r="H8" s="472" t="s">
        <v>281</v>
      </c>
      <c r="I8" s="458" t="s">
        <v>282</v>
      </c>
      <c r="J8" s="458" t="s">
        <v>283</v>
      </c>
      <c r="K8" s="458" t="s">
        <v>238</v>
      </c>
      <c r="L8" s="458" t="s">
        <v>281</v>
      </c>
      <c r="M8" s="438" t="s">
        <v>282</v>
      </c>
      <c r="N8" s="439" t="s">
        <v>283</v>
      </c>
      <c r="O8" s="439" t="s">
        <v>238</v>
      </c>
      <c r="P8" s="439" t="s">
        <v>281</v>
      </c>
      <c r="Q8" s="438" t="s">
        <v>282</v>
      </c>
      <c r="R8" s="439" t="s">
        <v>283</v>
      </c>
      <c r="S8" s="439" t="s">
        <v>238</v>
      </c>
      <c r="T8" s="440" t="s">
        <v>281</v>
      </c>
      <c r="U8" s="212" t="s">
        <v>282</v>
      </c>
      <c r="V8" s="213" t="s">
        <v>283</v>
      </c>
      <c r="W8" s="329" t="s">
        <v>238</v>
      </c>
      <c r="X8" s="429" t="s">
        <v>281</v>
      </c>
      <c r="Y8" s="267" t="s">
        <v>282</v>
      </c>
      <c r="Z8" s="264" t="s">
        <v>283</v>
      </c>
      <c r="AA8" s="267" t="s">
        <v>238</v>
      </c>
      <c r="AB8" s="267" t="s">
        <v>281</v>
      </c>
      <c r="AC8" s="430" t="s">
        <v>282</v>
      </c>
      <c r="AD8" s="336" t="s">
        <v>283</v>
      </c>
      <c r="AE8" s="267" t="s">
        <v>238</v>
      </c>
      <c r="AF8" s="267" t="s">
        <v>281</v>
      </c>
      <c r="AG8" s="222" t="s">
        <v>282</v>
      </c>
      <c r="AH8" s="264" t="s">
        <v>283</v>
      </c>
      <c r="AI8" s="264" t="s">
        <v>238</v>
      </c>
      <c r="AJ8" s="287" t="s">
        <v>281</v>
      </c>
    </row>
    <row r="9" spans="2:69" ht="18" customHeight="1" x14ac:dyDescent="0.35">
      <c r="B9" s="466" t="s">
        <v>1920</v>
      </c>
      <c r="C9" s="467"/>
      <c r="D9" s="468"/>
      <c r="E9" s="468"/>
      <c r="F9" s="468"/>
      <c r="G9" s="468"/>
      <c r="H9" s="468"/>
      <c r="I9" s="468"/>
      <c r="J9" s="468"/>
      <c r="K9" s="468"/>
      <c r="L9" s="468"/>
      <c r="M9" s="436">
        <v>1609.9</v>
      </c>
      <c r="N9" s="436">
        <v>1588.5</v>
      </c>
      <c r="O9" s="436">
        <v>1576.4</v>
      </c>
      <c r="P9" s="436">
        <v>1602.5</v>
      </c>
      <c r="Q9" s="436">
        <v>1601.7</v>
      </c>
      <c r="R9" s="436">
        <v>1612.3</v>
      </c>
      <c r="S9" s="436">
        <v>1636.3</v>
      </c>
      <c r="T9" s="436">
        <v>1691.8</v>
      </c>
      <c r="U9" s="436">
        <v>1730.6</v>
      </c>
      <c r="V9" s="436">
        <v>1744.3</v>
      </c>
      <c r="W9" s="436">
        <v>1791.9</v>
      </c>
      <c r="X9" s="436">
        <v>1820</v>
      </c>
      <c r="Y9" s="436">
        <v>1837.3</v>
      </c>
      <c r="Z9" s="437">
        <v>1825.6</v>
      </c>
      <c r="AA9" s="437">
        <v>1824.6</v>
      </c>
      <c r="AB9" s="437">
        <v>1842.6</v>
      </c>
      <c r="AC9" s="437">
        <v>1864.3</v>
      </c>
      <c r="AD9" s="437">
        <v>1886.9</v>
      </c>
      <c r="AE9" s="437">
        <v>1910.1</v>
      </c>
      <c r="AF9" s="437">
        <v>1923.8</v>
      </c>
      <c r="AG9" s="437">
        <v>1936.1</v>
      </c>
      <c r="AH9" s="437">
        <v>1950.7</v>
      </c>
      <c r="AI9" s="437">
        <v>1964.1</v>
      </c>
      <c r="AJ9" s="437">
        <v>1978.7</v>
      </c>
      <c r="AK9" s="437">
        <v>1993.5</v>
      </c>
      <c r="AL9" s="437">
        <v>2007</v>
      </c>
      <c r="AM9" s="437">
        <v>2019.8</v>
      </c>
      <c r="AN9" s="437">
        <v>2031.9</v>
      </c>
      <c r="AO9" s="437">
        <v>2043.4</v>
      </c>
      <c r="AP9" s="437">
        <v>2054.6</v>
      </c>
      <c r="AQ9" s="437">
        <v>2065.9</v>
      </c>
      <c r="AR9" s="437">
        <v>2077.3000000000002</v>
      </c>
      <c r="AS9" s="437">
        <v>2089.9</v>
      </c>
      <c r="AT9" s="437">
        <v>2102</v>
      </c>
      <c r="AU9" s="437">
        <v>2114.3000000000002</v>
      </c>
      <c r="AV9" s="437">
        <v>2125.1</v>
      </c>
      <c r="AW9" s="437">
        <v>2137.1999999999998</v>
      </c>
      <c r="AX9" s="437">
        <v>2149.5</v>
      </c>
      <c r="AY9" s="437">
        <v>2161.8000000000002</v>
      </c>
      <c r="AZ9" s="437">
        <v>2174.1999999999998</v>
      </c>
      <c r="BA9" s="437">
        <v>2187.3000000000002</v>
      </c>
      <c r="BB9" s="437">
        <v>2200.6</v>
      </c>
      <c r="BC9" s="437">
        <v>2213.9</v>
      </c>
      <c r="BD9" s="437">
        <v>2217.1999999999998</v>
      </c>
      <c r="BE9" s="437">
        <v>2226.4</v>
      </c>
      <c r="BF9" s="437">
        <v>2236.9</v>
      </c>
      <c r="BG9" s="437">
        <v>2250.1999999999998</v>
      </c>
      <c r="BH9" s="437">
        <v>2265.5</v>
      </c>
      <c r="BI9" s="437">
        <v>2280.5</v>
      </c>
      <c r="BJ9" s="437">
        <v>2294.6</v>
      </c>
      <c r="BK9" s="437">
        <v>2308.5</v>
      </c>
      <c r="BL9" s="437">
        <v>2322.1999999999998</v>
      </c>
      <c r="BM9" s="437">
        <v>2336</v>
      </c>
      <c r="BN9" s="437">
        <v>2350</v>
      </c>
      <c r="BO9" s="437">
        <v>2364</v>
      </c>
      <c r="BP9" s="437">
        <v>2378.5</v>
      </c>
      <c r="BQ9" s="437">
        <v>2378.5</v>
      </c>
    </row>
    <row r="10" spans="2:69" ht="17.25" customHeight="1" x14ac:dyDescent="0.35">
      <c r="B10" s="470" t="s">
        <v>1921</v>
      </c>
      <c r="C10" s="463"/>
      <c r="D10" s="463"/>
      <c r="E10" s="463"/>
      <c r="F10" s="463"/>
      <c r="G10" s="463"/>
      <c r="H10" s="464"/>
      <c r="I10" s="464"/>
      <c r="J10" s="464"/>
      <c r="K10" s="464"/>
      <c r="L10" s="464"/>
      <c r="M10" s="224">
        <v>22.143000000000001</v>
      </c>
      <c r="N10" s="224">
        <v>-5.2320000000000002</v>
      </c>
      <c r="O10" s="224">
        <v>-2.996</v>
      </c>
      <c r="P10" s="224">
        <v>6.7709999999999999</v>
      </c>
      <c r="Q10" s="224">
        <v>-0.192</v>
      </c>
      <c r="R10" s="224">
        <v>2.6680000000000001</v>
      </c>
      <c r="S10" s="224">
        <v>6.1040000000000001</v>
      </c>
      <c r="T10" s="224">
        <v>14.257</v>
      </c>
      <c r="U10" s="224">
        <v>9.5150000000000006</v>
      </c>
      <c r="V10" s="224">
        <v>3.1989999999999998</v>
      </c>
      <c r="W10" s="224">
        <v>11.372</v>
      </c>
      <c r="X10" s="224">
        <v>6.4130000000000003</v>
      </c>
      <c r="Y10" s="224">
        <v>3.851</v>
      </c>
      <c r="Z10" s="435">
        <v>-2.524</v>
      </c>
      <c r="AA10" s="435">
        <v>-0.216</v>
      </c>
      <c r="AB10" s="435">
        <v>4.008</v>
      </c>
      <c r="AC10" s="435">
        <v>4.8029999999999999</v>
      </c>
      <c r="AD10" s="435">
        <v>4.9379999999999997</v>
      </c>
      <c r="AE10" s="435">
        <v>5.0030000000000001</v>
      </c>
      <c r="AF10" s="435">
        <v>2.887</v>
      </c>
      <c r="AG10" s="435">
        <v>2.5859999999999999</v>
      </c>
      <c r="AH10" s="435">
        <v>3.056</v>
      </c>
      <c r="AI10" s="435">
        <v>2.7789999999999999</v>
      </c>
      <c r="AJ10" s="435">
        <v>2.9980000000000002</v>
      </c>
      <c r="AK10" s="435">
        <v>3.0270000000000001</v>
      </c>
      <c r="AL10" s="435">
        <v>2.7360000000000002</v>
      </c>
      <c r="AM10" s="435">
        <v>2.573</v>
      </c>
      <c r="AN10" s="435">
        <v>2.4159999999999999</v>
      </c>
      <c r="AO10" s="435">
        <v>2.29</v>
      </c>
      <c r="AP10" s="435">
        <v>2.21</v>
      </c>
      <c r="AQ10" s="435">
        <v>2.2189999999999999</v>
      </c>
      <c r="AR10" s="435">
        <v>2.226</v>
      </c>
      <c r="AS10" s="435">
        <v>2.4359999999999999</v>
      </c>
      <c r="AT10" s="435">
        <v>2.3479999999999999</v>
      </c>
      <c r="AU10" s="435">
        <v>2.351</v>
      </c>
      <c r="AV10" s="435">
        <v>2.0609999999999999</v>
      </c>
      <c r="AW10" s="435">
        <v>2.3069999999999999</v>
      </c>
      <c r="AX10" s="435">
        <v>2.3079999999999998</v>
      </c>
      <c r="AY10" s="435">
        <v>2.3090000000000002</v>
      </c>
      <c r="AZ10" s="435">
        <v>2.31</v>
      </c>
      <c r="BA10" s="435">
        <v>2.4460000000000002</v>
      </c>
      <c r="BB10" s="435">
        <v>2.4470000000000001</v>
      </c>
      <c r="BC10" s="435">
        <v>2.4470000000000001</v>
      </c>
      <c r="BD10" s="435">
        <v>0.58599999999999997</v>
      </c>
      <c r="BE10" s="435">
        <v>1.6830000000000001</v>
      </c>
      <c r="BF10" s="435">
        <v>1.8919999999999999</v>
      </c>
      <c r="BG10" s="435">
        <v>2.4009999999999998</v>
      </c>
      <c r="BH10" s="435">
        <v>2.7450000000000001</v>
      </c>
      <c r="BI10" s="435">
        <v>2.673</v>
      </c>
      <c r="BJ10" s="435">
        <v>2.4969999999999999</v>
      </c>
      <c r="BK10" s="435">
        <v>2.4359999999999999</v>
      </c>
      <c r="BL10" s="435">
        <v>2.4079999999999999</v>
      </c>
      <c r="BM10" s="435">
        <v>2.4</v>
      </c>
      <c r="BN10" s="435">
        <v>2.4039999999999999</v>
      </c>
      <c r="BO10" s="435">
        <v>2.4079999999999999</v>
      </c>
      <c r="BP10" s="435">
        <v>2.4790000000000001</v>
      </c>
      <c r="BQ10" s="435">
        <v>2.4790000000000001</v>
      </c>
    </row>
    <row r="11" spans="2:69" ht="17.25" customHeight="1" x14ac:dyDescent="0.35">
      <c r="B11" s="476" t="s">
        <v>195</v>
      </c>
      <c r="C11" s="463" t="s">
        <v>907</v>
      </c>
      <c r="D11" s="463"/>
      <c r="E11" s="463"/>
      <c r="F11" s="463"/>
      <c r="G11" s="463"/>
      <c r="H11" s="454">
        <f>'Haver Pivoted'!GS23</f>
        <v>1439.9</v>
      </c>
      <c r="I11" s="454">
        <f>'Haver Pivoted'!GT23</f>
        <v>1459.3</v>
      </c>
      <c r="J11" s="454">
        <f>'Haver Pivoted'!GU23</f>
        <v>1567.7</v>
      </c>
      <c r="K11" s="454">
        <f>'Haver Pivoted'!GV23</f>
        <v>1526.5</v>
      </c>
      <c r="L11" s="454">
        <f>'Haver Pivoted'!GW23</f>
        <v>1538.6</v>
      </c>
      <c r="M11" s="454">
        <f>'Haver Pivoted'!GX23</f>
        <v>1613.4</v>
      </c>
      <c r="N11" s="454">
        <f>'Haver Pivoted'!GY23</f>
        <v>1597.4</v>
      </c>
      <c r="O11" s="454">
        <f>'Haver Pivoted'!GZ23</f>
        <v>1585</v>
      </c>
      <c r="P11" s="454">
        <f>'Haver Pivoted'!HA23</f>
        <v>1616.9</v>
      </c>
      <c r="Q11" s="454">
        <f>'Haver Pivoted'!HB23</f>
        <v>1606.5</v>
      </c>
      <c r="R11" s="454">
        <f>'Haver Pivoted'!HC23</f>
        <v>1622.1</v>
      </c>
      <c r="S11" s="465">
        <f>'Haver Pivoted'!HD23</f>
        <v>1641.4</v>
      </c>
      <c r="T11" s="465">
        <f>'Haver Pivoted'!HE23</f>
        <v>1694.2</v>
      </c>
      <c r="U11" s="465">
        <f>'Haver Pivoted'!HF23</f>
        <v>1731.6</v>
      </c>
      <c r="V11" s="465">
        <f>'Haver Pivoted'!HG23</f>
        <v>1741.8</v>
      </c>
      <c r="W11" s="465">
        <f>'Haver Pivoted'!HH23</f>
        <v>1780.9</v>
      </c>
      <c r="X11" s="465">
        <f>'Haver Pivoted'!HI23</f>
        <v>1796.2</v>
      </c>
      <c r="Y11" s="465">
        <f>'Haver Pivoted'!HJ23</f>
        <v>1810.3</v>
      </c>
      <c r="Z11" s="465">
        <f>'Haver Pivoted'!HK23</f>
        <v>1842.2</v>
      </c>
      <c r="AA11" s="465">
        <f>'Haver Pivoted'!HL23</f>
        <v>1893.4</v>
      </c>
      <c r="AB11" s="456">
        <f>(1+(AB10/100))^(1/4)*AA11+AB12</f>
        <v>1885.0932092153364</v>
      </c>
      <c r="AC11" s="456">
        <f t="shared" ref="AC11:AJ11" si="0">(1+(AC10/100))^(1/4)*AB11+AC12</f>
        <v>1907.3318350055031</v>
      </c>
      <c r="AD11" s="456">
        <f t="shared" si="0"/>
        <v>1930.4539814256966</v>
      </c>
      <c r="AE11" s="456">
        <f t="shared" si="0"/>
        <v>1954.1589232689989</v>
      </c>
      <c r="AF11" s="456">
        <f t="shared" si="0"/>
        <v>1968.1128918813563</v>
      </c>
      <c r="AG11" s="456">
        <f t="shared" si="0"/>
        <v>1980.7151810614209</v>
      </c>
      <c r="AH11" s="456">
        <f t="shared" si="0"/>
        <v>1995.6774527229115</v>
      </c>
      <c r="AI11" s="456">
        <f t="shared" si="0"/>
        <v>2009.4002299861645</v>
      </c>
      <c r="AJ11" s="456">
        <f t="shared" si="0"/>
        <v>2024.294268931699</v>
      </c>
    </row>
    <row r="12" spans="2:69" ht="17.25" customHeight="1" x14ac:dyDescent="0.35">
      <c r="B12" s="476" t="s">
        <v>1977</v>
      </c>
      <c r="C12" s="463"/>
      <c r="D12" s="463"/>
      <c r="E12" s="463"/>
      <c r="F12" s="463"/>
      <c r="G12" s="463"/>
      <c r="H12" s="454"/>
      <c r="I12" s="454"/>
      <c r="J12" s="454"/>
      <c r="K12" s="454"/>
      <c r="L12" s="454"/>
      <c r="M12" s="454"/>
      <c r="N12" s="454"/>
      <c r="O12" s="454"/>
      <c r="P12" s="454"/>
      <c r="Q12" s="454"/>
      <c r="R12" s="454"/>
      <c r="S12" s="465"/>
      <c r="T12" s="465"/>
      <c r="U12" s="465"/>
      <c r="V12" s="465"/>
      <c r="W12" s="465"/>
      <c r="X12" s="465"/>
      <c r="Y12" s="465"/>
      <c r="Z12" s="465"/>
      <c r="AA12" s="465"/>
      <c r="AB12" s="456">
        <v>-27</v>
      </c>
      <c r="AC12" s="456"/>
      <c r="AD12" s="456"/>
      <c r="AE12" s="456"/>
      <c r="AF12" s="456"/>
      <c r="AG12" s="456"/>
      <c r="AH12" s="456"/>
      <c r="AI12" s="456"/>
      <c r="AJ12" s="456"/>
    </row>
    <row r="13" spans="2:69" x14ac:dyDescent="0.35">
      <c r="B13" s="473" t="s">
        <v>386</v>
      </c>
      <c r="C13" s="474"/>
      <c r="D13" s="474"/>
      <c r="E13" s="474"/>
      <c r="F13" s="474"/>
      <c r="G13" s="474"/>
      <c r="H13" s="452">
        <f t="shared" ref="H13:AB13" si="1">H11+H51</f>
        <v>1721.212</v>
      </c>
      <c r="I13" s="452">
        <f t="shared" si="1"/>
        <v>1747.059</v>
      </c>
      <c r="J13" s="452">
        <f t="shared" si="1"/>
        <v>1964.3780000000002</v>
      </c>
      <c r="K13" s="452">
        <f t="shared" si="1"/>
        <v>1901.364</v>
      </c>
      <c r="L13" s="452">
        <f t="shared" si="1"/>
        <v>1907.3589999999999</v>
      </c>
      <c r="M13" s="452">
        <f t="shared" si="1"/>
        <v>2004.8540000000003</v>
      </c>
      <c r="N13" s="452">
        <f t="shared" si="1"/>
        <v>2026.6750000000002</v>
      </c>
      <c r="O13" s="452">
        <f t="shared" si="1"/>
        <v>2028.4519999999998</v>
      </c>
      <c r="P13" s="452">
        <f t="shared" si="1"/>
        <v>2089.0478520000001</v>
      </c>
      <c r="Q13" s="452">
        <f t="shared" si="1"/>
        <v>2112.3222747999998</v>
      </c>
      <c r="R13" s="452">
        <f t="shared" si="1"/>
        <v>2197.6360319999999</v>
      </c>
      <c r="S13" s="452">
        <f t="shared" si="1"/>
        <v>2199.7388679999999</v>
      </c>
      <c r="T13" s="452">
        <f t="shared" si="1"/>
        <v>2220.3329279999998</v>
      </c>
      <c r="U13" s="453">
        <f t="shared" si="1"/>
        <v>2248.6365432000002</v>
      </c>
      <c r="V13" s="453">
        <f t="shared" si="1"/>
        <v>2251.6037200000001</v>
      </c>
      <c r="W13" s="453">
        <f t="shared" si="1"/>
        <v>2274.603944</v>
      </c>
      <c r="X13" s="453">
        <f t="shared" si="1"/>
        <v>2306.1809440000002</v>
      </c>
      <c r="Y13" s="475">
        <f t="shared" si="1"/>
        <v>2322.6879440000002</v>
      </c>
      <c r="Z13" s="475">
        <f t="shared" si="1"/>
        <v>2360.4781090000001</v>
      </c>
      <c r="AA13" s="475">
        <f t="shared" si="1"/>
        <v>2433.0083300000001</v>
      </c>
      <c r="AB13" s="475">
        <f t="shared" si="1"/>
        <v>2431.4552350990234</v>
      </c>
      <c r="AC13" s="455">
        <f>AC11+AC51</f>
        <v>2437.2756319838068</v>
      </c>
      <c r="AD13" s="455"/>
      <c r="AE13" s="455"/>
      <c r="AF13" s="455"/>
      <c r="AG13" s="455"/>
      <c r="AH13" s="455"/>
      <c r="AI13" s="455"/>
      <c r="AJ13" s="455"/>
      <c r="AK13" s="239" t="s">
        <v>387</v>
      </c>
    </row>
    <row r="14" spans="2:69" ht="15.75" customHeight="1" x14ac:dyDescent="0.35">
      <c r="B14" s="247"/>
      <c r="C14" s="247"/>
      <c r="D14" s="247"/>
      <c r="E14" s="247"/>
      <c r="F14" s="247"/>
      <c r="G14" s="247"/>
      <c r="H14" s="232"/>
      <c r="I14" s="232"/>
      <c r="J14" s="232"/>
      <c r="K14" s="232"/>
      <c r="L14" s="232"/>
      <c r="M14" s="232"/>
      <c r="N14" s="232"/>
      <c r="O14" s="232"/>
      <c r="Y14" s="75"/>
      <c r="Z14" s="75"/>
      <c r="AA14" s="75"/>
      <c r="AB14" s="75"/>
      <c r="AC14" s="482"/>
      <c r="AD14" s="75"/>
      <c r="AE14" s="75"/>
      <c r="AF14" s="75"/>
      <c r="AG14" s="75"/>
      <c r="AH14" s="75"/>
      <c r="AI14" s="239"/>
    </row>
    <row r="15" spans="2:69" x14ac:dyDescent="0.35">
      <c r="B15" s="247"/>
      <c r="C15" s="247"/>
      <c r="D15" s="247"/>
      <c r="E15" s="247"/>
      <c r="F15" s="247"/>
      <c r="G15" s="247"/>
      <c r="H15" s="232"/>
      <c r="I15" s="232"/>
      <c r="J15" s="232"/>
      <c r="K15" s="232"/>
      <c r="L15" s="232"/>
      <c r="M15" s="232"/>
      <c r="N15" s="232"/>
      <c r="O15" s="232"/>
      <c r="P15" s="482"/>
      <c r="Q15" s="482"/>
      <c r="R15" s="482"/>
      <c r="S15" s="482"/>
      <c r="T15" s="482"/>
      <c r="U15" s="482"/>
      <c r="V15" s="482"/>
      <c r="W15" s="482"/>
      <c r="X15" s="482"/>
      <c r="Y15" s="482"/>
      <c r="Z15" s="482"/>
      <c r="AA15" s="482"/>
      <c r="AB15" s="482"/>
      <c r="AD15" s="482"/>
      <c r="AE15" s="482"/>
      <c r="AF15" s="482"/>
      <c r="AG15" s="482"/>
      <c r="AH15" s="482"/>
    </row>
    <row r="16" spans="2:69" ht="21.75" customHeight="1" x14ac:dyDescent="0.35">
      <c r="B16" s="1271" t="s">
        <v>165</v>
      </c>
      <c r="C16" s="1271"/>
      <c r="D16" s="1271"/>
      <c r="E16" s="1271"/>
      <c r="F16" s="1271"/>
      <c r="G16" s="1271"/>
      <c r="H16" s="1271"/>
      <c r="I16" s="1271"/>
      <c r="J16" s="1271"/>
      <c r="K16" s="1271"/>
      <c r="L16" s="1271"/>
      <c r="M16" s="1271"/>
      <c r="N16" s="1271"/>
      <c r="O16" s="1271"/>
      <c r="P16" s="1271"/>
      <c r="Q16" s="1271"/>
      <c r="R16" s="1271"/>
      <c r="S16" s="1271"/>
      <c r="T16" s="1271"/>
      <c r="U16" s="1271"/>
      <c r="V16" s="1271"/>
      <c r="W16" s="1271"/>
      <c r="X16" s="1271"/>
      <c r="Y16" s="1271"/>
      <c r="Z16" s="1271"/>
      <c r="AA16" s="1271"/>
      <c r="AB16" s="1271"/>
      <c r="AC16" s="1271"/>
      <c r="AD16" s="210"/>
      <c r="AE16" s="210"/>
      <c r="AF16" s="210"/>
      <c r="AG16" s="210"/>
      <c r="AH16" s="210"/>
      <c r="AJ16" s="490"/>
    </row>
    <row r="17" spans="2:69" ht="14.25" customHeight="1" x14ac:dyDescent="0.35">
      <c r="B17" s="1272" t="s">
        <v>388</v>
      </c>
      <c r="C17" s="1272"/>
      <c r="D17" s="1272"/>
      <c r="E17" s="1272"/>
      <c r="F17" s="1272"/>
      <c r="G17" s="1272"/>
      <c r="H17" s="1272"/>
      <c r="I17" s="1272"/>
      <c r="J17" s="1272"/>
      <c r="K17" s="1272"/>
      <c r="L17" s="1272"/>
      <c r="M17" s="1272"/>
      <c r="N17" s="1272"/>
      <c r="O17" s="1272"/>
      <c r="P17" s="1272"/>
      <c r="Q17" s="1272"/>
      <c r="R17" s="1272"/>
      <c r="S17" s="1272"/>
      <c r="T17" s="1272"/>
      <c r="U17" s="1272"/>
      <c r="V17" s="1272"/>
      <c r="W17" s="1272"/>
      <c r="X17" s="1272"/>
      <c r="Y17" s="1272"/>
      <c r="Z17" s="1272"/>
      <c r="AA17" s="1272"/>
      <c r="AB17" s="1272"/>
      <c r="AC17" s="1272"/>
      <c r="AD17" s="211"/>
      <c r="AE17" s="211"/>
      <c r="AF17" s="211"/>
      <c r="AG17" s="211"/>
      <c r="AH17" s="211"/>
      <c r="AJ17" s="490"/>
    </row>
    <row r="18" spans="2:69" x14ac:dyDescent="0.35">
      <c r="B18" s="1272"/>
      <c r="C18" s="1272"/>
      <c r="D18" s="1272"/>
      <c r="E18" s="1272"/>
      <c r="F18" s="1272"/>
      <c r="G18" s="1272"/>
      <c r="H18" s="1272"/>
      <c r="I18" s="1272"/>
      <c r="J18" s="1272"/>
      <c r="K18" s="1272"/>
      <c r="L18" s="1272"/>
      <c r="M18" s="1272"/>
      <c r="N18" s="1272"/>
      <c r="O18" s="1272"/>
      <c r="P18" s="1272"/>
      <c r="Q18" s="1272"/>
      <c r="R18" s="1272"/>
      <c r="S18" s="1272"/>
      <c r="T18" s="1272"/>
      <c r="U18" s="1272"/>
      <c r="V18" s="1272"/>
      <c r="W18" s="1272"/>
      <c r="X18" s="1272"/>
      <c r="Y18" s="1272"/>
      <c r="Z18" s="1272"/>
      <c r="AA18" s="1272"/>
      <c r="AB18" s="1272"/>
      <c r="AC18" s="1272"/>
      <c r="AD18" s="211"/>
      <c r="AE18" s="211"/>
      <c r="AF18" s="211"/>
      <c r="AG18" s="211"/>
      <c r="AH18" s="211"/>
    </row>
    <row r="19" spans="2:69" x14ac:dyDescent="0.35">
      <c r="B19" s="1272"/>
      <c r="C19" s="1272"/>
      <c r="D19" s="1272"/>
      <c r="E19" s="1272"/>
      <c r="F19" s="1272"/>
      <c r="G19" s="1272"/>
      <c r="H19" s="1272"/>
      <c r="I19" s="1272"/>
      <c r="J19" s="1272"/>
      <c r="K19" s="1272"/>
      <c r="L19" s="1272"/>
      <c r="M19" s="1272"/>
      <c r="N19" s="1272"/>
      <c r="O19" s="1272"/>
      <c r="P19" s="1272"/>
      <c r="Q19" s="1272"/>
      <c r="R19" s="1272"/>
      <c r="S19" s="1272"/>
      <c r="T19" s="1272"/>
      <c r="U19" s="1272"/>
      <c r="V19" s="1272"/>
      <c r="W19" s="1272"/>
      <c r="X19" s="1272"/>
      <c r="Y19" s="1272"/>
      <c r="Z19" s="1272"/>
      <c r="AA19" s="1272"/>
      <c r="AB19" s="1272"/>
      <c r="AC19" s="1272"/>
      <c r="AD19" s="211"/>
      <c r="AE19" s="211"/>
      <c r="AF19" s="211"/>
      <c r="AG19" s="211"/>
      <c r="AH19" s="211"/>
    </row>
    <row r="21" spans="2:69" x14ac:dyDescent="0.35">
      <c r="B21" s="1276" t="s">
        <v>278</v>
      </c>
      <c r="C21" s="1277"/>
      <c r="D21" s="1278" t="s">
        <v>279</v>
      </c>
      <c r="E21" s="1291"/>
      <c r="F21" s="1291"/>
      <c r="G21" s="1291"/>
      <c r="H21" s="1291"/>
      <c r="I21" s="1291"/>
      <c r="J21" s="1291"/>
      <c r="K21" s="1291"/>
      <c r="L21" s="1291"/>
      <c r="M21" s="1291"/>
      <c r="N21" s="1291"/>
      <c r="O21" s="1291"/>
      <c r="P21" s="1291"/>
      <c r="Q21" s="1291"/>
      <c r="R21" s="1291"/>
      <c r="S21" s="1291"/>
      <c r="T21" s="1291"/>
      <c r="U21" s="1291"/>
      <c r="V21" s="1291"/>
      <c r="W21" s="1304" t="s">
        <v>280</v>
      </c>
      <c r="X21" s="1304"/>
      <c r="Y21" s="1304"/>
      <c r="Z21" s="1304"/>
      <c r="AA21" s="1304"/>
      <c r="AB21" s="1304"/>
      <c r="AC21" s="1304"/>
      <c r="AD21" s="1304"/>
      <c r="AE21" s="1304"/>
      <c r="AF21" s="1304"/>
      <c r="AG21" s="1304"/>
      <c r="AH21" s="237"/>
    </row>
    <row r="22" spans="2:69" x14ac:dyDescent="0.35">
      <c r="B22" s="1278"/>
      <c r="C22" s="1279"/>
      <c r="D22" s="215">
        <v>2018</v>
      </c>
      <c r="E22" s="1282">
        <v>2019</v>
      </c>
      <c r="F22" s="1305"/>
      <c r="G22" s="1305"/>
      <c r="H22" s="1284"/>
      <c r="I22" s="1282">
        <v>2020</v>
      </c>
      <c r="J22" s="1305"/>
      <c r="K22" s="1305"/>
      <c r="L22" s="1305"/>
      <c r="M22" s="1282">
        <v>2021</v>
      </c>
      <c r="N22" s="1305"/>
      <c r="O22" s="1305"/>
      <c r="P22" s="1305"/>
      <c r="Q22" s="1282">
        <v>2022</v>
      </c>
      <c r="R22" s="1305"/>
      <c r="S22" s="1305"/>
      <c r="T22" s="1284"/>
      <c r="U22" s="238"/>
      <c r="V22" s="284">
        <v>2023</v>
      </c>
      <c r="W22" s="285"/>
      <c r="X22" s="257"/>
      <c r="Y22" s="1268">
        <v>2024</v>
      </c>
      <c r="Z22" s="1269"/>
      <c r="AA22" s="1269"/>
      <c r="AB22" s="1270"/>
      <c r="AC22" s="1268">
        <v>2025</v>
      </c>
      <c r="AD22" s="1269"/>
      <c r="AE22" s="1269"/>
      <c r="AF22" s="1269"/>
      <c r="AG22" s="1268">
        <v>2026</v>
      </c>
      <c r="AH22" s="1269"/>
      <c r="AI22" s="1269"/>
      <c r="AJ22" s="1270"/>
    </row>
    <row r="23" spans="2:69" x14ac:dyDescent="0.35">
      <c r="B23" s="1278"/>
      <c r="C23" s="1279"/>
      <c r="D23" s="212" t="s">
        <v>281</v>
      </c>
      <c r="E23" s="212" t="s">
        <v>282</v>
      </c>
      <c r="F23" s="213" t="s">
        <v>283</v>
      </c>
      <c r="G23" s="213" t="s">
        <v>238</v>
      </c>
      <c r="H23" s="214" t="s">
        <v>281</v>
      </c>
      <c r="I23" s="213" t="s">
        <v>282</v>
      </c>
      <c r="J23" s="213" t="s">
        <v>283</v>
      </c>
      <c r="K23" s="213" t="s">
        <v>238</v>
      </c>
      <c r="L23" s="213" t="s">
        <v>281</v>
      </c>
      <c r="M23" s="212" t="s">
        <v>282</v>
      </c>
      <c r="N23" s="213" t="s">
        <v>283</v>
      </c>
      <c r="O23" s="213" t="s">
        <v>238</v>
      </c>
      <c r="P23" s="213" t="s">
        <v>281</v>
      </c>
      <c r="Q23" s="212" t="s">
        <v>282</v>
      </c>
      <c r="R23" s="213" t="s">
        <v>283</v>
      </c>
      <c r="S23" s="213" t="s">
        <v>238</v>
      </c>
      <c r="T23" s="214" t="s">
        <v>281</v>
      </c>
      <c r="U23" s="281" t="s">
        <v>282</v>
      </c>
      <c r="V23" s="282" t="s">
        <v>283</v>
      </c>
      <c r="W23" s="267" t="s">
        <v>238</v>
      </c>
      <c r="X23" s="268" t="s">
        <v>281</v>
      </c>
      <c r="Y23" s="266" t="s">
        <v>282</v>
      </c>
      <c r="Z23" s="264" t="s">
        <v>283</v>
      </c>
      <c r="AA23" s="267" t="s">
        <v>238</v>
      </c>
      <c r="AB23" s="268" t="s">
        <v>281</v>
      </c>
      <c r="AC23" s="266" t="s">
        <v>282</v>
      </c>
      <c r="AD23" s="264" t="s">
        <v>283</v>
      </c>
      <c r="AE23" s="267" t="s">
        <v>238</v>
      </c>
      <c r="AF23" s="267" t="s">
        <v>281</v>
      </c>
      <c r="AG23" s="222" t="s">
        <v>282</v>
      </c>
      <c r="AH23" s="264" t="s">
        <v>283</v>
      </c>
      <c r="AI23" s="264" t="s">
        <v>238</v>
      </c>
      <c r="AJ23" s="287" t="s">
        <v>281</v>
      </c>
    </row>
    <row r="24" spans="2:69" x14ac:dyDescent="0.35">
      <c r="B24" s="486" t="s">
        <v>111</v>
      </c>
      <c r="C24" s="480" t="s">
        <v>389</v>
      </c>
      <c r="D24" s="480"/>
      <c r="E24" s="480"/>
      <c r="F24" s="480"/>
      <c r="G24" s="480"/>
      <c r="H24" s="460">
        <f>'Haver Pivoted'!GS24</f>
        <v>2425.1</v>
      </c>
      <c r="I24" s="460">
        <f>'Haver Pivoted'!GT24</f>
        <v>2483.6999999999998</v>
      </c>
      <c r="J24" s="460">
        <f>'Haver Pivoted'!GU24</f>
        <v>2458.1999999999998</v>
      </c>
      <c r="K24" s="460">
        <f>'Haver Pivoted'!GV24</f>
        <v>2475.1</v>
      </c>
      <c r="L24" s="460">
        <f>'Haver Pivoted'!GW24</f>
        <v>2489.4</v>
      </c>
      <c r="M24" s="460">
        <f>'Haver Pivoted'!GX24</f>
        <v>2534.1999999999998</v>
      </c>
      <c r="N24" s="460">
        <f>'Haver Pivoted'!GY24</f>
        <v>2572.6</v>
      </c>
      <c r="O24" s="460">
        <f>'Haver Pivoted'!GZ24</f>
        <v>2629</v>
      </c>
      <c r="P24" s="460">
        <f>'Haver Pivoted'!HA24</f>
        <v>2665.4</v>
      </c>
      <c r="Q24" s="460">
        <f>'Haver Pivoted'!HB24</f>
        <v>2726.1</v>
      </c>
      <c r="R24" s="460">
        <f>'Haver Pivoted'!HC24</f>
        <v>2815.5</v>
      </c>
      <c r="S24" s="469">
        <f>'Haver Pivoted'!HD24</f>
        <v>2838.7</v>
      </c>
      <c r="T24" s="469">
        <f>'Haver Pivoted'!HE24</f>
        <v>2870.6</v>
      </c>
      <c r="U24" s="294">
        <f>'Haver Pivoted'!HF24</f>
        <v>2893</v>
      </c>
      <c r="V24" s="294">
        <f>'Haver Pivoted'!HG24</f>
        <v>2904.1</v>
      </c>
      <c r="W24" s="294">
        <f>'Haver Pivoted'!HH24</f>
        <v>2975.5</v>
      </c>
      <c r="X24" s="294">
        <f>'Haver Pivoted'!HI24</f>
        <v>3019</v>
      </c>
      <c r="Y24" s="294">
        <f>'Haver Pivoted'!HJ24</f>
        <v>3070.7</v>
      </c>
      <c r="Z24" s="294">
        <f>'Haver Pivoted'!HK24</f>
        <v>3100.9</v>
      </c>
      <c r="AA24" s="294">
        <f>'Haver Pivoted'!HL24</f>
        <v>3139.2</v>
      </c>
      <c r="AB24" s="221"/>
      <c r="AC24" s="221"/>
      <c r="AD24" s="221"/>
      <c r="AE24" s="221"/>
      <c r="AF24" s="221"/>
      <c r="AG24" s="221"/>
      <c r="AH24" s="221"/>
      <c r="AI24" s="221"/>
      <c r="AJ24" s="221"/>
    </row>
    <row r="25" spans="2:69" ht="29.25" customHeight="1" x14ac:dyDescent="0.35">
      <c r="B25" s="489" t="s">
        <v>1922</v>
      </c>
      <c r="C25" s="220"/>
      <c r="D25" s="220"/>
      <c r="E25" s="220"/>
      <c r="F25" s="220"/>
      <c r="G25" s="220"/>
      <c r="H25" s="232"/>
      <c r="I25" s="232"/>
      <c r="J25" s="232"/>
      <c r="K25" s="232"/>
      <c r="L25" s="232"/>
      <c r="M25" s="436">
        <v>2533.9</v>
      </c>
      <c r="N25" s="436">
        <v>2571.6999999999998</v>
      </c>
      <c r="O25" s="436">
        <v>2625.1</v>
      </c>
      <c r="P25" s="436">
        <v>2664.2</v>
      </c>
      <c r="Q25" s="436">
        <v>2719.7</v>
      </c>
      <c r="R25" s="436">
        <v>2803.4</v>
      </c>
      <c r="S25" s="436">
        <v>2841.5</v>
      </c>
      <c r="T25" s="436">
        <v>2880.6</v>
      </c>
      <c r="U25" s="436">
        <v>2913.2</v>
      </c>
      <c r="V25" s="436">
        <v>2925.5</v>
      </c>
      <c r="W25" s="436">
        <v>3002.9</v>
      </c>
      <c r="X25" s="436">
        <v>3051.8</v>
      </c>
      <c r="Y25" s="436">
        <v>3094.7</v>
      </c>
      <c r="Z25" s="437">
        <v>3131</v>
      </c>
      <c r="AA25" s="437">
        <v>3158.7</v>
      </c>
      <c r="AB25" s="437">
        <v>3185.3</v>
      </c>
      <c r="AC25" s="437">
        <v>3213.1</v>
      </c>
      <c r="AD25" s="437">
        <v>3241</v>
      </c>
      <c r="AE25" s="437">
        <v>3268</v>
      </c>
      <c r="AF25" s="437">
        <v>3294.9</v>
      </c>
      <c r="AG25" s="437">
        <v>3323</v>
      </c>
      <c r="AH25" s="437">
        <v>3350.6</v>
      </c>
      <c r="AI25" s="437">
        <v>3378.6</v>
      </c>
      <c r="AJ25" s="437">
        <v>3406.2</v>
      </c>
      <c r="AK25" s="437">
        <v>3432.7</v>
      </c>
      <c r="AL25" s="437">
        <v>3459.9</v>
      </c>
      <c r="AM25" s="437">
        <v>3486.6</v>
      </c>
      <c r="AN25" s="437">
        <v>3513.5</v>
      </c>
      <c r="AO25" s="437">
        <v>3540.6</v>
      </c>
      <c r="AP25" s="437">
        <v>3567.5</v>
      </c>
      <c r="AQ25" s="437">
        <v>3594.6</v>
      </c>
      <c r="AR25" s="437">
        <v>3622.1</v>
      </c>
      <c r="AS25" s="437">
        <v>3649.4</v>
      </c>
      <c r="AT25" s="437">
        <v>3677.5</v>
      </c>
      <c r="AU25" s="437">
        <v>3705.3</v>
      </c>
      <c r="AV25" s="437">
        <v>3733.6</v>
      </c>
      <c r="AW25" s="437">
        <v>3762.8</v>
      </c>
      <c r="AX25" s="437">
        <v>3792.4</v>
      </c>
      <c r="AY25" s="437">
        <v>3822.3</v>
      </c>
      <c r="AZ25" s="437">
        <v>3852.7</v>
      </c>
      <c r="BA25" s="437">
        <v>3883.6</v>
      </c>
      <c r="BB25" s="437">
        <v>3915</v>
      </c>
      <c r="BC25" s="437">
        <v>3946.7</v>
      </c>
      <c r="BD25" s="437">
        <v>3978.2</v>
      </c>
      <c r="BE25" s="437">
        <v>4010.4</v>
      </c>
      <c r="BF25" s="437">
        <v>4043.1</v>
      </c>
      <c r="BG25" s="437">
        <v>4076.2</v>
      </c>
      <c r="BH25" s="437">
        <v>4109.7</v>
      </c>
      <c r="BI25" s="437">
        <v>4143.3999999999996</v>
      </c>
      <c r="BJ25" s="437">
        <v>4177.3999999999996</v>
      </c>
      <c r="BK25" s="437">
        <v>4211.7</v>
      </c>
      <c r="BL25" s="437">
        <v>4246.3</v>
      </c>
      <c r="BM25" s="437">
        <v>4281.3</v>
      </c>
      <c r="BN25" s="437">
        <v>4316.6000000000004</v>
      </c>
      <c r="BO25" s="437">
        <v>4352.2</v>
      </c>
      <c r="BP25" s="437">
        <v>4388.3</v>
      </c>
      <c r="BQ25" s="437">
        <v>4388.3</v>
      </c>
    </row>
    <row r="26" spans="2:69" ht="29.25" customHeight="1" x14ac:dyDescent="0.35">
      <c r="B26" s="489" t="s">
        <v>1923</v>
      </c>
      <c r="C26" s="220"/>
      <c r="D26" s="220"/>
      <c r="E26" s="220"/>
      <c r="F26" s="220"/>
      <c r="G26" s="220"/>
      <c r="H26" s="232"/>
      <c r="I26" s="224"/>
      <c r="J26" s="224"/>
      <c r="K26" s="224"/>
      <c r="L26" s="224"/>
      <c r="M26" s="224">
        <v>7.7759999999999998</v>
      </c>
      <c r="N26" s="224">
        <v>6.1050000000000004</v>
      </c>
      <c r="O26" s="224">
        <v>8.5640000000000001</v>
      </c>
      <c r="P26" s="224">
        <v>6.0890000000000004</v>
      </c>
      <c r="Q26" s="224">
        <v>8.6</v>
      </c>
      <c r="R26" s="224">
        <v>12.888999999999999</v>
      </c>
      <c r="S26" s="224">
        <v>5.55</v>
      </c>
      <c r="T26" s="224">
        <v>5.62</v>
      </c>
      <c r="U26" s="224">
        <v>4.6040000000000001</v>
      </c>
      <c r="V26" s="224">
        <v>1.69</v>
      </c>
      <c r="W26" s="224">
        <v>11.012</v>
      </c>
      <c r="X26" s="224">
        <v>6.6790000000000003</v>
      </c>
      <c r="Y26" s="224">
        <v>5.74</v>
      </c>
      <c r="Z26" s="435">
        <v>4.7670000000000003</v>
      </c>
      <c r="AA26" s="435">
        <v>3.59</v>
      </c>
      <c r="AB26" s="435">
        <v>3.4060000000000001</v>
      </c>
      <c r="AC26" s="435">
        <v>3.54</v>
      </c>
      <c r="AD26" s="435">
        <v>3.5259999999999998</v>
      </c>
      <c r="AE26" s="435">
        <v>3.367</v>
      </c>
      <c r="AF26" s="435">
        <v>3.3359999999999999</v>
      </c>
      <c r="AG26" s="435">
        <v>3.448</v>
      </c>
      <c r="AH26" s="435">
        <v>3.371</v>
      </c>
      <c r="AI26" s="435">
        <v>3.3809999999999998</v>
      </c>
      <c r="AJ26" s="435">
        <v>3.3090000000000002</v>
      </c>
      <c r="AK26" s="435">
        <v>3.1520000000000001</v>
      </c>
      <c r="AL26" s="435">
        <v>3.202</v>
      </c>
      <c r="AM26" s="435">
        <v>3.1219999999999999</v>
      </c>
      <c r="AN26" s="435">
        <v>3.117</v>
      </c>
      <c r="AO26" s="435">
        <v>3.1269999999999998</v>
      </c>
      <c r="AP26" s="435">
        <v>3.069</v>
      </c>
      <c r="AQ26" s="435">
        <v>3.081</v>
      </c>
      <c r="AR26" s="435">
        <v>3.0859999999999999</v>
      </c>
      <c r="AS26" s="435">
        <v>3.0489999999999999</v>
      </c>
      <c r="AT26" s="435">
        <v>3.1139999999999999</v>
      </c>
      <c r="AU26" s="435">
        <v>3.0670000000000002</v>
      </c>
      <c r="AV26" s="435">
        <v>3.0880000000000001</v>
      </c>
      <c r="AW26" s="435">
        <v>3.1659999999999999</v>
      </c>
      <c r="AX26" s="435">
        <v>3.1749999999999998</v>
      </c>
      <c r="AY26" s="435">
        <v>3.1960000000000002</v>
      </c>
      <c r="AZ26" s="435">
        <v>3.2229999999999999</v>
      </c>
      <c r="BA26" s="435">
        <v>3.246</v>
      </c>
      <c r="BB26" s="435">
        <v>3.2730000000000001</v>
      </c>
      <c r="BC26" s="435">
        <v>3.2709999999999999</v>
      </c>
      <c r="BD26" s="435">
        <v>3.23</v>
      </c>
      <c r="BE26" s="435">
        <v>3.2839999999999998</v>
      </c>
      <c r="BF26" s="435">
        <v>3.298</v>
      </c>
      <c r="BG26" s="435">
        <v>3.3170000000000002</v>
      </c>
      <c r="BH26" s="435">
        <v>3.3290000000000002</v>
      </c>
      <c r="BI26" s="435">
        <v>3.32</v>
      </c>
      <c r="BJ26" s="435">
        <v>3.3220000000000001</v>
      </c>
      <c r="BK26" s="435">
        <v>3.323</v>
      </c>
      <c r="BL26" s="435">
        <v>3.3290000000000002</v>
      </c>
      <c r="BM26" s="435">
        <v>3.3290000000000002</v>
      </c>
      <c r="BN26" s="435">
        <v>3.3380000000000001</v>
      </c>
      <c r="BO26" s="435">
        <v>3.347</v>
      </c>
      <c r="BP26" s="435">
        <v>3.3559999999999999</v>
      </c>
      <c r="BQ26" s="435">
        <v>3.3559999999999999</v>
      </c>
    </row>
    <row r="27" spans="2:69" ht="21" customHeight="1" x14ac:dyDescent="0.35">
      <c r="B27" s="477" t="s">
        <v>1924</v>
      </c>
      <c r="C27" s="247"/>
      <c r="D27" s="247"/>
      <c r="E27" s="247"/>
      <c r="F27" s="247"/>
      <c r="G27" s="247"/>
      <c r="H27" s="227"/>
      <c r="I27" s="227"/>
      <c r="J27" s="227"/>
      <c r="K27" s="227"/>
      <c r="L27" s="227"/>
      <c r="M27" s="227">
        <f t="shared" ref="M27:V27" si="2">((M24/L24)^4-1)*100</f>
        <v>7.3951837662748376</v>
      </c>
      <c r="N27" s="227">
        <f t="shared" si="2"/>
        <v>6.2002440796854685</v>
      </c>
      <c r="O27" s="227">
        <f t="shared" si="2"/>
        <v>9.061956208359101</v>
      </c>
      <c r="P27" s="227">
        <f t="shared" si="2"/>
        <v>5.654312677598905</v>
      </c>
      <c r="Q27" s="227">
        <f t="shared" si="2"/>
        <v>9.4252525319924239</v>
      </c>
      <c r="R27" s="227">
        <f t="shared" si="2"/>
        <v>13.777135506982653</v>
      </c>
      <c r="S27" s="227">
        <f t="shared" si="2"/>
        <v>3.3370035827759992</v>
      </c>
      <c r="T27" s="227">
        <f t="shared" si="2"/>
        <v>4.5713539197219211</v>
      </c>
      <c r="U27" s="227">
        <f t="shared" si="2"/>
        <v>3.1580235074152974</v>
      </c>
      <c r="V27" s="227">
        <f t="shared" si="2"/>
        <v>1.5435944799445434</v>
      </c>
      <c r="W27" s="441">
        <f>((W24/V24)^4-1)*100</f>
        <v>10.203033975028175</v>
      </c>
      <c r="X27" s="441">
        <f>((X24/W24)^4-1)*100</f>
        <v>5.977247036875788</v>
      </c>
      <c r="Y27" s="441">
        <f>((Y24/X24)^4-1)*100</f>
        <v>7.0279245631410303</v>
      </c>
      <c r="Z27" s="441">
        <f>((Z24/Y24)^4-1)*100</f>
        <v>3.9923729240887385</v>
      </c>
      <c r="AA27" s="441">
        <f>((AA24/Z24)^4-1)*100</f>
        <v>5.0327892309228517</v>
      </c>
      <c r="AB27" s="221">
        <f>AB26+0.3</f>
        <v>3.706</v>
      </c>
      <c r="AC27" s="221">
        <f t="shared" ref="AC27:AD27" si="3">AC26</f>
        <v>3.54</v>
      </c>
      <c r="AD27" s="221">
        <f t="shared" si="3"/>
        <v>3.5259999999999998</v>
      </c>
      <c r="AE27" s="221">
        <f>AE26</f>
        <v>3.367</v>
      </c>
      <c r="AF27" s="221">
        <f>AF26</f>
        <v>3.3359999999999999</v>
      </c>
      <c r="AG27" s="221">
        <f>AG26</f>
        <v>3.448</v>
      </c>
      <c r="AH27" s="221">
        <f>AH26</f>
        <v>3.371</v>
      </c>
      <c r="AI27" s="221">
        <f t="shared" ref="AI27:AJ27" si="4">AI26</f>
        <v>3.3809999999999998</v>
      </c>
      <c r="AJ27" s="221">
        <f t="shared" si="4"/>
        <v>3.3090000000000002</v>
      </c>
      <c r="AK27" s="485" t="s">
        <v>390</v>
      </c>
    </row>
    <row r="28" spans="2:69" ht="17.899999999999999" customHeight="1" x14ac:dyDescent="0.35">
      <c r="B28" s="488" t="s">
        <v>391</v>
      </c>
      <c r="C28" s="252"/>
      <c r="D28" s="252"/>
      <c r="E28" s="252"/>
      <c r="F28" s="252"/>
      <c r="G28" s="252"/>
      <c r="H28" s="230">
        <f t="shared" ref="H28:T28" si="5">H24</f>
        <v>2425.1</v>
      </c>
      <c r="I28" s="230">
        <f t="shared" si="5"/>
        <v>2483.6999999999998</v>
      </c>
      <c r="J28" s="230">
        <f t="shared" si="5"/>
        <v>2458.1999999999998</v>
      </c>
      <c r="K28" s="230">
        <f t="shared" si="5"/>
        <v>2475.1</v>
      </c>
      <c r="L28" s="230">
        <f t="shared" si="5"/>
        <v>2489.4</v>
      </c>
      <c r="M28" s="230">
        <f t="shared" si="5"/>
        <v>2534.1999999999998</v>
      </c>
      <c r="N28" s="230">
        <f t="shared" si="5"/>
        <v>2572.6</v>
      </c>
      <c r="O28" s="230">
        <f t="shared" si="5"/>
        <v>2629</v>
      </c>
      <c r="P28" s="230">
        <f t="shared" si="5"/>
        <v>2665.4</v>
      </c>
      <c r="Q28" s="230">
        <f t="shared" si="5"/>
        <v>2726.1</v>
      </c>
      <c r="R28" s="230">
        <f t="shared" si="5"/>
        <v>2815.5</v>
      </c>
      <c r="S28" s="295">
        <f t="shared" si="5"/>
        <v>2838.7</v>
      </c>
      <c r="T28" s="295">
        <f t="shared" si="5"/>
        <v>2870.6</v>
      </c>
      <c r="U28" s="295">
        <f t="shared" ref="U28:Z28" si="6">U24</f>
        <v>2893</v>
      </c>
      <c r="V28" s="295">
        <f t="shared" si="6"/>
        <v>2904.1</v>
      </c>
      <c r="W28" s="295">
        <f t="shared" si="6"/>
        <v>2975.5</v>
      </c>
      <c r="X28" s="295">
        <f t="shared" si="6"/>
        <v>3019</v>
      </c>
      <c r="Y28" s="295">
        <f t="shared" si="6"/>
        <v>3070.7</v>
      </c>
      <c r="Z28" s="295">
        <f t="shared" si="6"/>
        <v>3100.9</v>
      </c>
      <c r="AA28" s="295">
        <f t="shared" ref="AA28" si="7">AA24</f>
        <v>3139.2</v>
      </c>
      <c r="AB28" s="459">
        <f>AA28*((1+AB27/100)^0.25)</f>
        <v>3167.8890051480512</v>
      </c>
      <c r="AC28" s="459">
        <f>AB28*((1+AC27/100)^0.25)</f>
        <v>3195.5601505741402</v>
      </c>
      <c r="AD28" s="459">
        <f>AC28*((1+AD27/100)^0.25)</f>
        <v>3223.3640305199597</v>
      </c>
      <c r="AE28" s="459">
        <f t="shared" ref="AE28:AF28" si="8">AD28*((1+AE27/100)^0.25)</f>
        <v>3250.1606901215455</v>
      </c>
      <c r="AF28" s="459">
        <f t="shared" si="8"/>
        <v>3276.9343811976842</v>
      </c>
      <c r="AG28" s="459">
        <f>AF28*((1+AG27/100)^0.25)</f>
        <v>3304.8234959558649</v>
      </c>
      <c r="AH28" s="459">
        <f>AG28*((1+AH27/100)^0.25)</f>
        <v>3332.329586248482</v>
      </c>
      <c r="AI28" s="459">
        <f t="shared" ref="AI28:AJ28" si="9">AH28*((1+AI27/100)^0.25)</f>
        <v>3360.1458694161415</v>
      </c>
      <c r="AJ28" s="459">
        <f t="shared" si="9"/>
        <v>3387.6042625842297</v>
      </c>
    </row>
    <row r="29" spans="2:69" x14ac:dyDescent="0.35">
      <c r="B29" s="478" t="s">
        <v>392</v>
      </c>
      <c r="C29" s="479"/>
      <c r="D29" s="479"/>
      <c r="E29" s="479"/>
      <c r="F29" s="479"/>
      <c r="G29" s="479"/>
      <c r="H29" s="484">
        <f t="shared" ref="H29:P29" si="10">H24-H51</f>
        <v>2143.788</v>
      </c>
      <c r="I29" s="484">
        <f t="shared" si="10"/>
        <v>2195.9409999999998</v>
      </c>
      <c r="J29" s="484">
        <f t="shared" si="10"/>
        <v>2061.5219999999999</v>
      </c>
      <c r="K29" s="484">
        <f t="shared" si="10"/>
        <v>2100.2359999999999</v>
      </c>
      <c r="L29" s="484">
        <f t="shared" si="10"/>
        <v>2120.6410000000001</v>
      </c>
      <c r="M29" s="484">
        <f t="shared" si="10"/>
        <v>2142.7459999999996</v>
      </c>
      <c r="N29" s="484">
        <f t="shared" si="10"/>
        <v>2143.3249999999998</v>
      </c>
      <c r="O29" s="484">
        <f t="shared" si="10"/>
        <v>2185.5480000000002</v>
      </c>
      <c r="P29" s="484">
        <f t="shared" si="10"/>
        <v>2193.252148</v>
      </c>
      <c r="Q29" s="484">
        <f t="shared" ref="Q29:AC29" si="11">Q28-Q51</f>
        <v>2220.2777252000001</v>
      </c>
      <c r="R29" s="484">
        <f t="shared" si="11"/>
        <v>2239.963968</v>
      </c>
      <c r="S29" s="484">
        <f t="shared" si="11"/>
        <v>2280.361132</v>
      </c>
      <c r="T29" s="484">
        <f t="shared" si="11"/>
        <v>2344.4670719999999</v>
      </c>
      <c r="U29" s="484">
        <f t="shared" si="11"/>
        <v>2375.9634568000001</v>
      </c>
      <c r="V29" s="232">
        <f t="shared" si="11"/>
        <v>2394.29628</v>
      </c>
      <c r="W29" s="232">
        <f t="shared" si="11"/>
        <v>2481.7960560000001</v>
      </c>
      <c r="X29" s="232">
        <f t="shared" si="11"/>
        <v>2509.0190560000001</v>
      </c>
      <c r="Y29" s="336">
        <f t="shared" si="11"/>
        <v>2558.3120559999998</v>
      </c>
      <c r="Z29" s="336">
        <f t="shared" si="11"/>
        <v>2582.6218910000002</v>
      </c>
      <c r="AA29" s="336">
        <f t="shared" si="11"/>
        <v>2599.5916699999998</v>
      </c>
      <c r="AB29" s="336">
        <f t="shared" si="11"/>
        <v>2621.5269792643644</v>
      </c>
      <c r="AC29" s="336">
        <f t="shared" si="11"/>
        <v>2665.6163535958367</v>
      </c>
      <c r="AD29" s="336"/>
      <c r="AE29" s="336"/>
      <c r="AF29" s="336"/>
      <c r="AG29" s="336"/>
      <c r="AH29" s="336"/>
      <c r="AI29" s="336"/>
      <c r="AJ29" s="336"/>
      <c r="AK29" s="239" t="s">
        <v>393</v>
      </c>
    </row>
    <row r="30" spans="2:69" x14ac:dyDescent="0.35">
      <c r="B30" s="57"/>
      <c r="C30" s="57"/>
      <c r="D30" s="57"/>
      <c r="E30" s="57"/>
      <c r="F30" s="57"/>
      <c r="G30" s="57"/>
      <c r="H30" s="57"/>
      <c r="I30" s="57"/>
      <c r="J30" s="57"/>
      <c r="K30" s="57"/>
      <c r="L30" s="57"/>
      <c r="M30" s="490"/>
      <c r="N30" s="490"/>
      <c r="O30" s="490"/>
      <c r="P30" s="490"/>
      <c r="Q30" s="490"/>
      <c r="R30" s="490"/>
      <c r="S30" s="490"/>
      <c r="T30" s="490"/>
      <c r="U30" s="490"/>
      <c r="V30" s="490"/>
      <c r="W30" s="490"/>
      <c r="X30" s="490"/>
      <c r="Y30" s="490"/>
      <c r="Z30" s="134"/>
      <c r="AA30" s="134"/>
      <c r="AB30" s="134"/>
      <c r="AC30" s="134"/>
      <c r="AD30" s="134"/>
      <c r="AE30" s="134"/>
      <c r="AF30" s="134"/>
      <c r="AG30" s="134"/>
      <c r="AH30" s="134"/>
    </row>
    <row r="31" spans="2:69" x14ac:dyDescent="0.35">
      <c r="B31" s="57"/>
      <c r="C31" s="57"/>
      <c r="D31" s="57"/>
      <c r="E31" s="57"/>
      <c r="F31" s="57"/>
      <c r="G31" s="57"/>
      <c r="H31" s="57"/>
      <c r="I31" s="57"/>
      <c r="J31" s="57"/>
      <c r="K31" s="57"/>
      <c r="L31" s="57"/>
      <c r="M31" s="490"/>
      <c r="N31" s="490"/>
      <c r="O31" s="490"/>
      <c r="Q31" s="490"/>
      <c r="R31" s="490"/>
      <c r="S31" s="134"/>
      <c r="T31" s="134"/>
      <c r="U31" s="134"/>
      <c r="V31" s="134"/>
      <c r="Y31" s="134"/>
      <c r="Z31" s="134"/>
      <c r="AA31" s="134"/>
      <c r="AB31" s="134"/>
      <c r="AC31" s="134"/>
      <c r="AD31" s="134"/>
      <c r="AE31" s="134"/>
      <c r="AF31" s="134"/>
      <c r="AG31" s="134"/>
      <c r="AH31" s="134"/>
    </row>
    <row r="32" spans="2:69" x14ac:dyDescent="0.35">
      <c r="B32" s="247"/>
      <c r="C32" s="247"/>
      <c r="D32" s="247"/>
      <c r="E32" s="247"/>
      <c r="F32" s="247"/>
      <c r="G32" s="247"/>
      <c r="H32" s="232"/>
      <c r="I32" s="232"/>
      <c r="J32" s="232"/>
      <c r="K32" s="232"/>
      <c r="L32" s="232"/>
      <c r="M32" s="232"/>
      <c r="N32" s="232"/>
      <c r="O32" s="232"/>
      <c r="P32" s="232"/>
      <c r="Q32" s="483"/>
      <c r="R32" s="232"/>
      <c r="S32" s="232"/>
      <c r="T32" s="232"/>
      <c r="U32" s="232"/>
      <c r="V32" s="232"/>
      <c r="W32" s="232"/>
      <c r="X32" s="232"/>
      <c r="Y32" s="232"/>
      <c r="Z32" s="232"/>
    </row>
    <row r="33" spans="2:49" ht="85.4" customHeight="1" x14ac:dyDescent="0.35">
      <c r="B33" s="444" t="s">
        <v>881</v>
      </c>
      <c r="C33" s="447" t="s">
        <v>880</v>
      </c>
      <c r="D33" s="445">
        <v>44197</v>
      </c>
      <c r="E33" s="446">
        <v>44228</v>
      </c>
      <c r="F33" s="446">
        <v>44256</v>
      </c>
      <c r="G33" s="446">
        <v>44287</v>
      </c>
      <c r="H33" s="446">
        <v>44317</v>
      </c>
      <c r="I33" s="446">
        <v>44348</v>
      </c>
      <c r="J33" s="446">
        <v>44378</v>
      </c>
      <c r="K33" s="446">
        <v>44409</v>
      </c>
      <c r="L33" s="446">
        <v>44440</v>
      </c>
      <c r="M33" s="446">
        <v>44470</v>
      </c>
      <c r="N33" s="446">
        <v>44501</v>
      </c>
      <c r="O33" s="446">
        <v>44531</v>
      </c>
      <c r="P33" s="136">
        <v>44562</v>
      </c>
      <c r="Q33" s="443">
        <v>44593</v>
      </c>
      <c r="R33" s="136">
        <v>44621</v>
      </c>
      <c r="S33" s="136">
        <v>44652</v>
      </c>
      <c r="T33" s="136">
        <v>44682</v>
      </c>
      <c r="U33" s="136">
        <v>44713</v>
      </c>
      <c r="V33" s="136">
        <v>44743</v>
      </c>
      <c r="W33" s="136">
        <v>44774</v>
      </c>
      <c r="X33" s="136">
        <v>44805</v>
      </c>
      <c r="Y33" s="136">
        <v>44835</v>
      </c>
      <c r="Z33" s="136">
        <v>44866</v>
      </c>
      <c r="AA33" s="136">
        <v>44896</v>
      </c>
      <c r="AB33" s="136">
        <v>44927</v>
      </c>
      <c r="AC33" s="136">
        <v>44958</v>
      </c>
      <c r="AD33" s="136">
        <v>44986</v>
      </c>
      <c r="AE33" s="136">
        <v>45017</v>
      </c>
      <c r="AF33" s="136">
        <v>45047</v>
      </c>
      <c r="AG33" s="136">
        <v>45078</v>
      </c>
      <c r="AH33" s="136">
        <v>45108</v>
      </c>
      <c r="AI33" s="136">
        <v>45139</v>
      </c>
      <c r="AJ33" s="136">
        <v>45170</v>
      </c>
      <c r="AK33" s="136">
        <v>45200</v>
      </c>
      <c r="AL33" s="136">
        <v>45231</v>
      </c>
      <c r="AM33" s="136">
        <v>45261</v>
      </c>
      <c r="AN33" s="136">
        <v>45292</v>
      </c>
      <c r="AO33" s="136">
        <v>45323</v>
      </c>
      <c r="AP33" s="136">
        <v>45352</v>
      </c>
      <c r="AQ33" s="136">
        <v>45383</v>
      </c>
      <c r="AR33" s="136">
        <v>45413</v>
      </c>
      <c r="AS33" s="136">
        <v>45444</v>
      </c>
      <c r="AT33" s="136">
        <v>45474</v>
      </c>
      <c r="AU33" s="136">
        <v>45505</v>
      </c>
      <c r="AV33" s="136">
        <v>45536</v>
      </c>
      <c r="AW33" s="136">
        <v>45566</v>
      </c>
    </row>
    <row r="34" spans="2:49" ht="19.5" customHeight="1" x14ac:dyDescent="0.35">
      <c r="B34" s="351" t="s">
        <v>394</v>
      </c>
      <c r="C34" s="442" t="s">
        <v>395</v>
      </c>
      <c r="D34" s="57">
        <v>5159</v>
      </c>
      <c r="E34" s="57">
        <v>5166</v>
      </c>
      <c r="F34" s="57">
        <v>5196</v>
      </c>
      <c r="G34" s="57">
        <v>5189</v>
      </c>
      <c r="H34" s="57">
        <v>5174</v>
      </c>
      <c r="I34" s="57">
        <v>5188</v>
      </c>
      <c r="J34" s="57">
        <v>5164</v>
      </c>
      <c r="K34" s="57">
        <v>5150</v>
      </c>
      <c r="L34" s="57">
        <v>5141</v>
      </c>
      <c r="M34" s="57">
        <v>5136</v>
      </c>
      <c r="N34" s="57">
        <v>5123</v>
      </c>
      <c r="O34" s="57">
        <v>5121</v>
      </c>
      <c r="P34" s="57">
        <v>5094</v>
      </c>
      <c r="Q34" s="57">
        <v>5083</v>
      </c>
      <c r="R34" s="57">
        <v>5065</v>
      </c>
      <c r="S34" s="57">
        <v>5080</v>
      </c>
      <c r="T34" s="57">
        <v>5096</v>
      </c>
      <c r="U34" s="57">
        <v>5103</v>
      </c>
      <c r="V34" s="57">
        <v>5129</v>
      </c>
      <c r="W34" s="57">
        <v>5139</v>
      </c>
      <c r="X34" s="57">
        <v>5148</v>
      </c>
      <c r="Y34" s="449">
        <v>5143</v>
      </c>
      <c r="Z34" s="450">
        <v>5161</v>
      </c>
      <c r="AA34" s="449">
        <v>5131</v>
      </c>
      <c r="AB34" s="449">
        <v>5206</v>
      </c>
      <c r="AC34" s="449">
        <v>5229</v>
      </c>
      <c r="AD34" s="449">
        <v>5249</v>
      </c>
      <c r="AE34" s="449">
        <v>5263</v>
      </c>
      <c r="AF34" s="449">
        <v>5280</v>
      </c>
      <c r="AG34" s="449">
        <v>5301</v>
      </c>
      <c r="AH34" s="448">
        <v>5301</v>
      </c>
      <c r="AI34">
        <v>5329</v>
      </c>
      <c r="AJ34">
        <v>5346</v>
      </c>
      <c r="AK34">
        <v>5375</v>
      </c>
      <c r="AL34">
        <v>5383</v>
      </c>
      <c r="AM34">
        <v>5404</v>
      </c>
      <c r="AN34">
        <v>5420</v>
      </c>
      <c r="AO34">
        <v>5434</v>
      </c>
      <c r="AP34">
        <v>5444</v>
      </c>
      <c r="AQ34">
        <v>5448</v>
      </c>
      <c r="AR34">
        <v>5429</v>
      </c>
      <c r="AS34">
        <v>5436</v>
      </c>
      <c r="AT34">
        <v>5459</v>
      </c>
      <c r="AU34">
        <v>5473</v>
      </c>
      <c r="AV34">
        <v>5486</v>
      </c>
      <c r="AW34">
        <v>5504</v>
      </c>
    </row>
    <row r="35" spans="2:49" ht="18" customHeight="1" x14ac:dyDescent="0.35">
      <c r="B35" s="246" t="s">
        <v>396</v>
      </c>
      <c r="C35" s="239" t="s">
        <v>397</v>
      </c>
      <c r="D35" s="57">
        <v>13746</v>
      </c>
      <c r="E35" s="57">
        <v>13733</v>
      </c>
      <c r="F35" s="57">
        <v>13781</v>
      </c>
      <c r="G35" s="57">
        <v>13830</v>
      </c>
      <c r="H35" s="57">
        <v>13854</v>
      </c>
      <c r="I35" s="57">
        <v>13941</v>
      </c>
      <c r="J35" s="57">
        <v>14023</v>
      </c>
      <c r="K35" s="57">
        <v>14053</v>
      </c>
      <c r="L35" s="57">
        <v>14047</v>
      </c>
      <c r="M35" s="57">
        <v>14022</v>
      </c>
      <c r="N35" s="57">
        <v>14028</v>
      </c>
      <c r="O35" s="57">
        <v>14063</v>
      </c>
      <c r="P35" s="57">
        <v>14084</v>
      </c>
      <c r="Q35" s="57">
        <v>14099</v>
      </c>
      <c r="R35" s="451">
        <v>14118</v>
      </c>
      <c r="S35" s="451">
        <v>14140</v>
      </c>
      <c r="T35" s="451">
        <v>14153</v>
      </c>
      <c r="U35" s="451">
        <v>14161</v>
      </c>
      <c r="V35" s="451">
        <v>14272</v>
      </c>
      <c r="W35" s="451">
        <v>14266</v>
      </c>
      <c r="X35" s="451">
        <v>14260</v>
      </c>
      <c r="Y35" s="451">
        <v>14287</v>
      </c>
      <c r="Z35" s="451">
        <v>14328</v>
      </c>
      <c r="AA35" s="451">
        <v>14360</v>
      </c>
      <c r="AB35" s="451">
        <v>14402</v>
      </c>
      <c r="AC35" s="451">
        <v>14430</v>
      </c>
      <c r="AD35" s="451">
        <v>14457</v>
      </c>
      <c r="AE35" s="451">
        <v>14482</v>
      </c>
      <c r="AF35" s="451">
        <v>14508</v>
      </c>
      <c r="AG35" s="451">
        <v>14536</v>
      </c>
      <c r="AH35" s="451">
        <v>14564</v>
      </c>
      <c r="AI35" s="451">
        <v>14585</v>
      </c>
      <c r="AJ35" s="451">
        <v>14612</v>
      </c>
      <c r="AK35" s="451">
        <v>14642</v>
      </c>
      <c r="AL35" s="451">
        <v>14665</v>
      </c>
      <c r="AM35" s="451">
        <v>14711</v>
      </c>
      <c r="AN35" s="451">
        <v>14742</v>
      </c>
      <c r="AO35" s="451">
        <v>14776</v>
      </c>
      <c r="AP35">
        <v>14832</v>
      </c>
      <c r="AQ35" s="451">
        <v>14828</v>
      </c>
      <c r="AR35">
        <v>14856</v>
      </c>
      <c r="AS35">
        <v>14868</v>
      </c>
      <c r="AT35">
        <v>14890</v>
      </c>
      <c r="AU35">
        <v>14916</v>
      </c>
      <c r="AV35">
        <v>14930</v>
      </c>
      <c r="AW35">
        <v>14951</v>
      </c>
    </row>
    <row r="36" spans="2:49" ht="18" customHeight="1" x14ac:dyDescent="0.35">
      <c r="B36" s="246" t="s">
        <v>1897</v>
      </c>
      <c r="C36" s="239"/>
      <c r="D36" s="57"/>
      <c r="E36" s="57"/>
      <c r="F36" s="57"/>
      <c r="G36" s="57"/>
      <c r="H36" s="57"/>
      <c r="I36" s="57"/>
      <c r="J36" s="57"/>
      <c r="K36" s="57"/>
      <c r="L36" s="57"/>
      <c r="M36" s="57"/>
      <c r="N36" s="57"/>
      <c r="O36" s="57"/>
      <c r="P36" s="57"/>
      <c r="Q36" s="57"/>
      <c r="R36" s="451"/>
      <c r="S36" s="451"/>
      <c r="T36" s="451"/>
      <c r="U36" s="451"/>
      <c r="V36" s="451">
        <f>V34+V35</f>
        <v>19401</v>
      </c>
      <c r="W36" s="451">
        <f t="shared" ref="W36:AR36" si="12">W34+W35</f>
        <v>19405</v>
      </c>
      <c r="X36" s="451">
        <f t="shared" si="12"/>
        <v>19408</v>
      </c>
      <c r="Y36" s="451">
        <f t="shared" si="12"/>
        <v>19430</v>
      </c>
      <c r="Z36" s="451">
        <f t="shared" si="12"/>
        <v>19489</v>
      </c>
      <c r="AA36" s="451">
        <f t="shared" si="12"/>
        <v>19491</v>
      </c>
      <c r="AB36" s="451">
        <f t="shared" si="12"/>
        <v>19608</v>
      </c>
      <c r="AC36" s="451">
        <f t="shared" si="12"/>
        <v>19659</v>
      </c>
      <c r="AD36" s="451">
        <f t="shared" si="12"/>
        <v>19706</v>
      </c>
      <c r="AE36" s="451">
        <f t="shared" si="12"/>
        <v>19745</v>
      </c>
      <c r="AF36" s="451">
        <f t="shared" si="12"/>
        <v>19788</v>
      </c>
      <c r="AG36" s="451">
        <f t="shared" si="12"/>
        <v>19837</v>
      </c>
      <c r="AH36" s="451">
        <f t="shared" si="12"/>
        <v>19865</v>
      </c>
      <c r="AI36" s="451">
        <f t="shared" si="12"/>
        <v>19914</v>
      </c>
      <c r="AJ36" s="451">
        <f t="shared" si="12"/>
        <v>19958</v>
      </c>
      <c r="AK36" s="451">
        <f t="shared" si="12"/>
        <v>20017</v>
      </c>
      <c r="AL36" s="451">
        <f t="shared" si="12"/>
        <v>20048</v>
      </c>
      <c r="AM36" s="451">
        <f t="shared" si="12"/>
        <v>20115</v>
      </c>
      <c r="AN36" s="451">
        <f t="shared" si="12"/>
        <v>20162</v>
      </c>
      <c r="AO36" s="451">
        <f t="shared" si="12"/>
        <v>20210</v>
      </c>
      <c r="AP36" s="451">
        <f t="shared" si="12"/>
        <v>20276</v>
      </c>
      <c r="AQ36" s="451">
        <f t="shared" si="12"/>
        <v>20276</v>
      </c>
      <c r="AR36" s="451">
        <f t="shared" si="12"/>
        <v>20285</v>
      </c>
      <c r="AS36" s="451">
        <f>AS34+AS35</f>
        <v>20304</v>
      </c>
      <c r="AT36" s="451">
        <f>AT34+AT35</f>
        <v>20349</v>
      </c>
      <c r="AU36" s="451">
        <f>AU34+AU35</f>
        <v>20389</v>
      </c>
      <c r="AV36" s="451">
        <f>AV34+AV35</f>
        <v>20416</v>
      </c>
      <c r="AW36" s="451">
        <f>AW34+AW35</f>
        <v>20455</v>
      </c>
    </row>
    <row r="37" spans="2:49" ht="19.5" customHeight="1" x14ac:dyDescent="0.35">
      <c r="B37" s="478" t="s">
        <v>398</v>
      </c>
      <c r="C37" s="357" t="s">
        <v>399</v>
      </c>
      <c r="D37" s="57">
        <v>345102</v>
      </c>
      <c r="E37" s="451">
        <v>335151</v>
      </c>
      <c r="F37" s="451">
        <v>336955</v>
      </c>
      <c r="G37" s="451">
        <v>335574</v>
      </c>
      <c r="H37" s="451">
        <v>338521</v>
      </c>
      <c r="I37" s="451">
        <v>329746</v>
      </c>
      <c r="J37" s="451">
        <v>328919</v>
      </c>
      <c r="K37" s="451">
        <v>333989</v>
      </c>
      <c r="L37" s="451">
        <v>326840</v>
      </c>
      <c r="M37" s="451">
        <v>327373</v>
      </c>
      <c r="N37" s="451">
        <v>331380</v>
      </c>
      <c r="O37" s="451">
        <v>331492</v>
      </c>
      <c r="P37" s="451">
        <v>334244</v>
      </c>
      <c r="Q37" s="451">
        <v>338416</v>
      </c>
      <c r="R37" s="451">
        <v>339417</v>
      </c>
      <c r="S37" s="451">
        <v>345062</v>
      </c>
      <c r="T37" s="451">
        <v>339178</v>
      </c>
      <c r="U37" s="451">
        <v>342484</v>
      </c>
      <c r="V37" s="451">
        <v>350972</v>
      </c>
      <c r="W37" s="451">
        <v>350286</v>
      </c>
      <c r="X37" s="451">
        <v>355116</v>
      </c>
      <c r="Y37" s="451">
        <v>354474</v>
      </c>
      <c r="Z37" s="451">
        <v>359543</v>
      </c>
      <c r="AA37" s="451">
        <v>361033</v>
      </c>
      <c r="AB37" s="451">
        <v>364867</v>
      </c>
      <c r="AC37" s="451">
        <v>371673</v>
      </c>
      <c r="AD37" s="451">
        <v>374555</v>
      </c>
      <c r="AE37" s="451">
        <v>382073</v>
      </c>
      <c r="AF37" s="451">
        <v>388978</v>
      </c>
      <c r="AG37" s="451">
        <v>396538</v>
      </c>
      <c r="AH37" s="451">
        <v>404059</v>
      </c>
      <c r="AI37" s="451">
        <v>407847</v>
      </c>
      <c r="AJ37" s="451">
        <v>418897</v>
      </c>
      <c r="AK37" s="239">
        <v>432334</v>
      </c>
      <c r="AL37" s="451">
        <v>440095</v>
      </c>
      <c r="AM37" s="451">
        <v>446894</v>
      </c>
      <c r="AN37" s="451">
        <v>445408</v>
      </c>
      <c r="AO37">
        <v>448458</v>
      </c>
      <c r="AP37" s="451">
        <v>453062</v>
      </c>
      <c r="AQ37">
        <v>451154</v>
      </c>
    </row>
    <row r="38" spans="2:49" ht="15.65" customHeight="1" x14ac:dyDescent="0.35">
      <c r="B38" s="252"/>
      <c r="C38" s="247"/>
    </row>
    <row r="39" spans="2:49" ht="12.75" customHeight="1" x14ac:dyDescent="0.35"/>
    <row r="40" spans="2:49" x14ac:dyDescent="0.35">
      <c r="B40" s="1321" t="s">
        <v>400</v>
      </c>
      <c r="C40" s="1321"/>
      <c r="D40" s="1321"/>
      <c r="E40" s="1321"/>
      <c r="F40" s="1321"/>
      <c r="G40" s="1321"/>
      <c r="H40" s="1321"/>
      <c r="I40" s="1321"/>
      <c r="J40" s="1321"/>
      <c r="K40" s="1321"/>
      <c r="L40" s="1321"/>
      <c r="M40" s="1321"/>
      <c r="N40" s="1321"/>
      <c r="O40" s="1321"/>
      <c r="P40" s="1321"/>
      <c r="Q40" s="1321"/>
      <c r="R40" s="1321"/>
      <c r="S40" s="1321"/>
      <c r="T40" s="1321"/>
      <c r="U40" s="1321"/>
      <c r="V40" s="1321"/>
      <c r="W40" s="1321"/>
      <c r="X40" s="1321"/>
      <c r="Y40" s="1321"/>
      <c r="Z40" s="1321"/>
      <c r="AA40" s="1321"/>
      <c r="AB40" s="1321"/>
      <c r="AC40" s="1321"/>
      <c r="AD40" s="210"/>
      <c r="AE40">
        <f>AVERAGE(AE37:AG37)</f>
        <v>389196.33333333331</v>
      </c>
      <c r="AF40" s="210"/>
      <c r="AG40" s="210"/>
      <c r="AH40" s="210"/>
      <c r="AL40" s="239"/>
    </row>
    <row r="41" spans="2:49" ht="20.25" customHeight="1" x14ac:dyDescent="0.35">
      <c r="B41" s="1321"/>
      <c r="C41" s="1321"/>
      <c r="D41" s="1321"/>
      <c r="E41" s="1321"/>
      <c r="F41" s="1321"/>
      <c r="G41" s="1321"/>
      <c r="H41" s="1321"/>
      <c r="I41" s="1321"/>
      <c r="J41" s="1321"/>
      <c r="K41" s="1321"/>
      <c r="L41" s="1321"/>
      <c r="M41" s="1321"/>
      <c r="N41" s="1321"/>
      <c r="O41" s="1321"/>
      <c r="P41" s="1321"/>
      <c r="Q41" s="1321"/>
      <c r="R41" s="1321"/>
      <c r="S41" s="1321"/>
      <c r="T41" s="1321"/>
      <c r="U41" s="1321"/>
      <c r="V41" s="1321"/>
      <c r="W41" s="1321"/>
      <c r="X41" s="1321"/>
      <c r="Y41" s="1321"/>
      <c r="Z41" s="1321"/>
      <c r="AA41" s="1321"/>
      <c r="AB41" s="1321"/>
      <c r="AC41" s="1321"/>
      <c r="AD41" s="210"/>
      <c r="AE41" s="210"/>
      <c r="AF41" s="210"/>
      <c r="AG41" s="210"/>
      <c r="AH41" s="210"/>
      <c r="AL41" s="239"/>
    </row>
    <row r="42" spans="2:49" ht="14.25" customHeight="1" x14ac:dyDescent="0.35">
      <c r="B42" s="1320" t="s">
        <v>401</v>
      </c>
      <c r="C42" s="1320"/>
      <c r="D42" s="1320"/>
      <c r="E42" s="1320"/>
      <c r="F42" s="1320"/>
      <c r="G42" s="1320"/>
      <c r="H42" s="1320"/>
      <c r="I42" s="1320"/>
      <c r="J42" s="1320"/>
      <c r="K42" s="1320"/>
      <c r="L42" s="1320"/>
      <c r="M42" s="1320"/>
      <c r="N42" s="1320"/>
      <c r="O42" s="1320"/>
      <c r="P42" s="1320"/>
      <c r="Q42" s="1320"/>
      <c r="R42" s="1320"/>
      <c r="S42" s="1320"/>
      <c r="T42" s="1320"/>
      <c r="U42" s="1320"/>
      <c r="V42" s="1320"/>
      <c r="W42" s="1320"/>
      <c r="X42" s="1320"/>
      <c r="Y42" s="1320"/>
      <c r="Z42" s="1320"/>
      <c r="AA42" s="1320"/>
      <c r="AB42" s="1320"/>
      <c r="AC42" s="1320"/>
      <c r="AD42" s="378"/>
      <c r="AE42" s="378"/>
      <c r="AF42" s="378"/>
      <c r="AG42" s="378"/>
      <c r="AH42" s="378"/>
      <c r="AL42" s="239"/>
    </row>
    <row r="43" spans="2:49" x14ac:dyDescent="0.35">
      <c r="B43" s="1320"/>
      <c r="C43" s="1320"/>
      <c r="D43" s="1320"/>
      <c r="E43" s="1320"/>
      <c r="F43" s="1320"/>
      <c r="G43" s="1320"/>
      <c r="H43" s="1320"/>
      <c r="I43" s="1320"/>
      <c r="J43" s="1320"/>
      <c r="K43" s="1320"/>
      <c r="L43" s="1320"/>
      <c r="M43" s="1320"/>
      <c r="N43" s="1320"/>
      <c r="O43" s="1320"/>
      <c r="P43" s="1320"/>
      <c r="Q43" s="1320"/>
      <c r="R43" s="1320"/>
      <c r="S43" s="1320"/>
      <c r="T43" s="1320"/>
      <c r="U43" s="1320"/>
      <c r="V43" s="1320"/>
      <c r="W43" s="1320"/>
      <c r="X43" s="1320"/>
      <c r="Y43" s="1320"/>
      <c r="Z43" s="1320"/>
      <c r="AA43" s="1320"/>
      <c r="AB43" s="1320"/>
      <c r="AC43" s="1320"/>
      <c r="AD43" s="378"/>
      <c r="AE43" s="378"/>
      <c r="AF43" s="378"/>
      <c r="AG43" s="378"/>
      <c r="AH43" s="378"/>
      <c r="AL43" s="239"/>
    </row>
    <row r="44" spans="2:49" ht="8.9" customHeight="1" x14ac:dyDescent="0.35">
      <c r="B44" s="1320"/>
      <c r="C44" s="1320"/>
      <c r="D44" s="1320"/>
      <c r="E44" s="1320"/>
      <c r="F44" s="1320"/>
      <c r="G44" s="1320"/>
      <c r="H44" s="1320"/>
      <c r="I44" s="1320"/>
      <c r="J44" s="1320"/>
      <c r="K44" s="1320"/>
      <c r="L44" s="1320"/>
      <c r="M44" s="1320"/>
      <c r="N44" s="1320"/>
      <c r="O44" s="1320"/>
      <c r="P44" s="1320"/>
      <c r="Q44" s="1320"/>
      <c r="R44" s="1320"/>
      <c r="S44" s="1320"/>
      <c r="T44" s="1320"/>
      <c r="U44" s="1320"/>
      <c r="V44" s="1320"/>
      <c r="W44" s="1320"/>
      <c r="X44" s="1320"/>
      <c r="Y44" s="1320"/>
      <c r="Z44" s="1320"/>
      <c r="AA44" s="1320"/>
      <c r="AB44" s="1320"/>
      <c r="AC44" s="1320"/>
      <c r="AD44" s="378"/>
      <c r="AE44" s="378"/>
      <c r="AF44" s="378"/>
      <c r="AG44" s="378"/>
      <c r="AH44" s="378"/>
      <c r="AL44" s="239"/>
    </row>
    <row r="45" spans="2:49" ht="12.75" customHeight="1" x14ac:dyDescent="0.35">
      <c r="AL45" s="239"/>
    </row>
    <row r="46" spans="2:49" ht="30.75" customHeight="1" x14ac:dyDescent="0.35">
      <c r="B46" s="1276" t="s">
        <v>278</v>
      </c>
      <c r="C46" s="1322"/>
      <c r="D46" s="1280" t="s">
        <v>279</v>
      </c>
      <c r="E46" s="1290"/>
      <c r="F46" s="1290"/>
      <c r="G46" s="1290"/>
      <c r="H46" s="1290"/>
      <c r="I46" s="1290"/>
      <c r="J46" s="1290"/>
      <c r="K46" s="1290"/>
      <c r="L46" s="1290"/>
      <c r="M46" s="1290"/>
      <c r="N46" s="1290"/>
      <c r="O46" s="1290"/>
      <c r="P46" s="1290"/>
      <c r="Q46" s="1290"/>
      <c r="R46" s="1290"/>
      <c r="S46" s="1290"/>
      <c r="T46" s="1290"/>
      <c r="U46" s="1291"/>
      <c r="V46" s="1279"/>
      <c r="W46" s="1317" t="s">
        <v>280</v>
      </c>
      <c r="X46" s="1304"/>
      <c r="Y46" s="1304"/>
      <c r="Z46" s="1304"/>
      <c r="AA46" s="1304"/>
      <c r="AB46" s="1304"/>
      <c r="AC46" s="1304"/>
      <c r="AD46" s="1304"/>
      <c r="AE46" s="1304"/>
      <c r="AF46" s="1304"/>
      <c r="AG46" s="1304"/>
      <c r="AH46" s="237"/>
      <c r="AL46" s="239"/>
    </row>
    <row r="47" spans="2:49" x14ac:dyDescent="0.35">
      <c r="B47" s="1278"/>
      <c r="C47" s="1291"/>
      <c r="D47" s="215">
        <v>2018</v>
      </c>
      <c r="E47" s="1282">
        <v>2019</v>
      </c>
      <c r="F47" s="1283"/>
      <c r="G47" s="1283"/>
      <c r="H47" s="1284"/>
      <c r="I47" s="1282">
        <v>2020</v>
      </c>
      <c r="J47" s="1283"/>
      <c r="K47" s="1283"/>
      <c r="L47" s="1283"/>
      <c r="M47" s="1282">
        <v>2021</v>
      </c>
      <c r="N47" s="1283"/>
      <c r="O47" s="1283"/>
      <c r="P47" s="1283"/>
      <c r="Q47" s="1282">
        <v>2022</v>
      </c>
      <c r="R47" s="1305"/>
      <c r="S47" s="1305"/>
      <c r="T47" s="1305"/>
      <c r="U47" s="238"/>
      <c r="V47" s="284">
        <v>2023</v>
      </c>
      <c r="W47" s="285"/>
      <c r="X47" s="257"/>
      <c r="Y47" s="1268">
        <v>2024</v>
      </c>
      <c r="Z47" s="1269"/>
      <c r="AA47" s="1269"/>
      <c r="AB47" s="1270"/>
      <c r="AC47" s="1268">
        <v>2025</v>
      </c>
      <c r="AD47" s="1269"/>
      <c r="AE47" s="1269"/>
      <c r="AF47" s="1270"/>
      <c r="AG47" s="1268">
        <v>2026</v>
      </c>
      <c r="AH47" s="1269"/>
      <c r="AI47" s="1269"/>
      <c r="AJ47" s="1270"/>
      <c r="AL47" s="239"/>
    </row>
    <row r="48" spans="2:49" x14ac:dyDescent="0.35">
      <c r="B48" s="1280"/>
      <c r="C48" s="1290"/>
      <c r="D48" s="212" t="s">
        <v>281</v>
      </c>
      <c r="E48" s="212" t="s">
        <v>282</v>
      </c>
      <c r="F48" s="213" t="s">
        <v>283</v>
      </c>
      <c r="G48" s="213" t="s">
        <v>238</v>
      </c>
      <c r="H48" s="214" t="s">
        <v>281</v>
      </c>
      <c r="I48" s="213" t="s">
        <v>282</v>
      </c>
      <c r="J48" s="213" t="s">
        <v>283</v>
      </c>
      <c r="K48" s="213" t="s">
        <v>238</v>
      </c>
      <c r="L48" s="213" t="s">
        <v>281</v>
      </c>
      <c r="M48" s="212" t="s">
        <v>282</v>
      </c>
      <c r="N48" s="213" t="s">
        <v>283</v>
      </c>
      <c r="O48" s="213" t="s">
        <v>238</v>
      </c>
      <c r="P48" s="213" t="s">
        <v>281</v>
      </c>
      <c r="Q48" s="212" t="s">
        <v>282</v>
      </c>
      <c r="R48" s="213" t="s">
        <v>283</v>
      </c>
      <c r="S48" s="213" t="s">
        <v>238</v>
      </c>
      <c r="T48" s="213" t="s">
        <v>281</v>
      </c>
      <c r="U48" s="281" t="s">
        <v>282</v>
      </c>
      <c r="V48" s="282" t="s">
        <v>283</v>
      </c>
      <c r="W48" s="267" t="s">
        <v>238</v>
      </c>
      <c r="X48" s="268" t="s">
        <v>281</v>
      </c>
      <c r="Y48" s="266" t="s">
        <v>282</v>
      </c>
      <c r="Z48" s="264" t="s">
        <v>283</v>
      </c>
      <c r="AA48" s="267" t="s">
        <v>238</v>
      </c>
      <c r="AB48" s="268" t="s">
        <v>281</v>
      </c>
      <c r="AC48" s="266" t="s">
        <v>282</v>
      </c>
      <c r="AD48" s="264" t="s">
        <v>283</v>
      </c>
      <c r="AE48" s="267" t="s">
        <v>238</v>
      </c>
      <c r="AF48" s="268" t="s">
        <v>281</v>
      </c>
      <c r="AG48" s="222" t="s">
        <v>282</v>
      </c>
      <c r="AH48" s="264" t="s">
        <v>283</v>
      </c>
      <c r="AI48" s="264" t="s">
        <v>238</v>
      </c>
      <c r="AJ48" s="287" t="s">
        <v>281</v>
      </c>
      <c r="AL48" s="239"/>
    </row>
    <row r="49" spans="2:63" x14ac:dyDescent="0.35">
      <c r="B49" s="486" t="s">
        <v>134</v>
      </c>
      <c r="C49" s="269"/>
      <c r="D49" s="248"/>
      <c r="E49" s="480"/>
      <c r="F49" s="480"/>
      <c r="G49" s="480"/>
      <c r="H49" s="431">
        <f>Grants!H94</f>
        <v>72.497</v>
      </c>
      <c r="I49" s="431">
        <f>Grants!I94</f>
        <v>75.649000000000001</v>
      </c>
      <c r="J49" s="431">
        <f>Grants!J94</f>
        <v>75.483999999999995</v>
      </c>
      <c r="K49" s="431">
        <f>Grants!K94</f>
        <v>79.444000000000003</v>
      </c>
      <c r="L49" s="431">
        <f>Grants!L94</f>
        <v>75.742999999999995</v>
      </c>
      <c r="M49" s="431">
        <f>Grants!M94</f>
        <v>73.183000000000007</v>
      </c>
      <c r="N49" s="431">
        <f>Grants!N94</f>
        <v>74.421000000000006</v>
      </c>
      <c r="O49" s="431">
        <f>Grants!O94</f>
        <v>70.334000000000003</v>
      </c>
      <c r="P49" s="431">
        <f>Grants!P94</f>
        <v>72.707999999999998</v>
      </c>
      <c r="Q49" s="431">
        <f>Grants!Q94</f>
        <v>75.024000000000001</v>
      </c>
      <c r="R49" s="431">
        <f>Grants!R94</f>
        <v>75.203000000000003</v>
      </c>
      <c r="S49" s="481">
        <f>Grants!S94</f>
        <v>75.203000000000003</v>
      </c>
      <c r="T49" s="461">
        <f>Grants!T94</f>
        <v>76.022000000000006</v>
      </c>
      <c r="U49" s="227">
        <f>Grants!U94</f>
        <v>76.022000000000006</v>
      </c>
      <c r="V49" s="227">
        <f>Grants!V94</f>
        <v>76.022000000000006</v>
      </c>
      <c r="W49" s="227">
        <f>Grants!W94</f>
        <v>76.022000000000006</v>
      </c>
      <c r="X49" s="221">
        <f>Grants!X94</f>
        <v>77.680999999999997</v>
      </c>
      <c r="Y49" s="221">
        <f>Grants!Y94</f>
        <v>77.680999999999997</v>
      </c>
      <c r="Z49" s="221">
        <f>Grants!Z94</f>
        <v>77.680999999999997</v>
      </c>
      <c r="AA49" s="221">
        <f>Grants!AA94</f>
        <v>77.680999999999997</v>
      </c>
      <c r="AB49" s="221">
        <f>Grants!AB94</f>
        <v>79.275000000000006</v>
      </c>
      <c r="AC49" s="221">
        <f>Grants!AC94</f>
        <v>79.275000000000006</v>
      </c>
      <c r="AD49" s="221">
        <f>Grants!AD94</f>
        <v>75.203000000000003</v>
      </c>
      <c r="AE49" s="221">
        <f>Grants!AE94</f>
        <v>75.203000000000003</v>
      </c>
      <c r="AF49" s="221">
        <f>Grants!AF94</f>
        <v>75.203000000000003</v>
      </c>
      <c r="AG49" s="221">
        <f>Grants!AG94</f>
        <v>75.203000000000003</v>
      </c>
      <c r="AH49" s="221"/>
    </row>
    <row r="50" spans="2:63" x14ac:dyDescent="0.35">
      <c r="B50" s="477" t="s">
        <v>192</v>
      </c>
      <c r="C50" s="220"/>
      <c r="D50" s="288"/>
      <c r="E50" s="220"/>
      <c r="F50" s="220"/>
      <c r="G50" s="220"/>
      <c r="H50" s="227">
        <f>Grants!H73</f>
        <v>208.815</v>
      </c>
      <c r="I50" s="227">
        <f>Grants!I73</f>
        <v>212.11</v>
      </c>
      <c r="J50" s="227">
        <f>Grants!J73</f>
        <v>321.19400000000007</v>
      </c>
      <c r="K50" s="227">
        <f>Grants!K73</f>
        <v>295.41999999999996</v>
      </c>
      <c r="L50" s="227">
        <f>Grants!L73</f>
        <v>293.01599999999996</v>
      </c>
      <c r="M50" s="227">
        <f>Grants!M73</f>
        <v>318.27100000000007</v>
      </c>
      <c r="N50" s="227">
        <f>Grants!N73</f>
        <v>354.85400000000004</v>
      </c>
      <c r="O50" s="227">
        <f>Grants!O73</f>
        <v>373.11799999999988</v>
      </c>
      <c r="P50" s="227">
        <f>Grants!P73</f>
        <v>399.43985199999997</v>
      </c>
      <c r="Q50" s="227">
        <f>Grants!Q73</f>
        <v>430.7982748</v>
      </c>
      <c r="R50" s="227">
        <f>Grants!R73</f>
        <v>500.33303199999995</v>
      </c>
      <c r="S50" s="227">
        <f>Grants!S73</f>
        <v>483.13586799999996</v>
      </c>
      <c r="T50" s="227">
        <f>Grants!T73</f>
        <v>450.110928</v>
      </c>
      <c r="U50" s="457">
        <f>Grants!U73</f>
        <v>441.01454320000011</v>
      </c>
      <c r="V50" s="457">
        <f>Grants!V73</f>
        <v>433.78172000000006</v>
      </c>
      <c r="W50" s="457">
        <f>Grants!W73</f>
        <v>417.68194400000004</v>
      </c>
      <c r="X50" s="457">
        <f>Grants!X73</f>
        <v>432.29994399999998</v>
      </c>
      <c r="Y50" s="457">
        <f>Grants!Y73</f>
        <v>434.70694400000002</v>
      </c>
      <c r="Z50" s="457">
        <f>Grants!Z73</f>
        <v>440.59710899999999</v>
      </c>
      <c r="AA50" s="457">
        <f>Grants!AA73</f>
        <v>461.9273300000001</v>
      </c>
      <c r="AB50" s="457">
        <f>Grants!AB73</f>
        <v>467.08702588368681</v>
      </c>
      <c r="AC50" s="457">
        <f>Grants!AC73</f>
        <v>450.66879697830359</v>
      </c>
      <c r="AD50" s="457">
        <f>Grants!AD73</f>
        <v>446.4122085701693</v>
      </c>
      <c r="AE50" s="457">
        <f>Grants!AE73</f>
        <v>449.361288</v>
      </c>
      <c r="AF50" s="457">
        <f>Grants!AF73</f>
        <v>448.45372699103427</v>
      </c>
      <c r="AG50" s="457">
        <f>Grants!AG73</f>
        <v>451.58735077743574</v>
      </c>
      <c r="AH50" s="457"/>
    </row>
    <row r="51" spans="2:63" x14ac:dyDescent="0.35">
      <c r="B51" s="487" t="s">
        <v>402</v>
      </c>
      <c r="C51" s="479"/>
      <c r="D51" s="478"/>
      <c r="E51" s="479"/>
      <c r="F51" s="479"/>
      <c r="G51" s="479"/>
      <c r="H51" s="462">
        <f>H49+H50</f>
        <v>281.31200000000001</v>
      </c>
      <c r="I51" s="462">
        <f t="shared" ref="I51:AG51" si="13">I49+I50</f>
        <v>287.75900000000001</v>
      </c>
      <c r="J51" s="462">
        <f t="shared" si="13"/>
        <v>396.67800000000005</v>
      </c>
      <c r="K51" s="462">
        <f t="shared" si="13"/>
        <v>374.86399999999998</v>
      </c>
      <c r="L51" s="462">
        <f t="shared" si="13"/>
        <v>368.75899999999996</v>
      </c>
      <c r="M51" s="462">
        <f t="shared" si="13"/>
        <v>391.45400000000006</v>
      </c>
      <c r="N51" s="462">
        <f t="shared" si="13"/>
        <v>429.27500000000003</v>
      </c>
      <c r="O51" s="462">
        <f t="shared" si="13"/>
        <v>443.45199999999988</v>
      </c>
      <c r="P51" s="462">
        <f t="shared" si="13"/>
        <v>472.14785199999994</v>
      </c>
      <c r="Q51" s="462">
        <f t="shared" si="13"/>
        <v>505.8222748</v>
      </c>
      <c r="R51" s="462">
        <f t="shared" si="13"/>
        <v>575.53603199999998</v>
      </c>
      <c r="S51" s="462">
        <f t="shared" si="13"/>
        <v>558.33886799999993</v>
      </c>
      <c r="T51" s="462">
        <f t="shared" si="13"/>
        <v>526.13292799999999</v>
      </c>
      <c r="U51" s="462">
        <f t="shared" si="13"/>
        <v>517.0365432000001</v>
      </c>
      <c r="V51" s="227">
        <f t="shared" si="13"/>
        <v>509.80372000000006</v>
      </c>
      <c r="W51" s="227">
        <f t="shared" si="13"/>
        <v>493.70394400000004</v>
      </c>
      <c r="X51" s="221">
        <f t="shared" si="13"/>
        <v>509.98094399999997</v>
      </c>
      <c r="Y51" s="221">
        <f t="shared" si="13"/>
        <v>512.38794400000006</v>
      </c>
      <c r="Z51" s="221">
        <f t="shared" si="13"/>
        <v>518.27810899999997</v>
      </c>
      <c r="AA51" s="221">
        <f t="shared" si="13"/>
        <v>539.60833000000014</v>
      </c>
      <c r="AB51" s="221">
        <f t="shared" si="13"/>
        <v>546.36202588368678</v>
      </c>
      <c r="AC51" s="221">
        <f t="shared" si="13"/>
        <v>529.94379697830357</v>
      </c>
      <c r="AD51" s="221">
        <f t="shared" si="13"/>
        <v>521.61520857016933</v>
      </c>
      <c r="AE51" s="221">
        <f t="shared" si="13"/>
        <v>524.56428800000003</v>
      </c>
      <c r="AF51" s="221">
        <f t="shared" si="13"/>
        <v>523.65672699103425</v>
      </c>
      <c r="AG51" s="221">
        <f t="shared" si="13"/>
        <v>526.79035077743572</v>
      </c>
      <c r="AH51" s="221"/>
    </row>
    <row r="53" spans="2:63" x14ac:dyDescent="0.35">
      <c r="S53" s="316"/>
      <c r="T53" s="316"/>
      <c r="U53" s="316"/>
      <c r="V53" s="316"/>
      <c r="W53" s="316"/>
      <c r="X53" s="316"/>
      <c r="Y53" s="316"/>
      <c r="Z53" s="316"/>
      <c r="AA53" s="316"/>
      <c r="AB53" s="316"/>
      <c r="AC53" s="316"/>
      <c r="AD53" s="316"/>
      <c r="AE53" s="316"/>
      <c r="AF53" s="316"/>
      <c r="AG53" s="316"/>
      <c r="AH53" s="316"/>
    </row>
    <row r="54" spans="2:63" x14ac:dyDescent="0.35">
      <c r="S54" s="316"/>
      <c r="T54" s="316"/>
      <c r="U54" s="316"/>
      <c r="V54" s="316"/>
      <c r="W54" s="316"/>
      <c r="X54" s="316"/>
      <c r="Y54" s="316"/>
      <c r="Z54" s="316"/>
      <c r="AA54" s="316"/>
      <c r="AB54" s="316"/>
      <c r="AC54" s="316"/>
      <c r="AD54" s="316"/>
      <c r="AE54" s="316"/>
      <c r="AF54" s="316"/>
      <c r="AG54" s="316"/>
      <c r="AH54" s="316"/>
    </row>
    <row r="55" spans="2:63" ht="27.65" customHeight="1" x14ac:dyDescent="0.35">
      <c r="S55" s="316"/>
      <c r="T55" s="316"/>
      <c r="U55" s="316"/>
      <c r="V55" s="316"/>
      <c r="W55" s="316"/>
      <c r="X55" s="316"/>
      <c r="Y55" s="316"/>
      <c r="Z55" s="316"/>
      <c r="AA55" s="316"/>
      <c r="AB55" s="316"/>
      <c r="AC55" s="316"/>
      <c r="AD55" s="316"/>
      <c r="AE55" s="316"/>
      <c r="AF55" s="316"/>
      <c r="AG55" s="316"/>
      <c r="AH55" s="316"/>
    </row>
    <row r="56" spans="2:63" ht="27.65" customHeight="1" x14ac:dyDescent="0.35"/>
    <row r="57" spans="2:63" ht="27.65" customHeight="1" x14ac:dyDescent="0.35">
      <c r="BI57" s="436"/>
      <c r="BJ57" s="436"/>
      <c r="BK57" s="436"/>
    </row>
    <row r="59" spans="2:63" ht="27.65" customHeight="1" x14ac:dyDescent="0.35"/>
    <row r="60" spans="2:63" ht="27.65" customHeight="1" x14ac:dyDescent="0.35"/>
    <row r="61" spans="2:63" ht="27.65" customHeight="1" x14ac:dyDescent="0.35"/>
  </sheetData>
  <mergeCells count="36">
    <mergeCell ref="AG47:AJ47"/>
    <mergeCell ref="B1:AC1"/>
    <mergeCell ref="B6:C8"/>
    <mergeCell ref="E7:H7"/>
    <mergeCell ref="I7:L7"/>
    <mergeCell ref="Y7:AB7"/>
    <mergeCell ref="B2:AC4"/>
    <mergeCell ref="Q7:T7"/>
    <mergeCell ref="AC7:AF7"/>
    <mergeCell ref="W6:AG6"/>
    <mergeCell ref="D6:V6"/>
    <mergeCell ref="M7:P7"/>
    <mergeCell ref="AG7:AJ7"/>
    <mergeCell ref="W21:AG21"/>
    <mergeCell ref="AC22:AF22"/>
    <mergeCell ref="D21:V21"/>
    <mergeCell ref="B16:AC16"/>
    <mergeCell ref="B17:AC19"/>
    <mergeCell ref="AG22:AJ22"/>
    <mergeCell ref="W46:AG46"/>
    <mergeCell ref="D46:V46"/>
    <mergeCell ref="AC47:AF47"/>
    <mergeCell ref="M47:P47"/>
    <mergeCell ref="Q22:T22"/>
    <mergeCell ref="Q47:T47"/>
    <mergeCell ref="Y22:AB22"/>
    <mergeCell ref="Y47:AB47"/>
    <mergeCell ref="B42:AC44"/>
    <mergeCell ref="B40:AC41"/>
    <mergeCell ref="B46:C48"/>
    <mergeCell ref="I47:L47"/>
    <mergeCell ref="E22:H22"/>
    <mergeCell ref="E47:H47"/>
    <mergeCell ref="B21:C23"/>
    <mergeCell ref="M22:P22"/>
    <mergeCell ref="I22:L22"/>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O34" activePane="bottomRight" state="frozen"/>
      <selection pane="topRight" activeCell="D1" sqref="D1"/>
      <selection pane="bottomLeft" activeCell="A11" sqref="A11"/>
      <selection pane="bottomRight" activeCell="AL45" sqref="AL45"/>
    </sheetView>
  </sheetViews>
  <sheetFormatPr defaultColWidth="10.90625" defaultRowHeight="14.5" x14ac:dyDescent="0.35"/>
  <cols>
    <col min="2" max="2" width="49.453125" customWidth="1"/>
    <col min="6" max="25" width="6.453125" customWidth="1"/>
    <col min="27" max="27" width="10.1796875" customWidth="1"/>
  </cols>
  <sheetData>
    <row r="1" spans="2:37" x14ac:dyDescent="0.35">
      <c r="B1" s="1271" t="s">
        <v>52</v>
      </c>
      <c r="C1" s="1271"/>
      <c r="D1" s="1271"/>
      <c r="E1" s="1271"/>
      <c r="F1" s="1271"/>
      <c r="G1" s="1271"/>
      <c r="H1" s="1271"/>
      <c r="I1" s="1271"/>
      <c r="J1" s="1271"/>
      <c r="K1" s="1271"/>
      <c r="L1" s="1271"/>
      <c r="M1" s="1271"/>
      <c r="N1" s="1271"/>
      <c r="O1" s="1271"/>
      <c r="P1" s="1271"/>
      <c r="Q1" s="1271"/>
      <c r="R1" s="1271"/>
      <c r="S1" s="1271"/>
      <c r="T1" s="1271"/>
      <c r="U1" s="1271"/>
      <c r="V1" s="1271"/>
      <c r="W1" s="1271"/>
      <c r="X1" s="1271"/>
      <c r="Y1" s="1271"/>
      <c r="Z1" s="1271"/>
      <c r="AA1" s="1271"/>
      <c r="AB1" s="1271"/>
      <c r="AC1" s="1271"/>
    </row>
    <row r="2" spans="2:37" ht="14.9" customHeight="1" x14ac:dyDescent="0.35">
      <c r="B2" s="1272" t="s">
        <v>857</v>
      </c>
      <c r="C2" s="1272"/>
      <c r="D2" s="1272"/>
      <c r="E2" s="1272"/>
      <c r="F2" s="1272"/>
      <c r="G2" s="1272"/>
      <c r="H2" s="1272"/>
      <c r="I2" s="1272"/>
      <c r="J2" s="1272"/>
      <c r="K2" s="1272"/>
      <c r="L2" s="1272"/>
      <c r="M2" s="1272"/>
      <c r="N2" s="1272"/>
      <c r="O2" s="1272"/>
      <c r="P2" s="1272"/>
      <c r="Q2" s="1272"/>
      <c r="R2" s="1272"/>
      <c r="S2" s="1272"/>
      <c r="T2" s="1272"/>
      <c r="U2" s="1272"/>
      <c r="V2" s="1272"/>
      <c r="W2" s="1272"/>
      <c r="X2" s="1272"/>
      <c r="Y2" s="1272"/>
      <c r="Z2" s="1272"/>
      <c r="AA2" s="1272"/>
      <c r="AB2" s="1272"/>
      <c r="AC2" s="1272"/>
    </row>
    <row r="3" spans="2:37" ht="14.9" customHeight="1" x14ac:dyDescent="0.35">
      <c r="B3" s="1272"/>
      <c r="C3" s="1272"/>
      <c r="D3" s="1272"/>
      <c r="E3" s="1272"/>
      <c r="F3" s="1272"/>
      <c r="G3" s="1272"/>
      <c r="H3" s="1272"/>
      <c r="I3" s="1272"/>
      <c r="J3" s="1272"/>
      <c r="K3" s="1272"/>
      <c r="L3" s="1272"/>
      <c r="M3" s="1272"/>
      <c r="N3" s="1272"/>
      <c r="O3" s="1272"/>
      <c r="P3" s="1272"/>
      <c r="Q3" s="1272"/>
      <c r="R3" s="1272"/>
      <c r="S3" s="1272"/>
      <c r="T3" s="1272"/>
      <c r="U3" s="1272"/>
      <c r="V3" s="1272"/>
      <c r="W3" s="1272"/>
      <c r="X3" s="1272"/>
      <c r="Y3" s="1272"/>
      <c r="Z3" s="1272"/>
      <c r="AA3" s="1272"/>
      <c r="AB3" s="1272"/>
      <c r="AC3" s="1272"/>
    </row>
    <row r="4" spans="2:37" ht="5.9" customHeight="1" x14ac:dyDescent="0.35">
      <c r="B4" s="1272"/>
      <c r="C4" s="1272"/>
      <c r="D4" s="1272"/>
      <c r="E4" s="1272"/>
      <c r="F4" s="1272"/>
      <c r="G4" s="1272"/>
      <c r="H4" s="1272"/>
      <c r="I4" s="1272"/>
      <c r="J4" s="1272"/>
      <c r="K4" s="1272"/>
      <c r="L4" s="1272"/>
      <c r="M4" s="1272"/>
      <c r="N4" s="1272"/>
      <c r="O4" s="1272"/>
      <c r="P4" s="1272"/>
      <c r="Q4" s="1272"/>
      <c r="R4" s="1272"/>
      <c r="S4" s="1272"/>
      <c r="T4" s="1272"/>
      <c r="U4" s="1272"/>
      <c r="V4" s="1272"/>
      <c r="W4" s="1272"/>
      <c r="X4" s="1272"/>
      <c r="Y4" s="1272"/>
      <c r="Z4" s="1272"/>
      <c r="AA4" s="1272"/>
      <c r="AB4" s="1272"/>
      <c r="AC4" s="1272"/>
    </row>
    <row r="5" spans="2:37" ht="1.5" customHeight="1" x14ac:dyDescent="0.35">
      <c r="B5" s="1272"/>
      <c r="C5" s="1272"/>
      <c r="D5" s="1272"/>
      <c r="E5" s="1272"/>
      <c r="F5" s="1272"/>
      <c r="G5" s="1272"/>
      <c r="H5" s="1272"/>
      <c r="I5" s="1272"/>
      <c r="J5" s="1272"/>
      <c r="K5" s="1272"/>
      <c r="L5" s="1272"/>
      <c r="M5" s="1272"/>
      <c r="N5" s="1272"/>
      <c r="O5" s="1272"/>
      <c r="P5" s="1272"/>
      <c r="Q5" s="1272"/>
      <c r="R5" s="1272"/>
      <c r="S5" s="1272"/>
      <c r="T5" s="1272"/>
      <c r="U5" s="1272"/>
      <c r="V5" s="1272"/>
      <c r="W5" s="1272"/>
      <c r="X5" s="1272"/>
      <c r="Y5" s="1272"/>
      <c r="Z5" s="1272"/>
      <c r="AA5" s="1272"/>
      <c r="AB5" s="1272"/>
      <c r="AC5" s="1272"/>
    </row>
    <row r="6" spans="2:37" ht="14.9" customHeight="1" x14ac:dyDescent="0.35">
      <c r="B6" s="1272"/>
      <c r="C6" s="1272"/>
      <c r="D6" s="1272"/>
      <c r="E6" s="1272"/>
      <c r="F6" s="1272"/>
      <c r="G6" s="1272"/>
      <c r="H6" s="1272"/>
      <c r="I6" s="1272"/>
      <c r="J6" s="1272"/>
      <c r="K6" s="1272"/>
      <c r="L6" s="1272"/>
      <c r="M6" s="1272"/>
      <c r="N6" s="1272"/>
      <c r="O6" s="1272"/>
      <c r="P6" s="1272"/>
      <c r="Q6" s="1272"/>
      <c r="R6" s="1272"/>
      <c r="S6" s="1272"/>
      <c r="T6" s="1272"/>
      <c r="U6" s="1272"/>
      <c r="V6" s="1272"/>
      <c r="W6" s="1272"/>
      <c r="X6" s="1272"/>
      <c r="Y6" s="1272"/>
      <c r="Z6" s="1272"/>
      <c r="AA6" s="1272"/>
      <c r="AB6" s="1272"/>
      <c r="AC6" s="1272"/>
    </row>
    <row r="7" spans="2:37"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7" ht="14.9" customHeight="1" x14ac:dyDescent="0.35">
      <c r="B8" s="1276" t="s">
        <v>403</v>
      </c>
      <c r="C8" s="1277"/>
      <c r="D8" s="1338" t="s">
        <v>279</v>
      </c>
      <c r="E8" s="1339"/>
      <c r="F8" s="1339"/>
      <c r="G8" s="1339"/>
      <c r="H8" s="1339"/>
      <c r="I8" s="1339"/>
      <c r="J8" s="1339"/>
      <c r="K8" s="1339"/>
      <c r="L8" s="1339"/>
      <c r="M8" s="1339"/>
      <c r="N8" s="1339"/>
      <c r="O8" s="1339"/>
      <c r="P8" s="1339"/>
      <c r="Q8" s="1339"/>
      <c r="R8" s="1339"/>
      <c r="S8" s="1339"/>
      <c r="T8" s="1339"/>
      <c r="U8" s="1340"/>
      <c r="V8" s="1277"/>
      <c r="W8" s="1302" t="s">
        <v>280</v>
      </c>
      <c r="X8" s="1303"/>
      <c r="Y8" s="1303"/>
      <c r="Z8" s="1303"/>
      <c r="AA8" s="1303"/>
      <c r="AB8" s="1303"/>
      <c r="AC8" s="1303"/>
      <c r="AD8" s="1303"/>
      <c r="AE8" s="1303"/>
      <c r="AF8" s="1303"/>
      <c r="AG8" s="1304"/>
      <c r="AH8" s="237"/>
      <c r="AI8" s="237"/>
      <c r="AJ8" s="237"/>
    </row>
    <row r="9" spans="2:37" x14ac:dyDescent="0.35">
      <c r="B9" s="1278"/>
      <c r="C9" s="1279"/>
      <c r="D9" s="212">
        <v>2018</v>
      </c>
      <c r="E9" s="1273">
        <v>2019</v>
      </c>
      <c r="F9" s="1274"/>
      <c r="G9" s="1274"/>
      <c r="H9" s="1275"/>
      <c r="I9" s="1273">
        <v>2020</v>
      </c>
      <c r="J9" s="1274"/>
      <c r="K9" s="1274"/>
      <c r="L9" s="1274"/>
      <c r="M9" s="1273">
        <v>2021</v>
      </c>
      <c r="N9" s="1274"/>
      <c r="O9" s="1274"/>
      <c r="P9" s="1274"/>
      <c r="Q9" s="1282">
        <v>2022</v>
      </c>
      <c r="R9" s="1305"/>
      <c r="S9" s="1305"/>
      <c r="T9" s="1305"/>
      <c r="U9" s="238"/>
      <c r="V9" s="284">
        <v>2023</v>
      </c>
      <c r="W9" s="285"/>
      <c r="X9" s="257"/>
      <c r="Y9" s="1268">
        <v>2024</v>
      </c>
      <c r="Z9" s="1292"/>
      <c r="AA9" s="1292"/>
      <c r="AB9" s="1270"/>
      <c r="AC9" s="1268">
        <v>2025</v>
      </c>
      <c r="AD9" s="1292"/>
      <c r="AE9" s="1292"/>
      <c r="AF9" s="1270"/>
      <c r="AG9" s="1268">
        <v>2026</v>
      </c>
      <c r="AH9" s="1269"/>
      <c r="AI9" s="1269"/>
      <c r="AJ9" s="1270"/>
      <c r="AK9" s="239"/>
    </row>
    <row r="10" spans="2:37" x14ac:dyDescent="0.35">
      <c r="B10" s="1280"/>
      <c r="C10" s="1281"/>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3" t="s">
        <v>281</v>
      </c>
      <c r="U10" s="281" t="s">
        <v>282</v>
      </c>
      <c r="V10" s="282" t="s">
        <v>283</v>
      </c>
      <c r="W10" s="267" t="s">
        <v>238</v>
      </c>
      <c r="X10" s="268" t="s">
        <v>281</v>
      </c>
      <c r="Y10" s="266" t="s">
        <v>282</v>
      </c>
      <c r="Z10" s="264" t="s">
        <v>283</v>
      </c>
      <c r="AA10" s="267" t="s">
        <v>238</v>
      </c>
      <c r="AB10" s="267" t="s">
        <v>281</v>
      </c>
      <c r="AC10" s="266" t="s">
        <v>282</v>
      </c>
      <c r="AD10" s="264" t="s">
        <v>283</v>
      </c>
      <c r="AE10" s="267" t="s">
        <v>238</v>
      </c>
      <c r="AF10" s="267" t="s">
        <v>281</v>
      </c>
      <c r="AG10" s="222" t="s">
        <v>282</v>
      </c>
      <c r="AH10" s="264" t="s">
        <v>283</v>
      </c>
      <c r="AI10" s="264" t="s">
        <v>238</v>
      </c>
      <c r="AJ10" s="287" t="s">
        <v>281</v>
      </c>
    </row>
    <row r="11" spans="2:37" x14ac:dyDescent="0.35">
      <c r="B11" s="523" t="s">
        <v>863</v>
      </c>
      <c r="C11" s="56" t="s">
        <v>518</v>
      </c>
      <c r="D11" s="491"/>
      <c r="E11" s="529"/>
      <c r="F11" s="533">
        <v>60.5</v>
      </c>
      <c r="G11" s="533">
        <v>81.400000000000006</v>
      </c>
      <c r="H11" s="533">
        <f>'Haver Pivoted'!GS42</f>
        <v>82.1</v>
      </c>
      <c r="I11" s="533">
        <f>'Haver Pivoted'!GT42</f>
        <v>80</v>
      </c>
      <c r="J11" s="533">
        <f>'Haver Pivoted'!GU42</f>
        <v>1031.8</v>
      </c>
      <c r="K11" s="533">
        <f>'Haver Pivoted'!GV42</f>
        <v>1163.3</v>
      </c>
      <c r="L11" s="533">
        <f>'Haver Pivoted'!GW42</f>
        <v>516.4</v>
      </c>
      <c r="M11" s="533">
        <f>'Haver Pivoted'!GX42</f>
        <v>518.1</v>
      </c>
      <c r="N11" s="533">
        <f>'Haver Pivoted'!GY42</f>
        <v>822</v>
      </c>
      <c r="O11" s="533">
        <f>'Haver Pivoted'!GZ42</f>
        <v>673.4</v>
      </c>
      <c r="P11" s="533">
        <f>'Haver Pivoted'!HA42</f>
        <v>413.4</v>
      </c>
      <c r="Q11" s="533">
        <f>'Haver Pivoted'!HB42</f>
        <v>150.80000000000001</v>
      </c>
      <c r="R11" s="533">
        <f>'Haver Pivoted'!HC42</f>
        <v>129.30000000000001</v>
      </c>
      <c r="S11" s="534">
        <f>'Haver Pivoted'!HD42</f>
        <v>118.4</v>
      </c>
      <c r="T11" s="534">
        <f>'Haver Pivoted'!HE42</f>
        <v>110.8</v>
      </c>
      <c r="U11" s="333">
        <f>'Haver Pivoted'!HF42</f>
        <v>103.8</v>
      </c>
      <c r="V11" s="333">
        <f>'Haver Pivoted'!HG42</f>
        <v>101.8</v>
      </c>
      <c r="W11" s="333">
        <f>'Haver Pivoted'!HH42</f>
        <v>104</v>
      </c>
      <c r="X11" s="333">
        <f>'Haver Pivoted'!HI42</f>
        <v>98.9</v>
      </c>
      <c r="Y11" s="333">
        <f>'Haver Pivoted'!HJ42</f>
        <v>96.1</v>
      </c>
      <c r="Z11" s="333">
        <f>'Haver Pivoted'!HK42</f>
        <v>93.7</v>
      </c>
      <c r="AA11" s="333">
        <f>'Haver Pivoted'!HL42</f>
        <v>92.1</v>
      </c>
      <c r="AB11" s="541">
        <f t="shared" ref="AB11:AC11" si="0">AB12+AB13</f>
        <v>96.932999999999993</v>
      </c>
      <c r="AC11" s="508">
        <f t="shared" si="0"/>
        <v>96.932999999999993</v>
      </c>
      <c r="AD11" s="508">
        <f t="shared" ref="AD11:AE11" si="1">AD12+AD13</f>
        <v>88.911000000000001</v>
      </c>
      <c r="AE11" s="508">
        <f t="shared" si="1"/>
        <v>88.911000000000001</v>
      </c>
      <c r="AF11" s="508">
        <f t="shared" ref="AF11" si="2">AF12+AF13</f>
        <v>92.000999999999991</v>
      </c>
      <c r="AG11" s="337">
        <f>AG12+AG13</f>
        <v>92.000999999999991</v>
      </c>
      <c r="AH11" s="337">
        <f>AH12+AH13</f>
        <v>92.000999999999991</v>
      </c>
      <c r="AI11" s="337">
        <f t="shared" ref="AI11:AJ11" si="3">AI12+AI13</f>
        <v>93.000999999999991</v>
      </c>
      <c r="AJ11" s="337">
        <f t="shared" si="3"/>
        <v>94.000999999999991</v>
      </c>
    </row>
    <row r="12" spans="2:37" ht="16.5" customHeight="1" x14ac:dyDescent="0.35">
      <c r="B12" s="422" t="s">
        <v>404</v>
      </c>
      <c r="C12" s="56"/>
      <c r="D12" s="523"/>
      <c r="E12" s="56"/>
      <c r="F12" s="55">
        <f>F11</f>
        <v>60.5</v>
      </c>
      <c r="G12" s="55">
        <f>G11</f>
        <v>81.400000000000006</v>
      </c>
      <c r="H12" s="55">
        <f t="shared" ref="H12:M12" si="4">H11-H13</f>
        <v>82.1</v>
      </c>
      <c r="I12" s="55">
        <f t="shared" si="4"/>
        <v>80</v>
      </c>
      <c r="J12" s="55">
        <f>J11-J13</f>
        <v>42.299999999999955</v>
      </c>
      <c r="K12" s="55">
        <f t="shared" si="4"/>
        <v>36.700000000000045</v>
      </c>
      <c r="L12" s="55">
        <f>L11-L13</f>
        <v>-22.000000000000114</v>
      </c>
      <c r="M12" s="55">
        <f t="shared" si="4"/>
        <v>210.3</v>
      </c>
      <c r="N12" s="55">
        <f t="shared" ref="N12:T12" si="5">N11-N13</f>
        <v>218.39999999999998</v>
      </c>
      <c r="O12" s="55">
        <f t="shared" si="5"/>
        <v>217.38351999999998</v>
      </c>
      <c r="P12" s="55">
        <f t="shared" si="5"/>
        <v>208.49999999999997</v>
      </c>
      <c r="Q12" s="55">
        <f t="shared" si="5"/>
        <v>90.100000000000009</v>
      </c>
      <c r="R12" s="55">
        <f t="shared" si="5"/>
        <v>75.800000000000011</v>
      </c>
      <c r="S12" s="333">
        <f t="shared" si="5"/>
        <v>75.7</v>
      </c>
      <c r="T12" s="333">
        <f t="shared" si="5"/>
        <v>78.977999999999994</v>
      </c>
      <c r="U12" s="333">
        <f t="shared" ref="U12:V12" si="6">U11-U13</f>
        <v>91.292000000000002</v>
      </c>
      <c r="V12" s="333">
        <f t="shared" si="6"/>
        <v>89.292000000000002</v>
      </c>
      <c r="W12" s="333">
        <f>W11-W13</f>
        <v>91.49199999999999</v>
      </c>
      <c r="X12" s="333">
        <f>X11-X13</f>
        <v>89.269000000000005</v>
      </c>
      <c r="Y12" s="333">
        <f>Y11-Y13</f>
        <v>86.468999999999994</v>
      </c>
      <c r="Z12" s="333">
        <f>Z11-Z13</f>
        <v>84.069000000000003</v>
      </c>
      <c r="AA12" s="333">
        <f>AA11-AA13</f>
        <v>82.468999999999994</v>
      </c>
      <c r="AB12" s="337">
        <f t="shared" ref="AB12:AF12" si="7">AA12</f>
        <v>82.468999999999994</v>
      </c>
      <c r="AC12" s="337">
        <f t="shared" si="7"/>
        <v>82.468999999999994</v>
      </c>
      <c r="AD12" s="337">
        <f t="shared" si="7"/>
        <v>82.468999999999994</v>
      </c>
      <c r="AE12" s="337">
        <f t="shared" si="7"/>
        <v>82.468999999999994</v>
      </c>
      <c r="AF12" s="337">
        <f t="shared" si="7"/>
        <v>82.468999999999994</v>
      </c>
      <c r="AG12" s="337">
        <f>AF12</f>
        <v>82.468999999999994</v>
      </c>
      <c r="AH12" s="337">
        <f>AG12</f>
        <v>82.468999999999994</v>
      </c>
      <c r="AI12" s="337">
        <f t="shared" ref="AI12:AJ12" si="8">AH12</f>
        <v>82.468999999999994</v>
      </c>
      <c r="AJ12" s="337">
        <f t="shared" si="8"/>
        <v>82.468999999999994</v>
      </c>
    </row>
    <row r="13" spans="2:37" x14ac:dyDescent="0.35">
      <c r="B13" s="421" t="s">
        <v>405</v>
      </c>
      <c r="C13" s="56"/>
      <c r="D13" s="523"/>
      <c r="E13" s="56"/>
      <c r="F13" s="531"/>
      <c r="G13" s="531"/>
      <c r="H13" s="55">
        <f>SUM(H16:H25)</f>
        <v>0</v>
      </c>
      <c r="I13" s="55">
        <f>SUM(I16:I25)</f>
        <v>0</v>
      </c>
      <c r="J13" s="55">
        <f t="shared" ref="J13:S13" si="9">SUM(J16:J25)+J14</f>
        <v>989.5</v>
      </c>
      <c r="K13" s="55">
        <f t="shared" si="9"/>
        <v>1126.5999999999999</v>
      </c>
      <c r="L13" s="55">
        <f t="shared" si="9"/>
        <v>538.40000000000009</v>
      </c>
      <c r="M13" s="55">
        <f t="shared" si="9"/>
        <v>307.8</v>
      </c>
      <c r="N13" s="37">
        <f t="shared" si="9"/>
        <v>603.6</v>
      </c>
      <c r="O13" s="37">
        <f>SUM(O16:O25)+O14</f>
        <v>456.01648</v>
      </c>
      <c r="P13" s="37">
        <f>SUM(P16:P25)+P14</f>
        <v>204.9</v>
      </c>
      <c r="Q13" s="37">
        <f t="shared" si="9"/>
        <v>60.7</v>
      </c>
      <c r="R13" s="37">
        <f t="shared" si="9"/>
        <v>53.5</v>
      </c>
      <c r="S13" s="37">
        <f t="shared" si="9"/>
        <v>42.7</v>
      </c>
      <c r="T13" s="37">
        <f t="shared" ref="T13:AC13" si="10">SUM(T16:T27)+T14</f>
        <v>31.822000000000003</v>
      </c>
      <c r="U13" s="37">
        <f t="shared" si="10"/>
        <v>12.508000000000003</v>
      </c>
      <c r="V13" s="37">
        <f t="shared" si="10"/>
        <v>12.508000000000003</v>
      </c>
      <c r="W13" s="37">
        <f>SUM(W16:W27)+W14</f>
        <v>12.508000000000003</v>
      </c>
      <c r="X13" s="37">
        <f>SUM(X16:X27)+X14</f>
        <v>9.6310000000000002</v>
      </c>
      <c r="Y13" s="337">
        <f t="shared" si="10"/>
        <v>9.6310000000000002</v>
      </c>
      <c r="Z13" s="337">
        <f t="shared" si="10"/>
        <v>9.6310000000000002</v>
      </c>
      <c r="AA13" s="337">
        <f t="shared" si="10"/>
        <v>9.6310000000000002</v>
      </c>
      <c r="AB13" s="337">
        <f t="shared" si="10"/>
        <v>14.464</v>
      </c>
      <c r="AC13" s="337">
        <f t="shared" si="10"/>
        <v>14.464</v>
      </c>
      <c r="AD13" s="337">
        <f t="shared" ref="AD13:AE13" si="11">SUM(AD16:AD27)+AD14</f>
        <v>6.4420000000000002</v>
      </c>
      <c r="AE13" s="337">
        <f t="shared" si="11"/>
        <v>6.4420000000000002</v>
      </c>
      <c r="AF13" s="337">
        <f t="shared" ref="AF13:AH13" si="12">SUM(AF16:AF27)+AF14</f>
        <v>9.532</v>
      </c>
      <c r="AG13" s="337">
        <f>SUM(AG16:AG27)+AG14</f>
        <v>9.532</v>
      </c>
      <c r="AH13" s="337">
        <f t="shared" si="12"/>
        <v>9.532</v>
      </c>
      <c r="AI13" s="337">
        <f t="shared" ref="AI13:AJ13" si="13">SUM(AI16:AI27)+AI14</f>
        <v>10.532</v>
      </c>
      <c r="AJ13" s="337">
        <f t="shared" si="13"/>
        <v>11.532</v>
      </c>
    </row>
    <row r="14" spans="2:37" x14ac:dyDescent="0.35">
      <c r="B14" s="362" t="s">
        <v>50</v>
      </c>
      <c r="C14" s="36" t="s">
        <v>328</v>
      </c>
      <c r="D14" s="358"/>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33">
        <f>'Haver Pivoted'!HD49</f>
        <v>0</v>
      </c>
      <c r="T14" s="333">
        <f>'Haver Pivoted'!HE49</f>
        <v>0</v>
      </c>
      <c r="U14" s="333">
        <f>'Haver Pivoted'!HF49</f>
        <v>0</v>
      </c>
      <c r="V14" s="333">
        <f>'Haver Pivoted'!HG49</f>
        <v>0</v>
      </c>
      <c r="W14" s="542">
        <f>'Haver Pivoted'!HH49</f>
        <v>0</v>
      </c>
      <c r="X14" s="542">
        <f>'Haver Pivoted'!HI49</f>
        <v>0</v>
      </c>
      <c r="Y14" s="542">
        <f>'Haver Pivoted'!HJ49</f>
        <v>0</v>
      </c>
      <c r="Z14" s="542">
        <f>'Haver Pivoted'!HK49</f>
        <v>0</v>
      </c>
      <c r="AA14" s="542">
        <f>'Haver Pivoted'!HL49</f>
        <v>0</v>
      </c>
      <c r="AB14" s="503"/>
      <c r="AC14" s="503"/>
      <c r="AD14" s="503"/>
      <c r="AE14" s="503"/>
      <c r="AF14" s="503"/>
      <c r="AG14" s="503"/>
      <c r="AH14" s="503"/>
      <c r="AI14" s="503"/>
      <c r="AJ14" s="503"/>
    </row>
    <row r="15" spans="2:37" x14ac:dyDescent="0.35">
      <c r="B15" s="421" t="s">
        <v>406</v>
      </c>
      <c r="C15" s="56"/>
      <c r="D15" s="523"/>
      <c r="E15" s="56"/>
      <c r="F15" s="531"/>
      <c r="G15" s="531"/>
      <c r="H15" s="55">
        <f t="shared" ref="H15:AC15" si="14">SUM(H16:H25)</f>
        <v>0</v>
      </c>
      <c r="I15" s="55">
        <f t="shared" si="14"/>
        <v>0</v>
      </c>
      <c r="J15" s="55">
        <f t="shared" si="14"/>
        <v>412.6</v>
      </c>
      <c r="K15" s="55">
        <f t="shared" si="14"/>
        <v>307.10000000000002</v>
      </c>
      <c r="L15" s="55">
        <f t="shared" si="14"/>
        <v>292.10000000000002</v>
      </c>
      <c r="M15" s="55">
        <f t="shared" si="14"/>
        <v>110.8</v>
      </c>
      <c r="N15" s="55">
        <f t="shared" si="14"/>
        <v>162.4</v>
      </c>
      <c r="O15" s="55">
        <f t="shared" si="14"/>
        <v>179.31648000000001</v>
      </c>
      <c r="P15" s="55">
        <f>SUM(P16:P25)</f>
        <v>176.70000000000002</v>
      </c>
      <c r="Q15" s="55">
        <f t="shared" si="14"/>
        <v>60.7</v>
      </c>
      <c r="R15" s="55">
        <f t="shared" si="14"/>
        <v>53.5</v>
      </c>
      <c r="S15" s="55">
        <f t="shared" si="14"/>
        <v>42.7</v>
      </c>
      <c r="T15" s="55">
        <f t="shared" si="14"/>
        <v>28.200000000000003</v>
      </c>
      <c r="U15" s="55">
        <f t="shared" si="14"/>
        <v>8.886000000000001</v>
      </c>
      <c r="V15" s="55">
        <f t="shared" si="14"/>
        <v>8.886000000000001</v>
      </c>
      <c r="W15" s="399">
        <f t="shared" si="14"/>
        <v>8.886000000000001</v>
      </c>
      <c r="X15" s="55">
        <f t="shared" si="14"/>
        <v>0.2</v>
      </c>
      <c r="Y15" s="509">
        <f t="shared" si="14"/>
        <v>0.2</v>
      </c>
      <c r="Z15" s="509">
        <f t="shared" si="14"/>
        <v>0.2</v>
      </c>
      <c r="AA15" s="509">
        <f t="shared" si="14"/>
        <v>0.2</v>
      </c>
      <c r="AB15" s="509">
        <f t="shared" si="14"/>
        <v>0</v>
      </c>
      <c r="AC15" s="509">
        <f t="shared" si="14"/>
        <v>0</v>
      </c>
      <c r="AD15" s="509">
        <f t="shared" ref="AD15:AE15" si="15">SUM(AD16:AD25)</f>
        <v>0</v>
      </c>
      <c r="AE15" s="509">
        <f t="shared" si="15"/>
        <v>0</v>
      </c>
      <c r="AF15" s="509">
        <f t="shared" ref="AF15:AG15" si="16">SUM(AF16:AF25)</f>
        <v>0</v>
      </c>
      <c r="AG15" s="509">
        <f t="shared" si="16"/>
        <v>0</v>
      </c>
      <c r="AH15" s="509"/>
      <c r="AI15" s="509"/>
      <c r="AJ15" s="509"/>
    </row>
    <row r="16" spans="2:37" x14ac:dyDescent="0.35">
      <c r="B16" s="519" t="s">
        <v>145</v>
      </c>
      <c r="C16" s="39" t="s">
        <v>407</v>
      </c>
      <c r="D16" s="427"/>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33">
        <f>'Haver Pivoted'!HD53</f>
        <v>0</v>
      </c>
      <c r="T16" s="333">
        <f>'Haver Pivoted'!HE53</f>
        <v>0</v>
      </c>
      <c r="U16" s="333">
        <f>'Haver Pivoted'!HF53</f>
        <v>0</v>
      </c>
      <c r="V16" s="333">
        <f>'Haver Pivoted'!HG53</f>
        <v>0</v>
      </c>
      <c r="W16" s="542">
        <f>'Haver Pivoted'!HH53</f>
        <v>0</v>
      </c>
      <c r="X16" s="542">
        <f>'Haver Pivoted'!HI53</f>
        <v>0</v>
      </c>
      <c r="Y16" s="542">
        <f>'Haver Pivoted'!HJ53</f>
        <v>0</v>
      </c>
      <c r="Z16" s="542">
        <f>'Haver Pivoted'!HK53</f>
        <v>0</v>
      </c>
      <c r="AA16" s="542">
        <f>'Haver Pivoted'!HL53</f>
        <v>0</v>
      </c>
      <c r="AB16" s="503"/>
      <c r="AC16" s="503"/>
      <c r="AD16" s="503"/>
      <c r="AE16" s="503"/>
      <c r="AF16" s="503"/>
      <c r="AG16" s="503"/>
      <c r="AH16" s="503"/>
      <c r="AI16" s="503"/>
      <c r="AJ16" s="503"/>
    </row>
    <row r="17" spans="2:36" x14ac:dyDescent="0.35">
      <c r="B17" s="519" t="s">
        <v>143</v>
      </c>
      <c r="C17" s="39" t="s">
        <v>408</v>
      </c>
      <c r="D17" s="427"/>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33">
        <f>'Haver Pivoted'!HD51</f>
        <v>0</v>
      </c>
      <c r="T17" s="333">
        <f>'Haver Pivoted'!HE51</f>
        <v>0</v>
      </c>
      <c r="U17" s="333">
        <f>'Haver Pivoted'!HF51</f>
        <v>0</v>
      </c>
      <c r="V17" s="333">
        <f>'Haver Pivoted'!HG51</f>
        <v>0</v>
      </c>
      <c r="W17" s="542">
        <f>'Haver Pivoted'!HH51</f>
        <v>0</v>
      </c>
      <c r="X17" s="542">
        <f>'Haver Pivoted'!HI51</f>
        <v>0</v>
      </c>
      <c r="Y17" s="542">
        <f>'Haver Pivoted'!HJ51</f>
        <v>0</v>
      </c>
      <c r="Z17" s="542">
        <f>'Haver Pivoted'!HK51</f>
        <v>0</v>
      </c>
      <c r="AA17" s="542">
        <f>'Haver Pivoted'!HL51</f>
        <v>0</v>
      </c>
      <c r="AB17" s="337">
        <f t="shared" ref="AB17:AD17" si="17">AA17</f>
        <v>0</v>
      </c>
      <c r="AC17" s="337">
        <f t="shared" si="17"/>
        <v>0</v>
      </c>
      <c r="AD17" s="337">
        <f t="shared" si="17"/>
        <v>0</v>
      </c>
      <c r="AE17" s="337">
        <f t="shared" ref="AE17" si="18">AD17</f>
        <v>0</v>
      </c>
      <c r="AF17" s="337">
        <f t="shared" ref="AF17" si="19">AE17</f>
        <v>0</v>
      </c>
      <c r="AG17" s="337">
        <f t="shared" ref="AG17:AH17" si="20">AF17</f>
        <v>0</v>
      </c>
      <c r="AH17" s="337">
        <f t="shared" si="20"/>
        <v>0</v>
      </c>
      <c r="AI17" s="337">
        <f t="shared" ref="AI17" si="21">AH17</f>
        <v>0</v>
      </c>
      <c r="AJ17" s="337">
        <f t="shared" ref="AJ17" si="22">AI17</f>
        <v>0</v>
      </c>
    </row>
    <row r="18" spans="2:36" x14ac:dyDescent="0.35">
      <c r="B18" s="519" t="s">
        <v>142</v>
      </c>
      <c r="C18" s="36" t="s">
        <v>409</v>
      </c>
      <c r="D18" s="358"/>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33">
        <f>'Haver Pivoted'!HD50</f>
        <v>0.3</v>
      </c>
      <c r="T18" s="333">
        <f>'Haver Pivoted'!HE50</f>
        <v>0.4</v>
      </c>
      <c r="U18" s="333">
        <f>'Haver Pivoted'!HF50</f>
        <v>0</v>
      </c>
      <c r="V18" s="333">
        <f>'Haver Pivoted'!HG50</f>
        <v>0</v>
      </c>
      <c r="W18" s="542">
        <f>'Haver Pivoted'!HH50</f>
        <v>0</v>
      </c>
      <c r="X18" s="542">
        <f>'Haver Pivoted'!HI50</f>
        <v>0</v>
      </c>
      <c r="Y18" s="542">
        <f>'Haver Pivoted'!HJ50</f>
        <v>0</v>
      </c>
      <c r="Z18" s="542">
        <f>'Haver Pivoted'!HK50</f>
        <v>0</v>
      </c>
      <c r="AA18" s="542">
        <f>'Haver Pivoted'!HL50</f>
        <v>0</v>
      </c>
      <c r="AB18" s="337">
        <f t="shared" ref="AB18:AC18" si="23">AB30</f>
        <v>0</v>
      </c>
      <c r="AC18" s="337">
        <f t="shared" si="23"/>
        <v>0</v>
      </c>
      <c r="AD18" s="337">
        <f t="shared" ref="AD18:AE18" si="24">AD30</f>
        <v>0</v>
      </c>
      <c r="AE18" s="337">
        <f t="shared" si="24"/>
        <v>0</v>
      </c>
      <c r="AF18" s="337">
        <f t="shared" ref="AF18:AG18" si="25">AF30</f>
        <v>0</v>
      </c>
      <c r="AG18" s="337">
        <f t="shared" si="25"/>
        <v>0</v>
      </c>
      <c r="AH18" s="337">
        <f t="shared" ref="AH18:AJ18" si="26">AH30</f>
        <v>0</v>
      </c>
      <c r="AI18" s="337">
        <f t="shared" si="26"/>
        <v>0</v>
      </c>
      <c r="AJ18" s="337">
        <f t="shared" si="26"/>
        <v>0</v>
      </c>
    </row>
    <row r="19" spans="2:36" x14ac:dyDescent="0.35">
      <c r="B19" s="519" t="s">
        <v>410</v>
      </c>
      <c r="C19" s="36" t="s">
        <v>308</v>
      </c>
      <c r="D19" s="358"/>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33">
        <f>'Haver Pivoted'!HD54</f>
        <v>5.9</v>
      </c>
      <c r="T19" s="333">
        <f>'Haver Pivoted'!HE54</f>
        <v>3.6</v>
      </c>
      <c r="U19" s="333">
        <f>'Haver Pivoted'!HF54</f>
        <v>0</v>
      </c>
      <c r="V19" s="333">
        <f>'Haver Pivoted'!HG54</f>
        <v>0</v>
      </c>
      <c r="W19" s="542">
        <f>'Haver Pivoted'!HH54</f>
        <v>0</v>
      </c>
      <c r="X19" s="542">
        <f>'Haver Pivoted'!HI54</f>
        <v>0</v>
      </c>
      <c r="Y19" s="542">
        <f>'Haver Pivoted'!HJ54</f>
        <v>0</v>
      </c>
      <c r="Z19" s="542">
        <f>'Haver Pivoted'!HK54</f>
        <v>0</v>
      </c>
      <c r="AA19" s="542">
        <f>'Haver Pivoted'!HL54</f>
        <v>0</v>
      </c>
      <c r="AB19" s="503"/>
      <c r="AC19" s="503"/>
      <c r="AD19" s="503"/>
      <c r="AE19" s="503"/>
      <c r="AF19" s="503"/>
      <c r="AG19" s="503"/>
      <c r="AH19" s="503"/>
      <c r="AI19" s="503"/>
      <c r="AJ19" s="503"/>
    </row>
    <row r="20" spans="2:36" x14ac:dyDescent="0.35">
      <c r="B20" s="519" t="s">
        <v>144</v>
      </c>
      <c r="C20" s="36" t="s">
        <v>411</v>
      </c>
      <c r="D20" s="358"/>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33">
        <f>'Haver Pivoted'!HD52</f>
        <v>20.2</v>
      </c>
      <c r="T20" s="333">
        <f>'Haver Pivoted'!HE52</f>
        <v>15.8</v>
      </c>
      <c r="U20" s="37">
        <f t="shared" ref="U20:AC20" si="27">U37</f>
        <v>0.48599999999999993</v>
      </c>
      <c r="V20" s="37">
        <f t="shared" si="27"/>
        <v>0.48599999999999993</v>
      </c>
      <c r="W20" s="399">
        <f t="shared" si="27"/>
        <v>0.48599999999999993</v>
      </c>
      <c r="X20" s="37">
        <f t="shared" si="27"/>
        <v>0</v>
      </c>
      <c r="Y20" s="337">
        <f t="shared" si="27"/>
        <v>0</v>
      </c>
      <c r="Z20" s="337">
        <f t="shared" si="27"/>
        <v>0</v>
      </c>
      <c r="AA20" s="337">
        <f t="shared" si="27"/>
        <v>0</v>
      </c>
      <c r="AB20" s="337">
        <f t="shared" si="27"/>
        <v>0</v>
      </c>
      <c r="AC20" s="337">
        <f t="shared" si="27"/>
        <v>0</v>
      </c>
      <c r="AD20" s="337">
        <f t="shared" ref="AD20:AE20" si="28">AD37</f>
        <v>0</v>
      </c>
      <c r="AE20" s="337">
        <f t="shared" si="28"/>
        <v>0</v>
      </c>
      <c r="AF20" s="337">
        <f t="shared" ref="AF20:AG20" si="29">AF37</f>
        <v>0</v>
      </c>
      <c r="AG20" s="337">
        <f t="shared" si="29"/>
        <v>0</v>
      </c>
      <c r="AH20" s="337">
        <f t="shared" ref="AH20:AJ20" si="30">AH37</f>
        <v>0</v>
      </c>
      <c r="AI20" s="337">
        <f t="shared" si="30"/>
        <v>0</v>
      </c>
      <c r="AJ20" s="337">
        <f t="shared" si="30"/>
        <v>0</v>
      </c>
    </row>
    <row r="21" spans="2:36" x14ac:dyDescent="0.35">
      <c r="B21" s="519" t="s">
        <v>148</v>
      </c>
      <c r="C21" s="36" t="s">
        <v>412</v>
      </c>
      <c r="D21" s="358"/>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33">
        <f>'Haver Pivoted'!HD55</f>
        <v>0</v>
      </c>
      <c r="T21" s="333">
        <f>'Haver Pivoted'!HE55</f>
        <v>0</v>
      </c>
      <c r="U21" s="333">
        <f>'Haver Pivoted'!HF55</f>
        <v>0</v>
      </c>
      <c r="V21" s="333">
        <f>'Haver Pivoted'!HG55</f>
        <v>0</v>
      </c>
      <c r="W21" s="542">
        <f>'Haver Pivoted'!HH55</f>
        <v>0</v>
      </c>
      <c r="X21" s="542">
        <f>'Haver Pivoted'!HI55</f>
        <v>0</v>
      </c>
      <c r="Y21" s="542">
        <f>'Haver Pivoted'!HJ55</f>
        <v>0</v>
      </c>
      <c r="Z21" s="542">
        <f>'Haver Pivoted'!HK55</f>
        <v>0</v>
      </c>
      <c r="AA21" s="542">
        <f>'Haver Pivoted'!HL55</f>
        <v>0</v>
      </c>
      <c r="AB21" s="337">
        <f t="shared" ref="AB21:AD21" si="31">AA21</f>
        <v>0</v>
      </c>
      <c r="AC21" s="337">
        <f t="shared" si="31"/>
        <v>0</v>
      </c>
      <c r="AD21" s="337">
        <f t="shared" si="31"/>
        <v>0</v>
      </c>
      <c r="AE21" s="337">
        <f t="shared" ref="AE21" si="32">AD21</f>
        <v>0</v>
      </c>
      <c r="AF21" s="337">
        <f t="shared" ref="AF21" si="33">AE21</f>
        <v>0</v>
      </c>
      <c r="AG21" s="337">
        <f t="shared" ref="AG21:AH21" si="34">AF21</f>
        <v>0</v>
      </c>
      <c r="AH21" s="337">
        <f t="shared" si="34"/>
        <v>0</v>
      </c>
      <c r="AI21" s="337">
        <f t="shared" ref="AI21" si="35">AH21</f>
        <v>0</v>
      </c>
      <c r="AJ21" s="337">
        <f t="shared" ref="AJ21" si="36">AI21</f>
        <v>0</v>
      </c>
    </row>
    <row r="22" spans="2:36" x14ac:dyDescent="0.35">
      <c r="B22" s="519" t="s">
        <v>413</v>
      </c>
      <c r="C22" s="36" t="s">
        <v>786</v>
      </c>
      <c r="D22" s="371"/>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33">
        <f>'Haver Pivoted'!HD87</f>
        <v>0</v>
      </c>
      <c r="T22" s="333">
        <f>'Haver Pivoted'!HE87</f>
        <v>0</v>
      </c>
      <c r="U22" s="333">
        <f>'Haver Pivoted'!HF87</f>
        <v>0</v>
      </c>
      <c r="V22" s="333">
        <f>'Haver Pivoted'!HG87</f>
        <v>0</v>
      </c>
      <c r="W22" s="542">
        <f>'Haver Pivoted'!HH87</f>
        <v>0</v>
      </c>
      <c r="X22" s="542">
        <f>'Haver Pivoted'!HI87</f>
        <v>0</v>
      </c>
      <c r="Y22" s="542">
        <f>'Haver Pivoted'!HJ87</f>
        <v>0</v>
      </c>
      <c r="Z22" s="542">
        <f>'Haver Pivoted'!HK87</f>
        <v>0</v>
      </c>
      <c r="AA22" s="542">
        <f>'Haver Pivoted'!HL87</f>
        <v>0</v>
      </c>
      <c r="AB22" s="337">
        <v>0</v>
      </c>
      <c r="AC22" s="337">
        <v>0</v>
      </c>
      <c r="AD22" s="337">
        <v>0</v>
      </c>
      <c r="AE22" s="337">
        <v>0</v>
      </c>
      <c r="AF22" s="337">
        <v>0</v>
      </c>
      <c r="AG22" s="337">
        <v>0</v>
      </c>
      <c r="AH22" s="337">
        <v>0</v>
      </c>
      <c r="AI22" s="337">
        <v>1</v>
      </c>
      <c r="AJ22" s="337">
        <v>2</v>
      </c>
    </row>
    <row r="23" spans="2:36" x14ac:dyDescent="0.35">
      <c r="B23" s="519" t="s">
        <v>414</v>
      </c>
      <c r="C23" s="36" t="s">
        <v>785</v>
      </c>
      <c r="D23" s="358"/>
      <c r="E23" s="36"/>
      <c r="F23" s="55"/>
      <c r="G23" s="532"/>
      <c r="H23" s="55"/>
      <c r="I23" s="55"/>
      <c r="J23" s="55"/>
      <c r="K23" s="55"/>
      <c r="L23" s="55"/>
      <c r="M23" s="55"/>
      <c r="N23" s="55">
        <f>'Haver Pivoted'!GY86</f>
        <v>21.4</v>
      </c>
      <c r="O23" s="55">
        <f>'Haver Pivoted'!GZ86</f>
        <v>57</v>
      </c>
      <c r="P23" s="55">
        <f>'Haver Pivoted'!HA86</f>
        <v>35.5</v>
      </c>
      <c r="Q23" s="55">
        <f>'Haver Pivoted'!HB86</f>
        <v>0</v>
      </c>
      <c r="R23" s="55">
        <f>'Haver Pivoted'!HC86</f>
        <v>0</v>
      </c>
      <c r="S23" s="333">
        <f>'Haver Pivoted'!HD86</f>
        <v>0</v>
      </c>
      <c r="T23" s="333">
        <f>'Haver Pivoted'!HE86</f>
        <v>0</v>
      </c>
      <c r="U23" s="333">
        <f>'Haver Pivoted'!HF86</f>
        <v>0</v>
      </c>
      <c r="V23" s="333">
        <f>'Haver Pivoted'!HG86</f>
        <v>0</v>
      </c>
      <c r="W23" s="542">
        <f>'Haver Pivoted'!HH86</f>
        <v>0</v>
      </c>
      <c r="X23" s="542">
        <f>'Haver Pivoted'!HI86</f>
        <v>0</v>
      </c>
      <c r="Y23" s="542">
        <f>'Haver Pivoted'!HJ86</f>
        <v>0</v>
      </c>
      <c r="Z23" s="542">
        <f>'Haver Pivoted'!HK86</f>
        <v>0</v>
      </c>
      <c r="AA23" s="542">
        <f>'Haver Pivoted'!HL86</f>
        <v>0</v>
      </c>
      <c r="AB23" s="337">
        <f t="shared" ref="AB23:AD23" si="37">AA23</f>
        <v>0</v>
      </c>
      <c r="AC23" s="337">
        <f t="shared" si="37"/>
        <v>0</v>
      </c>
      <c r="AD23" s="337">
        <f t="shared" si="37"/>
        <v>0</v>
      </c>
      <c r="AE23" s="337">
        <f t="shared" ref="AE23" si="38">AD23</f>
        <v>0</v>
      </c>
      <c r="AF23" s="337">
        <f t="shared" ref="AF23" si="39">AE23</f>
        <v>0</v>
      </c>
      <c r="AG23" s="337">
        <f t="shared" ref="AG23:AH23" si="40">AF23</f>
        <v>0</v>
      </c>
      <c r="AH23" s="337">
        <f t="shared" si="40"/>
        <v>0</v>
      </c>
      <c r="AI23" s="337">
        <f t="shared" ref="AI23" si="41">AH23</f>
        <v>0</v>
      </c>
      <c r="AJ23" s="337">
        <f t="shared" ref="AJ23" si="42">AI23</f>
        <v>0</v>
      </c>
    </row>
    <row r="24" spans="2:36" x14ac:dyDescent="0.35">
      <c r="B24" s="519" t="s">
        <v>415</v>
      </c>
      <c r="C24" s="36"/>
      <c r="D24" s="358"/>
      <c r="E24" s="36"/>
      <c r="F24" s="55"/>
      <c r="G24" s="55"/>
      <c r="H24" s="55"/>
      <c r="I24" s="55"/>
      <c r="J24" s="55"/>
      <c r="K24" s="55"/>
      <c r="L24" s="55"/>
      <c r="M24" s="55"/>
      <c r="N24" s="55"/>
      <c r="O24" s="37">
        <f>O41+O42</f>
        <v>12.51648</v>
      </c>
      <c r="P24" s="37">
        <f>P41+P42</f>
        <v>11.3</v>
      </c>
      <c r="Q24" s="37">
        <f t="shared" ref="Q24:AC24" si="43">Q41+Q42</f>
        <v>11.3</v>
      </c>
      <c r="R24" s="37">
        <f t="shared" si="43"/>
        <v>11.3</v>
      </c>
      <c r="S24" s="37">
        <f t="shared" si="43"/>
        <v>11.3</v>
      </c>
      <c r="T24" s="37">
        <f t="shared" si="43"/>
        <v>8.4</v>
      </c>
      <c r="U24" s="37">
        <f t="shared" si="43"/>
        <v>8.4</v>
      </c>
      <c r="V24" s="37">
        <f t="shared" si="43"/>
        <v>8.4</v>
      </c>
      <c r="W24" s="399">
        <f t="shared" si="43"/>
        <v>8.4</v>
      </c>
      <c r="X24" s="37">
        <f t="shared" si="43"/>
        <v>0.2</v>
      </c>
      <c r="Y24" s="337">
        <f t="shared" si="43"/>
        <v>0.2</v>
      </c>
      <c r="Z24" s="337">
        <f t="shared" si="43"/>
        <v>0.2</v>
      </c>
      <c r="AA24" s="337">
        <f t="shared" si="43"/>
        <v>0.2</v>
      </c>
      <c r="AB24" s="337">
        <f t="shared" si="43"/>
        <v>0</v>
      </c>
      <c r="AC24" s="337">
        <f t="shared" si="43"/>
        <v>0</v>
      </c>
      <c r="AD24" s="337">
        <f t="shared" ref="AD24:AE24" si="44">AD41+AD42</f>
        <v>0</v>
      </c>
      <c r="AE24" s="337">
        <f t="shared" si="44"/>
        <v>0</v>
      </c>
      <c r="AF24" s="337">
        <f t="shared" ref="AF24:AG24" si="45">AF41+AF42</f>
        <v>0</v>
      </c>
      <c r="AG24" s="337">
        <f t="shared" si="45"/>
        <v>0</v>
      </c>
      <c r="AH24" s="337">
        <f t="shared" ref="AH24:AJ24" si="46">AH41+AH42</f>
        <v>0</v>
      </c>
      <c r="AI24" s="337">
        <f t="shared" si="46"/>
        <v>0</v>
      </c>
      <c r="AJ24" s="337">
        <f t="shared" si="46"/>
        <v>0</v>
      </c>
    </row>
    <row r="25" spans="2:36" x14ac:dyDescent="0.35">
      <c r="B25" s="519" t="s">
        <v>416</v>
      </c>
      <c r="C25" s="36"/>
      <c r="D25" s="358"/>
      <c r="E25" s="36"/>
      <c r="F25" s="37"/>
      <c r="G25" s="37"/>
      <c r="H25" s="231"/>
      <c r="I25" s="231"/>
      <c r="J25" s="231"/>
      <c r="K25" s="231"/>
      <c r="L25" s="231"/>
      <c r="M25" s="231"/>
      <c r="N25" s="37"/>
      <c r="O25" s="37">
        <f>O34</f>
        <v>12</v>
      </c>
      <c r="P25" s="37">
        <v>25</v>
      </c>
      <c r="Q25" s="37">
        <v>5</v>
      </c>
      <c r="R25" s="37">
        <v>5</v>
      </c>
      <c r="S25" s="37">
        <v>5</v>
      </c>
      <c r="T25" s="37">
        <f t="shared" ref="T25:AC25" si="47">T34</f>
        <v>0</v>
      </c>
      <c r="U25" s="37">
        <f t="shared" si="47"/>
        <v>0</v>
      </c>
      <c r="V25" s="37">
        <f t="shared" si="47"/>
        <v>0</v>
      </c>
      <c r="W25" s="399">
        <f t="shared" si="47"/>
        <v>0</v>
      </c>
      <c r="X25" s="37">
        <f t="shared" si="47"/>
        <v>0</v>
      </c>
      <c r="Y25" s="337">
        <f t="shared" si="47"/>
        <v>0</v>
      </c>
      <c r="Z25" s="337">
        <f t="shared" si="47"/>
        <v>0</v>
      </c>
      <c r="AA25" s="337">
        <f t="shared" si="47"/>
        <v>0</v>
      </c>
      <c r="AB25" s="337">
        <f t="shared" si="47"/>
        <v>0</v>
      </c>
      <c r="AC25" s="337">
        <f t="shared" si="47"/>
        <v>0</v>
      </c>
      <c r="AD25" s="337">
        <f t="shared" ref="AD25:AE25" si="48">AD34</f>
        <v>0</v>
      </c>
      <c r="AE25" s="337">
        <f t="shared" si="48"/>
        <v>0</v>
      </c>
      <c r="AF25" s="337">
        <f t="shared" ref="AF25:AG25" si="49">AF34</f>
        <v>0</v>
      </c>
      <c r="AG25" s="337">
        <f t="shared" si="49"/>
        <v>0</v>
      </c>
      <c r="AH25" s="337">
        <f t="shared" ref="AH25:AJ25" si="50">AH34</f>
        <v>0</v>
      </c>
      <c r="AI25" s="337">
        <f t="shared" si="50"/>
        <v>0</v>
      </c>
      <c r="AJ25" s="337">
        <f t="shared" si="50"/>
        <v>0</v>
      </c>
    </row>
    <row r="26" spans="2:36" x14ac:dyDescent="0.35">
      <c r="B26" s="519" t="s">
        <v>1376</v>
      </c>
      <c r="C26" s="36"/>
      <c r="D26" s="358"/>
      <c r="E26" s="36"/>
      <c r="F26" s="37"/>
      <c r="G26" s="37"/>
      <c r="H26" s="231"/>
      <c r="I26" s="231"/>
      <c r="J26" s="231"/>
      <c r="K26" s="231"/>
      <c r="L26" s="231"/>
      <c r="M26" s="231"/>
      <c r="N26" s="37"/>
      <c r="O26" s="37"/>
      <c r="P26" s="37"/>
      <c r="Q26" s="37"/>
      <c r="R26" s="37"/>
      <c r="S26" s="499">
        <f>'IRA and CHIPS'!E198</f>
        <v>0</v>
      </c>
      <c r="T26" s="499">
        <f>'IRA and CHIPS'!F198</f>
        <v>2.3250000000000002</v>
      </c>
      <c r="U26" s="499">
        <f>'IRA and CHIPS'!G198</f>
        <v>2.3250000000000002</v>
      </c>
      <c r="V26" s="499">
        <f>'IRA and CHIPS'!H198</f>
        <v>2.3250000000000002</v>
      </c>
      <c r="W26" s="495">
        <f>'IRA and CHIPS'!I198</f>
        <v>2.3250000000000002</v>
      </c>
      <c r="X26" s="499">
        <f>'IRA and CHIPS'!J198</f>
        <v>5.5830000000000002</v>
      </c>
      <c r="Y26" s="510">
        <f>'IRA and CHIPS'!K198</f>
        <v>5.5830000000000002</v>
      </c>
      <c r="Z26" s="510">
        <f>'IRA and CHIPS'!L198</f>
        <v>5.5830000000000002</v>
      </c>
      <c r="AA26" s="510">
        <f>'IRA and CHIPS'!M198</f>
        <v>5.5830000000000002</v>
      </c>
      <c r="AB26" s="510">
        <f>'IRA and CHIPS'!N198</f>
        <v>8.0220000000000002</v>
      </c>
      <c r="AC26" s="510">
        <f>'IRA and CHIPS'!O198</f>
        <v>8.0220000000000002</v>
      </c>
      <c r="AD26" s="510">
        <f>'IRA and CHIPS'!P198</f>
        <v>0</v>
      </c>
      <c r="AE26" s="510">
        <f>'IRA and CHIPS'!Q198</f>
        <v>0</v>
      </c>
      <c r="AF26" s="510">
        <f>'IRA and CHIPS'!R198</f>
        <v>0</v>
      </c>
      <c r="AG26" s="510">
        <f>'IRA and CHIPS'!S198</f>
        <v>0</v>
      </c>
      <c r="AH26" s="510">
        <f>'IRA and CHIPS'!T198</f>
        <v>0</v>
      </c>
      <c r="AI26" s="510">
        <f>'IRA and CHIPS'!U198</f>
        <v>0</v>
      </c>
      <c r="AJ26" s="510">
        <f>'IRA and CHIPS'!V198</f>
        <v>0</v>
      </c>
    </row>
    <row r="27" spans="2:36" x14ac:dyDescent="0.35">
      <c r="B27" s="519" t="s">
        <v>1184</v>
      </c>
      <c r="C27" s="387"/>
      <c r="D27" s="385"/>
      <c r="E27" s="387"/>
      <c r="F27" s="392"/>
      <c r="G27" s="392"/>
      <c r="H27" s="520"/>
      <c r="I27" s="520"/>
      <c r="J27" s="520"/>
      <c r="K27" s="520"/>
      <c r="L27" s="520"/>
      <c r="M27" s="520"/>
      <c r="N27" s="392"/>
      <c r="O27" s="392"/>
      <c r="P27" s="392"/>
      <c r="Q27" s="392"/>
      <c r="R27" s="392"/>
      <c r="S27" s="500">
        <f>'IRA and CHIPS'!E187</f>
        <v>0</v>
      </c>
      <c r="T27" s="500">
        <f>'IRA and CHIPS'!F187</f>
        <v>1.2969999999999999</v>
      </c>
      <c r="U27" s="500">
        <f>'IRA and CHIPS'!G187</f>
        <v>1.2969999999999999</v>
      </c>
      <c r="V27" s="500">
        <f>'IRA and CHIPS'!H187</f>
        <v>1.2969999999999999</v>
      </c>
      <c r="W27" s="496">
        <f>'IRA and CHIPS'!I187</f>
        <v>1.2969999999999999</v>
      </c>
      <c r="X27" s="500">
        <f>'IRA and CHIPS'!J187</f>
        <v>3.8479999999999999</v>
      </c>
      <c r="Y27" s="521">
        <f>'IRA and CHIPS'!K187</f>
        <v>3.8479999999999999</v>
      </c>
      <c r="Z27" s="521">
        <f>'IRA and CHIPS'!L187</f>
        <v>3.8479999999999999</v>
      </c>
      <c r="AA27" s="521">
        <f>'IRA and CHIPS'!M187</f>
        <v>3.8479999999999999</v>
      </c>
      <c r="AB27" s="521">
        <f>'IRA and CHIPS'!N187</f>
        <v>6.4420000000000002</v>
      </c>
      <c r="AC27" s="521">
        <f>'IRA and CHIPS'!O187</f>
        <v>6.4420000000000002</v>
      </c>
      <c r="AD27" s="521">
        <f>'IRA and CHIPS'!P187</f>
        <v>6.4420000000000002</v>
      </c>
      <c r="AE27" s="521">
        <f>'IRA and CHIPS'!Q187</f>
        <v>6.4420000000000002</v>
      </c>
      <c r="AF27" s="521">
        <f>'IRA and CHIPS'!R187</f>
        <v>9.532</v>
      </c>
      <c r="AG27" s="521">
        <f>'IRA and CHIPS'!S187</f>
        <v>9.532</v>
      </c>
      <c r="AH27" s="521">
        <f>AG27</f>
        <v>9.532</v>
      </c>
      <c r="AI27" s="521">
        <f t="shared" ref="AI27:AJ27" si="51">AH27</f>
        <v>9.532</v>
      </c>
      <c r="AJ27" s="521">
        <f t="shared" si="51"/>
        <v>9.532</v>
      </c>
    </row>
    <row r="28" spans="2:36" ht="15" customHeight="1" x14ac:dyDescent="0.35">
      <c r="B28" s="1336" t="s">
        <v>417</v>
      </c>
      <c r="C28" s="1337"/>
      <c r="D28" s="522"/>
      <c r="E28" s="492"/>
      <c r="F28" s="492"/>
      <c r="G28" s="492"/>
      <c r="H28" s="37"/>
      <c r="I28" s="37"/>
      <c r="J28" s="37"/>
      <c r="K28" s="37"/>
      <c r="L28" s="37"/>
      <c r="M28" s="37"/>
      <c r="N28" s="37"/>
      <c r="O28" s="37"/>
      <c r="P28" s="432"/>
      <c r="Q28" s="37"/>
      <c r="R28" s="37"/>
      <c r="S28" s="37"/>
      <c r="T28" s="37"/>
      <c r="U28" s="37"/>
      <c r="V28" s="498"/>
      <c r="W28" s="498"/>
      <c r="X28" s="498"/>
      <c r="Y28" s="502"/>
      <c r="Z28" s="502"/>
      <c r="AA28" s="502"/>
      <c r="AB28" s="502"/>
      <c r="AC28" s="502"/>
      <c r="AD28" s="503"/>
      <c r="AE28" s="511"/>
      <c r="AF28" s="511"/>
      <c r="AG28" s="503"/>
      <c r="AH28" s="503"/>
      <c r="AI28" s="503"/>
      <c r="AJ28" s="503"/>
    </row>
    <row r="29" spans="2:36" x14ac:dyDescent="0.35">
      <c r="B29" s="421" t="s">
        <v>418</v>
      </c>
      <c r="C29" s="279"/>
      <c r="D29" s="477"/>
      <c r="E29" s="279"/>
      <c r="F29" s="231"/>
      <c r="G29" s="231"/>
      <c r="H29" s="37"/>
      <c r="I29" s="37"/>
      <c r="J29" s="37"/>
      <c r="K29" s="37"/>
      <c r="L29" s="37"/>
      <c r="M29" s="37"/>
      <c r="N29" s="37">
        <f>SUM(N30:N34)</f>
        <v>23</v>
      </c>
      <c r="O29" s="37">
        <f>SUM(O30:O34)</f>
        <v>162</v>
      </c>
      <c r="P29" s="37"/>
      <c r="Q29" s="37"/>
      <c r="R29" s="37"/>
      <c r="S29" s="37"/>
      <c r="T29" s="37"/>
      <c r="U29" s="37"/>
      <c r="V29" s="57"/>
      <c r="W29" s="57"/>
      <c r="X29" s="57"/>
      <c r="Y29" s="503"/>
      <c r="Z29" s="503"/>
      <c r="AA29" s="503"/>
      <c r="AB29" s="503"/>
      <c r="AC29" s="503"/>
      <c r="AD29" s="503"/>
      <c r="AE29" s="511"/>
      <c r="AF29" s="511"/>
      <c r="AG29" s="503"/>
      <c r="AH29" s="503"/>
      <c r="AI29" s="503"/>
      <c r="AJ29" s="503"/>
    </row>
    <row r="30" spans="2:36" x14ac:dyDescent="0.35">
      <c r="B30" s="362" t="s">
        <v>419</v>
      </c>
      <c r="C30" s="279"/>
      <c r="D30" s="477"/>
      <c r="E30" s="279"/>
      <c r="F30" s="231"/>
      <c r="G30" s="231"/>
      <c r="H30" s="37"/>
      <c r="I30" s="37"/>
      <c r="J30" s="37"/>
      <c r="K30" s="37"/>
      <c r="L30" s="526"/>
      <c r="M30" s="37"/>
      <c r="N30" s="37">
        <f>(4*'Response and Relief Act Score'!$F$15-$M$18)/2</f>
        <v>11</v>
      </c>
      <c r="O30" s="37">
        <f>(4*'Response and Relief Act Score'!$F$15-$M$18)/2</f>
        <v>11</v>
      </c>
      <c r="P30" s="37"/>
      <c r="Q30" s="37"/>
      <c r="R30" s="37"/>
      <c r="S30" s="37"/>
      <c r="T30" s="37"/>
      <c r="U30" s="37"/>
      <c r="V30" s="57"/>
      <c r="W30" s="57"/>
      <c r="X30" s="57"/>
      <c r="Y30" s="503"/>
      <c r="Z30" s="503"/>
      <c r="AA30" s="503"/>
      <c r="AB30" s="503"/>
      <c r="AC30" s="503"/>
      <c r="AD30" s="503"/>
      <c r="AE30" s="511"/>
      <c r="AF30" s="511"/>
      <c r="AG30" s="503"/>
      <c r="AH30" s="503"/>
      <c r="AI30" s="503"/>
      <c r="AJ30" s="503"/>
    </row>
    <row r="31" spans="2:36" x14ac:dyDescent="0.35">
      <c r="B31" s="362" t="s">
        <v>416</v>
      </c>
      <c r="C31" s="279"/>
      <c r="D31" s="477"/>
      <c r="E31" s="279"/>
      <c r="F31" s="231"/>
      <c r="G31" s="231"/>
      <c r="H31" s="37"/>
      <c r="I31" s="37"/>
      <c r="J31" s="37"/>
      <c r="K31" s="37"/>
      <c r="L31" s="526"/>
      <c r="M31" s="37"/>
      <c r="N31" s="37"/>
      <c r="O31" s="37"/>
      <c r="P31" s="37"/>
      <c r="Q31" s="37"/>
      <c r="R31" s="37"/>
      <c r="S31" s="37"/>
      <c r="T31" s="37"/>
      <c r="U31" s="37"/>
      <c r="V31" s="57"/>
      <c r="W31" s="57"/>
      <c r="X31" s="57"/>
      <c r="Y31" s="503"/>
      <c r="Z31" s="503"/>
      <c r="AA31" s="503"/>
      <c r="AB31" s="503"/>
      <c r="AC31" s="503"/>
      <c r="AD31" s="503"/>
      <c r="AE31" s="511"/>
      <c r="AF31" s="511"/>
      <c r="AG31" s="503"/>
      <c r="AH31" s="503"/>
      <c r="AI31" s="503"/>
      <c r="AJ31" s="503"/>
    </row>
    <row r="32" spans="2:36" x14ac:dyDescent="0.35">
      <c r="B32" s="539" t="s">
        <v>413</v>
      </c>
      <c r="C32" s="279"/>
      <c r="D32" s="477"/>
      <c r="E32" s="279"/>
      <c r="F32" s="231"/>
      <c r="G32" s="231"/>
      <c r="H32" s="37"/>
      <c r="I32" s="37"/>
      <c r="J32" s="37"/>
      <c r="K32" s="37"/>
      <c r="L32" s="37"/>
      <c r="M32" s="37"/>
      <c r="N32" s="37"/>
      <c r="O32" s="37">
        <v>79</v>
      </c>
      <c r="P32" s="37"/>
      <c r="Q32" s="399"/>
      <c r="R32" s="399"/>
      <c r="S32" s="399"/>
      <c r="T32" s="399"/>
      <c r="U32" s="399"/>
      <c r="V32" s="57"/>
      <c r="W32" s="57"/>
      <c r="X32" s="57"/>
      <c r="Y32" s="503"/>
      <c r="Z32" s="503"/>
      <c r="AA32" s="503"/>
      <c r="AB32" s="503"/>
      <c r="AC32" s="503"/>
      <c r="AD32" s="503"/>
      <c r="AE32" s="511"/>
      <c r="AF32" s="511"/>
      <c r="AG32" s="503"/>
      <c r="AH32" s="503"/>
      <c r="AI32" s="503"/>
      <c r="AJ32" s="503"/>
    </row>
    <row r="33" spans="1:79" x14ac:dyDescent="0.35">
      <c r="B33" s="540" t="s">
        <v>420</v>
      </c>
      <c r="C33" s="279"/>
      <c r="D33" s="477"/>
      <c r="E33" s="279"/>
      <c r="F33" s="231"/>
      <c r="G33" s="231"/>
      <c r="H33" s="37"/>
      <c r="I33" s="37"/>
      <c r="J33" s="37"/>
      <c r="K33" s="37"/>
      <c r="L33" s="37"/>
      <c r="M33" s="37"/>
      <c r="N33" s="37"/>
      <c r="O33" s="37">
        <f>'Response and Relief Act Score'!F13*4</f>
        <v>60</v>
      </c>
      <c r="P33" s="37"/>
      <c r="Q33" s="399"/>
      <c r="R33" s="399"/>
      <c r="S33" s="399"/>
      <c r="T33" s="399"/>
      <c r="U33" s="399"/>
      <c r="V33" s="57"/>
      <c r="W33" s="57"/>
      <c r="X33" s="57"/>
      <c r="Y33" s="503"/>
      <c r="Z33" s="503"/>
      <c r="AA33" s="503"/>
      <c r="AB33" s="503"/>
      <c r="AC33" s="503"/>
      <c r="AD33" s="503"/>
      <c r="AE33" s="511"/>
      <c r="AF33" s="511"/>
      <c r="AG33" s="503"/>
      <c r="AH33" s="503"/>
      <c r="AI33" s="503"/>
      <c r="AJ33" s="503"/>
    </row>
    <row r="34" spans="1:79" ht="27.65" customHeight="1" x14ac:dyDescent="0.35">
      <c r="B34" s="540" t="s">
        <v>421</v>
      </c>
      <c r="C34" s="279"/>
      <c r="D34" s="524"/>
      <c r="E34" s="525"/>
      <c r="F34" s="520"/>
      <c r="G34" s="520"/>
      <c r="H34" s="392"/>
      <c r="I34" s="392"/>
      <c r="J34" s="392"/>
      <c r="K34" s="392"/>
      <c r="L34" s="530"/>
      <c r="M34" s="392"/>
      <c r="N34" s="392">
        <f>'Response and Relief Act Score'!F14*4/2</f>
        <v>12</v>
      </c>
      <c r="O34" s="392">
        <f>'Response and Relief Act Score'!F14*4/2</f>
        <v>12</v>
      </c>
      <c r="P34" s="392"/>
      <c r="Q34" s="392"/>
      <c r="R34" s="392"/>
      <c r="S34" s="392"/>
      <c r="T34" s="392"/>
      <c r="U34" s="37"/>
      <c r="V34" s="57"/>
      <c r="W34" s="57"/>
      <c r="X34" s="57"/>
      <c r="Y34" s="503"/>
      <c r="Z34" s="503"/>
      <c r="AA34" s="503"/>
      <c r="AB34" s="503"/>
      <c r="AC34" s="503"/>
      <c r="AD34" s="503"/>
      <c r="AE34" s="511"/>
      <c r="AF34" s="511"/>
      <c r="AG34" s="503"/>
      <c r="AH34" s="503"/>
      <c r="AI34" s="503"/>
      <c r="AJ34" s="503"/>
    </row>
    <row r="35" spans="1:79" ht="15" customHeight="1" x14ac:dyDescent="0.35">
      <c r="B35" s="1334" t="s">
        <v>422</v>
      </c>
      <c r="C35" s="1335"/>
      <c r="D35" s="477"/>
      <c r="E35" s="279"/>
      <c r="F35" s="231"/>
      <c r="G35" s="231"/>
      <c r="H35" s="37"/>
      <c r="I35" s="37"/>
      <c r="J35" s="37"/>
      <c r="K35" s="37"/>
      <c r="L35" s="526"/>
      <c r="M35" s="37"/>
      <c r="N35" s="37"/>
      <c r="O35" s="37"/>
      <c r="P35" s="37"/>
      <c r="Q35" s="37"/>
      <c r="R35" s="37"/>
      <c r="S35" s="37"/>
      <c r="T35" s="411"/>
      <c r="U35" s="505"/>
      <c r="V35" s="498"/>
      <c r="W35" s="498"/>
      <c r="X35" s="498"/>
      <c r="Y35" s="502"/>
      <c r="Z35" s="502"/>
      <c r="AA35" s="502"/>
      <c r="AB35" s="502"/>
      <c r="AC35" s="502"/>
      <c r="AD35" s="503"/>
      <c r="AE35" s="511"/>
      <c r="AF35" s="511"/>
      <c r="AG35" s="503"/>
      <c r="AH35" s="503"/>
      <c r="AI35" s="503"/>
      <c r="AJ35" s="503"/>
    </row>
    <row r="36" spans="1:79" ht="13.5" customHeight="1" x14ac:dyDescent="0.35">
      <c r="B36" s="540" t="s">
        <v>143</v>
      </c>
      <c r="C36" s="279"/>
      <c r="D36" s="477"/>
      <c r="E36" s="279"/>
      <c r="F36" s="231"/>
      <c r="G36" s="231"/>
      <c r="H36" s="37"/>
      <c r="I36" s="37"/>
      <c r="J36" s="37"/>
      <c r="K36" s="37"/>
      <c r="L36" s="526"/>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37">
        <f>'ARP Quarterly'!O18</f>
        <v>0</v>
      </c>
      <c r="Z36" s="337">
        <f>'ARP Quarterly'!P18</f>
        <v>0</v>
      </c>
      <c r="AA36" s="337">
        <f>'ARP Quarterly'!Q18</f>
        <v>0</v>
      </c>
      <c r="AB36" s="337">
        <f>'ARP Quarterly'!R18</f>
        <v>0</v>
      </c>
      <c r="AC36" s="337">
        <f>'ARP Quarterly'!S18</f>
        <v>0</v>
      </c>
      <c r="AD36" s="503"/>
      <c r="AE36" s="511"/>
      <c r="AF36" s="511"/>
      <c r="AG36" s="503"/>
      <c r="AH36" s="503"/>
      <c r="AI36" s="503"/>
      <c r="AJ36" s="503"/>
    </row>
    <row r="37" spans="1:79" x14ac:dyDescent="0.35">
      <c r="B37" s="540" t="s">
        <v>423</v>
      </c>
      <c r="C37" s="279"/>
      <c r="D37" s="477"/>
      <c r="E37" s="279"/>
      <c r="F37" s="231"/>
      <c r="G37" s="231"/>
      <c r="H37" s="37"/>
      <c r="I37" s="37"/>
      <c r="J37" s="37"/>
      <c r="K37" s="37"/>
      <c r="L37" s="526"/>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37">
        <f>'ARP Quarterly'!O19</f>
        <v>0</v>
      </c>
      <c r="Z37" s="337">
        <f>'ARP Quarterly'!P19</f>
        <v>0</v>
      </c>
      <c r="AA37" s="337">
        <f>'ARP Quarterly'!Q19</f>
        <v>0</v>
      </c>
      <c r="AB37" s="337">
        <f>'ARP Quarterly'!R19</f>
        <v>0</v>
      </c>
      <c r="AC37" s="337">
        <f>'ARP Quarterly'!S19</f>
        <v>0</v>
      </c>
      <c r="AD37" s="503"/>
      <c r="AE37" s="511"/>
      <c r="AF37" s="511"/>
      <c r="AG37" s="503"/>
      <c r="AH37" s="503"/>
      <c r="AI37" s="503"/>
      <c r="AJ37" s="503"/>
    </row>
    <row r="38" spans="1:79" x14ac:dyDescent="0.35">
      <c r="B38" s="540" t="s">
        <v>148</v>
      </c>
      <c r="C38" s="279"/>
      <c r="D38" s="477"/>
      <c r="E38" s="279"/>
      <c r="F38" s="231"/>
      <c r="G38" s="231"/>
      <c r="H38" s="37"/>
      <c r="I38" s="37"/>
      <c r="J38" s="37"/>
      <c r="K38" s="37"/>
      <c r="L38" s="526"/>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37">
        <f>'ARP Quarterly'!O20</f>
        <v>0</v>
      </c>
      <c r="Z38" s="337">
        <f>'ARP Quarterly'!P20</f>
        <v>0</v>
      </c>
      <c r="AA38" s="337">
        <f>'ARP Quarterly'!Q20</f>
        <v>0</v>
      </c>
      <c r="AB38" s="337">
        <f>'ARP Quarterly'!R20</f>
        <v>0</v>
      </c>
      <c r="AC38" s="337">
        <f>'ARP Quarterly'!S20</f>
        <v>0</v>
      </c>
      <c r="AD38" s="503"/>
      <c r="AE38" s="511"/>
      <c r="AF38" s="511"/>
      <c r="AG38" s="503"/>
      <c r="AH38" s="503"/>
      <c r="AI38" s="503"/>
      <c r="AJ38" s="503"/>
    </row>
    <row r="39" spans="1:79" x14ac:dyDescent="0.35">
      <c r="B39" s="540" t="s">
        <v>413</v>
      </c>
      <c r="C39" s="279"/>
      <c r="D39" s="477"/>
      <c r="E39" s="279"/>
      <c r="F39" s="231"/>
      <c r="G39" s="231"/>
      <c r="H39" s="37"/>
      <c r="I39" s="37"/>
      <c r="J39" s="37"/>
      <c r="K39" s="37"/>
      <c r="L39" s="526"/>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37">
        <f>'ARP Quarterly'!O21</f>
        <v>0</v>
      </c>
      <c r="Z39" s="337">
        <f>'ARP Quarterly'!P21</f>
        <v>0</v>
      </c>
      <c r="AA39" s="337">
        <f>'ARP Quarterly'!Q21</f>
        <v>0</v>
      </c>
      <c r="AB39" s="337">
        <f>'ARP Quarterly'!R21</f>
        <v>0</v>
      </c>
      <c r="AC39" s="337">
        <f>'ARP Quarterly'!S21</f>
        <v>0</v>
      </c>
      <c r="AD39" s="503"/>
      <c r="AE39" s="511"/>
      <c r="AF39" s="511"/>
      <c r="AG39" s="503"/>
      <c r="AH39" s="503"/>
      <c r="AI39" s="503"/>
      <c r="AJ39" s="503"/>
    </row>
    <row r="40" spans="1:79" ht="30" customHeight="1" x14ac:dyDescent="0.35">
      <c r="B40" s="540" t="s">
        <v>424</v>
      </c>
      <c r="C40" s="279"/>
      <c r="D40" s="477"/>
      <c r="E40" s="279"/>
      <c r="F40" s="231"/>
      <c r="G40" s="231"/>
      <c r="H40" s="37"/>
      <c r="I40" s="37"/>
      <c r="J40" s="37"/>
      <c r="K40" s="37"/>
      <c r="L40" s="526"/>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37">
        <f>'ARP Quarterly'!O22</f>
        <v>0</v>
      </c>
      <c r="Z40" s="337">
        <f>'ARP Quarterly'!P22</f>
        <v>0</v>
      </c>
      <c r="AA40" s="337">
        <f>'ARP Quarterly'!Q22</f>
        <v>0</v>
      </c>
      <c r="AB40" s="337">
        <f>'ARP Quarterly'!R22</f>
        <v>0</v>
      </c>
      <c r="AC40" s="337">
        <f>'ARP Quarterly'!S22</f>
        <v>0</v>
      </c>
      <c r="AD40" s="503"/>
      <c r="AE40" s="511"/>
      <c r="AF40" s="511"/>
      <c r="AG40" s="503"/>
      <c r="AH40" s="503"/>
      <c r="AI40" s="503"/>
      <c r="AJ40" s="503"/>
    </row>
    <row r="41" spans="1:79" x14ac:dyDescent="0.35">
      <c r="B41" s="540" t="s">
        <v>425</v>
      </c>
      <c r="C41" s="279"/>
      <c r="D41" s="477"/>
      <c r="E41" s="279"/>
      <c r="F41" s="231"/>
      <c r="G41" s="231"/>
      <c r="H41" s="37"/>
      <c r="I41" s="37"/>
      <c r="J41" s="37"/>
      <c r="K41" s="37"/>
      <c r="L41" s="526"/>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37">
        <f>'ARP Quarterly'!O23</f>
        <v>0.2</v>
      </c>
      <c r="Z41" s="337">
        <f>'ARP Quarterly'!P23</f>
        <v>0.2</v>
      </c>
      <c r="AA41" s="337">
        <f>'ARP Quarterly'!Q23</f>
        <v>0.2</v>
      </c>
      <c r="AB41" s="337">
        <f>'ARP Quarterly'!R23</f>
        <v>0</v>
      </c>
      <c r="AC41" s="337">
        <f>'ARP Quarterly'!S23</f>
        <v>0</v>
      </c>
      <c r="AD41" s="503"/>
      <c r="AE41" s="511"/>
      <c r="AF41" s="511"/>
      <c r="AG41" s="503"/>
      <c r="AH41" s="503"/>
      <c r="AI41" s="503"/>
      <c r="AJ41" s="503"/>
    </row>
    <row r="42" spans="1:79" x14ac:dyDescent="0.35">
      <c r="B42" s="540" t="s">
        <v>426</v>
      </c>
      <c r="C42" s="279"/>
      <c r="D42" s="477"/>
      <c r="E42" s="279"/>
      <c r="F42" s="231"/>
      <c r="G42" s="231"/>
      <c r="H42" s="37"/>
      <c r="I42" s="37"/>
      <c r="J42" s="37"/>
      <c r="K42" s="37"/>
      <c r="L42" s="526"/>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37">
        <v>0</v>
      </c>
      <c r="Z42" s="337">
        <v>0</v>
      </c>
      <c r="AA42" s="337">
        <v>0</v>
      </c>
      <c r="AB42" s="337">
        <v>0</v>
      </c>
      <c r="AC42" s="337">
        <v>0</v>
      </c>
      <c r="AD42" s="503"/>
      <c r="AE42" s="511"/>
      <c r="AF42" s="511"/>
      <c r="AG42" s="503"/>
      <c r="AH42" s="503"/>
      <c r="AI42" s="503"/>
      <c r="AJ42" s="503"/>
    </row>
    <row r="43" spans="1:79" x14ac:dyDescent="0.35">
      <c r="B43" s="540" t="s">
        <v>311</v>
      </c>
      <c r="C43" s="279"/>
      <c r="D43" s="524"/>
      <c r="E43" s="525"/>
      <c r="F43" s="520"/>
      <c r="G43" s="520"/>
      <c r="H43" s="392"/>
      <c r="I43" s="392"/>
      <c r="J43" s="392"/>
      <c r="K43" s="392"/>
      <c r="L43" s="530"/>
      <c r="M43" s="392">
        <f>'ARP Quarterly'!C25</f>
        <v>0</v>
      </c>
      <c r="N43" s="392">
        <f>'ARP Quarterly'!D25</f>
        <v>58.782959999999996</v>
      </c>
      <c r="O43" s="392">
        <f>'ARP Quarterly'!E25</f>
        <v>267.78904000000006</v>
      </c>
      <c r="P43" s="392">
        <f>'ARP Quarterly'!F25</f>
        <v>110.24799999999999</v>
      </c>
      <c r="Q43" s="392">
        <f>'ARP Quarterly'!G25</f>
        <v>110.24799999999999</v>
      </c>
      <c r="R43" s="392">
        <f>'ARP Quarterly'!H25</f>
        <v>110.24799999999999</v>
      </c>
      <c r="S43" s="392">
        <f>'ARP Quarterly'!I25</f>
        <v>110.24799999999999</v>
      </c>
      <c r="T43" s="392">
        <f>'ARP Quarterly'!J25</f>
        <v>12.362</v>
      </c>
      <c r="U43" s="37">
        <f>'ARP Quarterly'!K25</f>
        <v>12.362</v>
      </c>
      <c r="V43" s="37">
        <f>'ARP Quarterly'!L25</f>
        <v>12.362</v>
      </c>
      <c r="W43" s="37">
        <f>'ARP Quarterly'!M25</f>
        <v>12.362</v>
      </c>
      <c r="X43" s="37">
        <f>'ARP Quarterly'!N25</f>
        <v>-0.67500000000000004</v>
      </c>
      <c r="Y43" s="337">
        <f>'ARP Quarterly'!O25</f>
        <v>-0.67500000000000004</v>
      </c>
      <c r="Z43" s="337">
        <f>'ARP Quarterly'!P25</f>
        <v>-0.67500000000000004</v>
      </c>
      <c r="AA43" s="337">
        <f>'ARP Quarterly'!Q25</f>
        <v>-0.67500000000000004</v>
      </c>
      <c r="AB43" s="337">
        <f>'ARP Quarterly'!R25</f>
        <v>0</v>
      </c>
      <c r="AC43" s="337">
        <f>'ARP Quarterly'!S25</f>
        <v>0</v>
      </c>
      <c r="AD43" s="503"/>
      <c r="AE43" s="511"/>
      <c r="AF43" s="511"/>
      <c r="AG43" s="503"/>
      <c r="AH43" s="503"/>
      <c r="AI43" s="503"/>
      <c r="AJ43" s="503"/>
    </row>
    <row r="44" spans="1:79" ht="15" customHeight="1" x14ac:dyDescent="0.35">
      <c r="B44" s="1334" t="s">
        <v>427</v>
      </c>
      <c r="C44" s="1335"/>
      <c r="D44" s="523"/>
      <c r="E44" s="56"/>
      <c r="F44" s="231"/>
      <c r="G44" s="231"/>
      <c r="H44" s="37"/>
      <c r="I44" s="37"/>
      <c r="J44" s="37"/>
      <c r="K44" s="37"/>
      <c r="L44" s="526"/>
      <c r="M44" s="37"/>
      <c r="N44" s="37"/>
      <c r="O44" s="37"/>
      <c r="P44" s="37"/>
      <c r="Q44" s="37"/>
      <c r="R44" s="37"/>
      <c r="S44" s="37"/>
      <c r="T44" s="37"/>
      <c r="U44" s="505"/>
      <c r="V44" s="498"/>
      <c r="W44" s="498"/>
      <c r="X44" s="498"/>
      <c r="Y44" s="502"/>
      <c r="Z44" s="502"/>
      <c r="AA44" s="502"/>
      <c r="AB44" s="502"/>
      <c r="AC44" s="502"/>
      <c r="AD44" s="503"/>
      <c r="AE44" s="511"/>
      <c r="AF44" s="511"/>
      <c r="AG44" s="503"/>
      <c r="AH44" s="503"/>
      <c r="AI44" s="503"/>
      <c r="AJ44" s="503"/>
    </row>
    <row r="45" spans="1:79" ht="21" customHeight="1" x14ac:dyDescent="0.35">
      <c r="B45" s="426" t="s">
        <v>428</v>
      </c>
      <c r="C45" s="527"/>
      <c r="D45" s="426"/>
      <c r="E45" s="527"/>
      <c r="F45" s="518"/>
      <c r="G45" s="518"/>
      <c r="H45" s="506"/>
      <c r="I45" s="506"/>
      <c r="J45" s="506"/>
      <c r="K45" s="506"/>
      <c r="L45" s="528"/>
      <c r="M45" s="506">
        <f>'ARP Quarterly'!C6</f>
        <v>0</v>
      </c>
      <c r="N45" s="506">
        <f>'ARP Quarterly'!D6</f>
        <v>58.782959999999989</v>
      </c>
      <c r="O45" s="506">
        <f>'ARP Quarterly'!E6</f>
        <v>267.78904</v>
      </c>
      <c r="P45" s="506">
        <f>'ARP Quarterly'!F6</f>
        <v>110.24799999999999</v>
      </c>
      <c r="Q45" s="506">
        <f>'ARP Quarterly'!G6</f>
        <v>110.24799999999999</v>
      </c>
      <c r="R45" s="506">
        <f>'ARP Quarterly'!H6</f>
        <v>110.24799999999999</v>
      </c>
      <c r="S45" s="506">
        <f>'ARP Quarterly'!I6</f>
        <v>110.24799999999999</v>
      </c>
      <c r="T45" s="506">
        <f>'ARP Quarterly'!J6</f>
        <v>12.726000000000001</v>
      </c>
      <c r="U45" s="506">
        <f>'ARP Quarterly'!K6</f>
        <v>12.726000000000001</v>
      </c>
      <c r="V45" s="506">
        <f>'ARP Quarterly'!L6</f>
        <v>12.726000000000001</v>
      </c>
      <c r="W45" s="506">
        <f>'ARP Quarterly'!M6</f>
        <v>12.726000000000001</v>
      </c>
      <c r="X45" s="506">
        <f>'ARP Quarterly'!N6</f>
        <v>1.365</v>
      </c>
      <c r="Y45" s="504">
        <f>'ARP Quarterly'!O6</f>
        <v>1.365</v>
      </c>
      <c r="Z45" s="504">
        <f>'ARP Quarterly'!P6</f>
        <v>1.365</v>
      </c>
      <c r="AA45" s="504">
        <f>'ARP Quarterly'!Q6</f>
        <v>1.365</v>
      </c>
      <c r="AB45" s="504">
        <f>'ARP Quarterly'!R6</f>
        <v>-0.90100000000000025</v>
      </c>
      <c r="AC45" s="504">
        <f>'ARP Quarterly'!S6</f>
        <v>-0.90100000000000025</v>
      </c>
      <c r="AD45" s="504">
        <f>'ARP Quarterly'!T6</f>
        <v>-0.90100000000000025</v>
      </c>
      <c r="AE45" s="504">
        <f>'ARP Quarterly'!U6</f>
        <v>-0.90100000000000025</v>
      </c>
      <c r="AF45" s="504">
        <f>'ARP Quarterly'!V6</f>
        <v>-2.1500000000000004</v>
      </c>
      <c r="AG45" s="501">
        <v>0</v>
      </c>
      <c r="AH45" s="501">
        <v>0</v>
      </c>
      <c r="AI45" s="501">
        <v>0</v>
      </c>
      <c r="AJ45" s="501">
        <v>0</v>
      </c>
    </row>
    <row r="46" spans="1:79" ht="19.5" customHeight="1" x14ac:dyDescent="0.35">
      <c r="A46" s="497"/>
      <c r="B46" s="535" t="s">
        <v>199</v>
      </c>
      <c r="C46" s="536"/>
      <c r="D46" s="535"/>
      <c r="E46" s="536"/>
      <c r="F46" s="507">
        <f>F11-F45</f>
        <v>60.5</v>
      </c>
      <c r="G46" s="507">
        <f>G11-G45</f>
        <v>81.400000000000006</v>
      </c>
      <c r="H46" s="507">
        <f t="shared" ref="H46:AE46" si="52">H11-H45</f>
        <v>82.1</v>
      </c>
      <c r="I46" s="507">
        <f>I11-I45</f>
        <v>80</v>
      </c>
      <c r="J46" s="507">
        <f t="shared" si="52"/>
        <v>1031.8</v>
      </c>
      <c r="K46" s="507">
        <f t="shared" si="52"/>
        <v>1163.3</v>
      </c>
      <c r="L46" s="507">
        <f>L11-L45</f>
        <v>516.4</v>
      </c>
      <c r="M46" s="507">
        <f>M11-M45</f>
        <v>518.1</v>
      </c>
      <c r="N46" s="507">
        <f t="shared" si="52"/>
        <v>763.21704</v>
      </c>
      <c r="O46" s="507">
        <f>O11-O45</f>
        <v>405.61095999999998</v>
      </c>
      <c r="P46" s="507">
        <f>P11-P45</f>
        <v>303.15199999999999</v>
      </c>
      <c r="Q46" s="507">
        <f t="shared" si="52"/>
        <v>40.552000000000021</v>
      </c>
      <c r="R46" s="507">
        <f t="shared" si="52"/>
        <v>19.052000000000021</v>
      </c>
      <c r="S46" s="507">
        <f t="shared" si="52"/>
        <v>8.1520000000000152</v>
      </c>
      <c r="T46" s="507">
        <f t="shared" si="52"/>
        <v>98.073999999999998</v>
      </c>
      <c r="U46" s="507">
        <f t="shared" si="52"/>
        <v>91.073999999999998</v>
      </c>
      <c r="V46" s="507">
        <f>V11-V45</f>
        <v>89.073999999999998</v>
      </c>
      <c r="W46" s="507">
        <f t="shared" si="52"/>
        <v>91.274000000000001</v>
      </c>
      <c r="X46" s="507">
        <f>X11-X45</f>
        <v>97.535000000000011</v>
      </c>
      <c r="Y46" s="538">
        <f t="shared" si="52"/>
        <v>94.734999999999999</v>
      </c>
      <c r="Z46" s="538">
        <f t="shared" si="52"/>
        <v>92.335000000000008</v>
      </c>
      <c r="AA46" s="538">
        <f t="shared" si="52"/>
        <v>90.734999999999999</v>
      </c>
      <c r="AB46" s="538">
        <f t="shared" si="52"/>
        <v>97.833999999999989</v>
      </c>
      <c r="AC46" s="538">
        <f>AC11-AC45</f>
        <v>97.833999999999989</v>
      </c>
      <c r="AD46" s="538">
        <f t="shared" si="52"/>
        <v>89.811999999999998</v>
      </c>
      <c r="AE46" s="538">
        <f t="shared" si="52"/>
        <v>89.811999999999998</v>
      </c>
      <c r="AF46" s="538">
        <f>AF11-AF45</f>
        <v>94.150999999999996</v>
      </c>
      <c r="AG46" s="538">
        <f>AG11-AG45</f>
        <v>92.000999999999991</v>
      </c>
      <c r="AH46" s="538">
        <f>AH11-AH45</f>
        <v>92.000999999999991</v>
      </c>
      <c r="AI46" s="538">
        <v>0</v>
      </c>
      <c r="AJ46" s="538">
        <v>0</v>
      </c>
      <c r="AK46" s="497"/>
      <c r="AL46" s="497"/>
      <c r="AM46" s="497"/>
      <c r="AN46" s="497"/>
      <c r="AO46" s="497"/>
      <c r="AP46" s="497"/>
      <c r="AQ46" s="497"/>
      <c r="AR46" s="497"/>
      <c r="AS46" s="497"/>
      <c r="AT46" s="497"/>
      <c r="AU46" s="497"/>
      <c r="AV46" s="497"/>
      <c r="AW46" s="497"/>
      <c r="AX46" s="497"/>
      <c r="AY46" s="497"/>
      <c r="AZ46" s="497"/>
      <c r="BA46" s="497"/>
      <c r="BB46" s="497"/>
      <c r="BC46" s="497"/>
      <c r="BD46" s="497"/>
      <c r="BE46" s="497"/>
      <c r="BF46" s="497"/>
      <c r="BG46" s="497"/>
      <c r="BH46" s="497"/>
      <c r="BI46" s="497"/>
      <c r="BJ46" s="497"/>
      <c r="BK46" s="497"/>
      <c r="BL46" s="497"/>
      <c r="BM46" s="497"/>
      <c r="BN46" s="497"/>
      <c r="BO46" s="497"/>
      <c r="BP46" s="497"/>
      <c r="BQ46" s="497"/>
      <c r="BR46" s="497"/>
      <c r="BS46" s="497"/>
      <c r="BT46" s="497"/>
      <c r="BU46" s="497"/>
      <c r="BV46" s="497"/>
      <c r="BW46" s="497"/>
      <c r="BX46" s="497"/>
      <c r="BY46" s="497"/>
      <c r="BZ46" s="497"/>
      <c r="CA46" s="497"/>
    </row>
    <row r="47" spans="1:79" ht="19.5" customHeight="1" x14ac:dyDescent="0.35">
      <c r="A47" s="497"/>
      <c r="B47" s="260"/>
      <c r="C47" s="260"/>
      <c r="D47" s="260"/>
      <c r="E47" s="260"/>
      <c r="F47" s="537"/>
      <c r="G47" s="537"/>
      <c r="H47" s="537"/>
      <c r="I47" s="537"/>
      <c r="J47" s="537"/>
      <c r="K47" s="537"/>
      <c r="L47" s="537"/>
      <c r="M47" s="537"/>
      <c r="N47" s="537"/>
      <c r="O47" s="537"/>
      <c r="P47" s="537"/>
      <c r="Q47" s="537"/>
      <c r="R47" s="537"/>
      <c r="S47" s="537"/>
      <c r="T47" s="537"/>
      <c r="U47" s="537"/>
      <c r="V47" s="537"/>
      <c r="W47" s="537"/>
      <c r="X47" s="537"/>
      <c r="Y47" s="537"/>
      <c r="Z47" s="537"/>
      <c r="AA47" s="537"/>
      <c r="AB47" s="537"/>
      <c r="AC47" s="537"/>
      <c r="AG47" s="497"/>
      <c r="AH47" s="497"/>
      <c r="AI47" s="497"/>
      <c r="AJ47" s="497"/>
      <c r="AK47" s="497"/>
      <c r="AL47" s="497"/>
      <c r="AM47" s="497"/>
      <c r="AN47" s="497"/>
      <c r="AO47" s="497"/>
      <c r="AP47" s="497"/>
      <c r="AQ47" s="497"/>
      <c r="AR47" s="497"/>
      <c r="AS47" s="497"/>
      <c r="AT47" s="497"/>
      <c r="AU47" s="497"/>
      <c r="AV47" s="497"/>
      <c r="AW47" s="497"/>
      <c r="AX47" s="497"/>
      <c r="AY47" s="497"/>
      <c r="AZ47" s="497"/>
      <c r="BA47" s="497"/>
      <c r="BB47" s="497"/>
      <c r="BC47" s="497"/>
      <c r="BD47" s="497"/>
      <c r="BE47" s="497"/>
      <c r="BF47" s="497"/>
      <c r="BG47" s="497"/>
      <c r="BH47" s="497"/>
      <c r="BI47" s="497"/>
      <c r="BJ47" s="497"/>
      <c r="BK47" s="497"/>
      <c r="BL47" s="497"/>
      <c r="BM47" s="497"/>
      <c r="BN47" s="497"/>
      <c r="BO47" s="497"/>
      <c r="BP47" s="497"/>
      <c r="BQ47" s="497"/>
      <c r="BR47" s="497"/>
      <c r="BS47" s="497"/>
      <c r="BT47" s="497"/>
      <c r="BU47" s="497"/>
      <c r="BV47" s="497"/>
      <c r="BW47" s="497"/>
      <c r="BX47" s="497"/>
      <c r="BY47" s="497"/>
      <c r="BZ47" s="497"/>
      <c r="CA47" s="497"/>
    </row>
    <row r="48" spans="1:79" ht="19.5" customHeight="1" x14ac:dyDescent="0.35">
      <c r="A48" s="497"/>
      <c r="B48" s="260" t="s">
        <v>863</v>
      </c>
      <c r="C48" s="260"/>
      <c r="D48" s="260"/>
      <c r="E48" s="260"/>
      <c r="F48" s="537"/>
      <c r="G48" s="537"/>
      <c r="H48" s="537"/>
      <c r="I48" s="537"/>
      <c r="J48" s="537"/>
      <c r="K48" s="537"/>
      <c r="L48" s="537"/>
      <c r="M48" s="537"/>
      <c r="N48" s="537"/>
      <c r="O48" s="537"/>
      <c r="P48" s="537"/>
      <c r="Q48" s="537"/>
      <c r="R48" s="537"/>
      <c r="S48" s="537"/>
      <c r="T48" s="537">
        <v>110.8</v>
      </c>
      <c r="U48" s="517">
        <v>96.021999999999991</v>
      </c>
      <c r="V48" s="230">
        <v>88.50800000000001</v>
      </c>
      <c r="W48" s="230">
        <v>88.50800000000001</v>
      </c>
      <c r="X48" s="230">
        <v>85.631</v>
      </c>
      <c r="Y48" s="230">
        <v>85.631</v>
      </c>
      <c r="Z48" s="230">
        <v>85.631</v>
      </c>
      <c r="AA48" s="230">
        <v>85.631</v>
      </c>
      <c r="AB48" s="230">
        <v>90.463999999999999</v>
      </c>
      <c r="AC48" s="230">
        <v>90.463999999999999</v>
      </c>
      <c r="AD48" s="516">
        <f>U11-U48</f>
        <v>7.7780000000000058</v>
      </c>
      <c r="AG48" s="497"/>
      <c r="AH48" s="497"/>
      <c r="AI48" s="497"/>
      <c r="AJ48" s="497"/>
      <c r="AK48" s="497"/>
      <c r="AL48" s="497"/>
      <c r="AM48" s="497"/>
      <c r="AN48" s="497"/>
      <c r="AO48" s="497"/>
      <c r="AP48" s="497"/>
      <c r="AQ48" s="497"/>
      <c r="AR48" s="497"/>
      <c r="AS48" s="497"/>
      <c r="AT48" s="497"/>
      <c r="AU48" s="497"/>
      <c r="AV48" s="497"/>
      <c r="AW48" s="497"/>
      <c r="AX48" s="497"/>
      <c r="AY48" s="497"/>
      <c r="AZ48" s="497"/>
      <c r="BA48" s="497"/>
      <c r="BB48" s="497"/>
      <c r="BC48" s="497"/>
      <c r="BD48" s="497"/>
      <c r="BE48" s="497"/>
      <c r="BF48" s="497"/>
      <c r="BG48" s="497"/>
      <c r="BH48" s="497"/>
      <c r="BI48" s="497"/>
      <c r="BJ48" s="497"/>
      <c r="BK48" s="497"/>
      <c r="BL48" s="497"/>
      <c r="BM48" s="497"/>
      <c r="BN48" s="497"/>
      <c r="BO48" s="497"/>
      <c r="BP48" s="497"/>
      <c r="BQ48" s="497"/>
      <c r="BR48" s="497"/>
      <c r="BS48" s="497"/>
      <c r="BT48" s="497"/>
      <c r="BU48" s="497"/>
      <c r="BV48" s="497"/>
      <c r="BW48" s="497"/>
      <c r="BX48" s="497"/>
      <c r="BY48" s="497"/>
      <c r="BZ48" s="497"/>
      <c r="CA48" s="497"/>
    </row>
    <row r="49" spans="2:30" x14ac:dyDescent="0.35">
      <c r="B49" s="512" t="s">
        <v>404</v>
      </c>
      <c r="C49" s="239"/>
      <c r="D49" s="239"/>
      <c r="E49" s="239"/>
      <c r="F49" s="239"/>
      <c r="G49" s="239"/>
      <c r="H49" s="239"/>
      <c r="I49" s="239"/>
      <c r="J49" s="239"/>
      <c r="K49" s="239"/>
      <c r="L49" s="239"/>
      <c r="M49" s="239"/>
      <c r="N49" s="239"/>
      <c r="O49" s="239"/>
      <c r="P49" s="482"/>
      <c r="Q49" s="482"/>
      <c r="R49" s="482"/>
      <c r="S49" s="482"/>
      <c r="T49" s="513">
        <v>78.977999999999994</v>
      </c>
      <c r="U49" s="514">
        <v>76</v>
      </c>
      <c r="V49" s="514">
        <v>76</v>
      </c>
      <c r="W49" s="514">
        <v>76</v>
      </c>
      <c r="X49" s="514">
        <v>76</v>
      </c>
      <c r="Y49" s="514">
        <v>76</v>
      </c>
      <c r="Z49" s="514">
        <v>76</v>
      </c>
      <c r="AA49" s="514">
        <v>76</v>
      </c>
      <c r="AB49" s="514">
        <v>76</v>
      </c>
      <c r="AC49" s="514">
        <v>76</v>
      </c>
      <c r="AD49" s="516">
        <f t="shared" ref="AD49:AD83" si="53">U12-U49</f>
        <v>15.292000000000002</v>
      </c>
    </row>
    <row r="50" spans="2:30" x14ac:dyDescent="0.35">
      <c r="B50" t="s">
        <v>405</v>
      </c>
      <c r="T50" s="74">
        <v>31.822000000000003</v>
      </c>
      <c r="U50" s="74">
        <v>20.021999999999998</v>
      </c>
      <c r="V50" s="74">
        <v>12.508000000000003</v>
      </c>
      <c r="W50" s="74">
        <v>12.508000000000003</v>
      </c>
      <c r="X50" s="74">
        <v>9.6310000000000002</v>
      </c>
      <c r="Y50" s="74">
        <v>9.6310000000000002</v>
      </c>
      <c r="Z50" s="74">
        <v>9.6310000000000002</v>
      </c>
      <c r="AA50" s="74">
        <v>9.6310000000000002</v>
      </c>
      <c r="AB50" s="74">
        <v>14.464</v>
      </c>
      <c r="AC50" s="74">
        <v>14.464</v>
      </c>
      <c r="AD50" s="516">
        <f t="shared" si="53"/>
        <v>-7.5139999999999958</v>
      </c>
    </row>
    <row r="51" spans="2:30" x14ac:dyDescent="0.35">
      <c r="B51" t="s">
        <v>50</v>
      </c>
      <c r="S51" s="57"/>
      <c r="T51" s="75">
        <v>0</v>
      </c>
      <c r="U51" s="74"/>
      <c r="V51" s="74"/>
      <c r="W51" s="74"/>
      <c r="X51" s="74"/>
      <c r="Y51" s="74"/>
      <c r="AD51" s="516">
        <f t="shared" si="53"/>
        <v>0</v>
      </c>
    </row>
    <row r="52" spans="2:30" x14ac:dyDescent="0.35">
      <c r="B52" t="s">
        <v>406</v>
      </c>
      <c r="T52" s="75">
        <v>28.200000000000003</v>
      </c>
      <c r="U52" s="75">
        <v>16.399999999999999</v>
      </c>
      <c r="V52" s="75">
        <v>8.886000000000001</v>
      </c>
      <c r="W52" s="75">
        <v>8.886000000000001</v>
      </c>
      <c r="X52" s="75">
        <v>0.2</v>
      </c>
      <c r="Y52" s="75">
        <v>0.2</v>
      </c>
      <c r="Z52" s="75">
        <v>0.2</v>
      </c>
      <c r="AA52" s="75">
        <v>0.2</v>
      </c>
      <c r="AB52" s="75">
        <v>0</v>
      </c>
      <c r="AC52" s="75">
        <v>0</v>
      </c>
      <c r="AD52" s="516">
        <f t="shared" si="53"/>
        <v>-7.5139999999999976</v>
      </c>
    </row>
    <row r="53" spans="2:30" x14ac:dyDescent="0.35">
      <c r="B53" t="s">
        <v>145</v>
      </c>
      <c r="T53" s="75">
        <v>0</v>
      </c>
      <c r="U53" s="74"/>
      <c r="V53" s="74"/>
      <c r="W53" s="74"/>
      <c r="X53" s="74"/>
      <c r="Y53" s="74"/>
      <c r="AD53" s="516">
        <f t="shared" si="53"/>
        <v>0</v>
      </c>
    </row>
    <row r="54" spans="2:30" x14ac:dyDescent="0.35">
      <c r="B54" t="s">
        <v>143</v>
      </c>
      <c r="T54" s="75">
        <v>0</v>
      </c>
      <c r="U54" s="74">
        <v>0</v>
      </c>
      <c r="V54" s="74">
        <v>0</v>
      </c>
      <c r="W54" s="74">
        <v>0</v>
      </c>
      <c r="X54" s="74">
        <v>0</v>
      </c>
      <c r="Y54" s="74">
        <v>0</v>
      </c>
      <c r="Z54" s="74">
        <v>0</v>
      </c>
      <c r="AA54" s="74">
        <v>0</v>
      </c>
      <c r="AB54" s="74">
        <v>0</v>
      </c>
      <c r="AC54" s="74">
        <v>0</v>
      </c>
      <c r="AD54" s="516">
        <f t="shared" si="53"/>
        <v>0</v>
      </c>
    </row>
    <row r="55" spans="2:30" x14ac:dyDescent="0.35">
      <c r="B55" t="s">
        <v>142</v>
      </c>
      <c r="T55" s="75">
        <v>0.4</v>
      </c>
      <c r="U55" s="74">
        <v>0</v>
      </c>
      <c r="V55" s="74">
        <v>0</v>
      </c>
      <c r="W55" s="74">
        <v>0</v>
      </c>
      <c r="X55" s="74">
        <v>0</v>
      </c>
      <c r="Y55" s="74">
        <v>0</v>
      </c>
      <c r="Z55" s="74">
        <v>0</v>
      </c>
      <c r="AA55" s="74">
        <v>0</v>
      </c>
      <c r="AB55" s="74">
        <v>0</v>
      </c>
      <c r="AC55" s="74">
        <v>0</v>
      </c>
      <c r="AD55" s="516">
        <f t="shared" si="53"/>
        <v>0</v>
      </c>
    </row>
    <row r="56" spans="2:30" x14ac:dyDescent="0.35">
      <c r="B56" t="s">
        <v>410</v>
      </c>
      <c r="T56" s="75">
        <v>3.6</v>
      </c>
      <c r="U56" s="74"/>
      <c r="V56" s="74"/>
      <c r="W56" s="74"/>
      <c r="X56" s="74"/>
      <c r="Y56" s="74"/>
      <c r="AD56" s="516">
        <f t="shared" si="53"/>
        <v>0</v>
      </c>
    </row>
    <row r="57" spans="2:30" x14ac:dyDescent="0.35">
      <c r="B57" t="s">
        <v>144</v>
      </c>
      <c r="T57" s="75">
        <v>15.8</v>
      </c>
      <c r="U57" s="74">
        <v>8</v>
      </c>
      <c r="V57" s="74">
        <v>0.48599999999999993</v>
      </c>
      <c r="W57" s="74">
        <v>0.48599999999999993</v>
      </c>
      <c r="X57" s="74">
        <v>0</v>
      </c>
      <c r="Y57" s="74">
        <v>0</v>
      </c>
      <c r="Z57" s="74">
        <v>0</v>
      </c>
      <c r="AA57" s="74">
        <v>0</v>
      </c>
      <c r="AB57" s="74">
        <v>0</v>
      </c>
      <c r="AC57" s="74">
        <v>0</v>
      </c>
      <c r="AD57" s="516">
        <f t="shared" si="53"/>
        <v>-7.5140000000000002</v>
      </c>
    </row>
    <row r="58" spans="2:30" x14ac:dyDescent="0.35">
      <c r="B58" t="s">
        <v>148</v>
      </c>
      <c r="T58" s="75">
        <v>0</v>
      </c>
      <c r="U58" s="74">
        <v>0</v>
      </c>
      <c r="V58" s="74">
        <v>0</v>
      </c>
      <c r="W58" s="74">
        <v>0</v>
      </c>
      <c r="X58" s="74">
        <v>0</v>
      </c>
      <c r="Y58" s="74">
        <v>0</v>
      </c>
      <c r="Z58" s="74">
        <v>0</v>
      </c>
      <c r="AA58" s="74">
        <v>0</v>
      </c>
      <c r="AB58" s="74">
        <v>0</v>
      </c>
      <c r="AC58" s="74">
        <v>0</v>
      </c>
      <c r="AD58" s="516">
        <f t="shared" si="53"/>
        <v>0</v>
      </c>
    </row>
    <row r="59" spans="2:30" x14ac:dyDescent="0.35">
      <c r="B59" t="s">
        <v>413</v>
      </c>
      <c r="T59" s="75">
        <v>0</v>
      </c>
      <c r="U59" s="74">
        <v>0</v>
      </c>
      <c r="V59" s="74">
        <v>0</v>
      </c>
      <c r="W59" s="74">
        <v>0</v>
      </c>
      <c r="X59" s="74">
        <v>0</v>
      </c>
      <c r="Y59" s="74">
        <v>0</v>
      </c>
      <c r="Z59" s="74">
        <v>0</v>
      </c>
      <c r="AA59" s="74">
        <v>0</v>
      </c>
      <c r="AB59" s="74">
        <v>0</v>
      </c>
      <c r="AC59" s="74">
        <v>0</v>
      </c>
      <c r="AD59" s="516">
        <f t="shared" si="53"/>
        <v>0</v>
      </c>
    </row>
    <row r="60" spans="2:30" x14ac:dyDescent="0.35">
      <c r="B60" t="s">
        <v>414</v>
      </c>
      <c r="T60" s="75">
        <v>0</v>
      </c>
      <c r="U60" s="74">
        <v>0</v>
      </c>
      <c r="V60" s="74">
        <v>0</v>
      </c>
      <c r="W60" s="74">
        <v>0</v>
      </c>
      <c r="X60" s="74">
        <v>0</v>
      </c>
      <c r="Y60" s="74">
        <v>0</v>
      </c>
      <c r="Z60" s="74">
        <v>0</v>
      </c>
      <c r="AA60" s="74">
        <v>0</v>
      </c>
      <c r="AB60" s="74">
        <v>0</v>
      </c>
      <c r="AC60" s="74">
        <v>0</v>
      </c>
      <c r="AD60" s="516">
        <f t="shared" si="53"/>
        <v>0</v>
      </c>
    </row>
    <row r="61" spans="2:30" x14ac:dyDescent="0.35">
      <c r="B61" t="s">
        <v>415</v>
      </c>
      <c r="T61" s="74">
        <v>8.4</v>
      </c>
      <c r="U61" s="74">
        <v>8.4</v>
      </c>
      <c r="V61" s="74">
        <v>8.4</v>
      </c>
      <c r="W61" s="74">
        <v>8.4</v>
      </c>
      <c r="X61" s="74">
        <v>0.2</v>
      </c>
      <c r="Y61" s="74">
        <v>0.2</v>
      </c>
      <c r="Z61" s="74">
        <v>0.2</v>
      </c>
      <c r="AA61" s="74">
        <v>0.2</v>
      </c>
      <c r="AB61" s="74">
        <v>0</v>
      </c>
      <c r="AC61" s="74">
        <v>0</v>
      </c>
      <c r="AD61" s="516">
        <f t="shared" si="53"/>
        <v>0</v>
      </c>
    </row>
    <row r="62" spans="2:30" x14ac:dyDescent="0.35">
      <c r="B62" t="s">
        <v>416</v>
      </c>
      <c r="T62" s="74">
        <v>0</v>
      </c>
      <c r="U62" s="74">
        <v>0</v>
      </c>
      <c r="V62" s="74">
        <v>0</v>
      </c>
      <c r="W62" s="74">
        <v>0</v>
      </c>
      <c r="X62" s="74">
        <v>0</v>
      </c>
      <c r="Y62" s="74">
        <v>0</v>
      </c>
      <c r="Z62" s="74">
        <v>0</v>
      </c>
      <c r="AA62" s="74">
        <v>0</v>
      </c>
      <c r="AB62" s="74">
        <v>0</v>
      </c>
      <c r="AC62" s="74">
        <v>0</v>
      </c>
      <c r="AD62" s="516">
        <f t="shared" si="53"/>
        <v>0</v>
      </c>
    </row>
    <row r="63" spans="2:30" x14ac:dyDescent="0.35">
      <c r="B63" t="s">
        <v>1376</v>
      </c>
      <c r="T63" s="74">
        <v>2.3250000000000002</v>
      </c>
      <c r="U63" s="74">
        <v>2.3250000000000002</v>
      </c>
      <c r="V63" s="74">
        <v>2.3250000000000002</v>
      </c>
      <c r="W63" s="74">
        <v>2.3250000000000002</v>
      </c>
      <c r="X63" s="74">
        <v>5.5830000000000002</v>
      </c>
      <c r="Y63" s="74">
        <v>5.5830000000000002</v>
      </c>
      <c r="Z63" s="74">
        <v>5.5830000000000002</v>
      </c>
      <c r="AA63" s="74">
        <v>5.5830000000000002</v>
      </c>
      <c r="AB63" s="74">
        <v>8.0220000000000002</v>
      </c>
      <c r="AC63" s="74">
        <v>8.0220000000000002</v>
      </c>
      <c r="AD63" s="516">
        <f t="shared" si="53"/>
        <v>0</v>
      </c>
    </row>
    <row r="64" spans="2:30" x14ac:dyDescent="0.35">
      <c r="B64" t="s">
        <v>1184</v>
      </c>
      <c r="T64" s="74">
        <v>1.2969999999999999</v>
      </c>
      <c r="U64" s="74">
        <v>1.2969999999999999</v>
      </c>
      <c r="V64" s="74">
        <v>1.2969999999999999</v>
      </c>
      <c r="W64" s="74">
        <v>1.2969999999999999</v>
      </c>
      <c r="X64" s="74">
        <v>3.8479999999999999</v>
      </c>
      <c r="Y64" s="74">
        <v>3.8479999999999999</v>
      </c>
      <c r="Z64" s="74">
        <v>3.8479999999999999</v>
      </c>
      <c r="AA64" s="74">
        <v>3.8479999999999999</v>
      </c>
      <c r="AB64" s="74">
        <v>6.4420000000000002</v>
      </c>
      <c r="AC64" s="74">
        <v>6.4420000000000002</v>
      </c>
      <c r="AD64" s="516">
        <f t="shared" si="53"/>
        <v>0</v>
      </c>
    </row>
    <row r="65" spans="2:30" x14ac:dyDescent="0.35">
      <c r="B65" t="s">
        <v>417</v>
      </c>
      <c r="T65" s="74"/>
      <c r="U65" s="74"/>
      <c r="AD65" s="516">
        <f t="shared" si="53"/>
        <v>0</v>
      </c>
    </row>
    <row r="66" spans="2:30" x14ac:dyDescent="0.35">
      <c r="B66" t="s">
        <v>418</v>
      </c>
      <c r="T66" s="74"/>
      <c r="U66" s="74"/>
      <c r="AD66" s="516">
        <f t="shared" si="53"/>
        <v>0</v>
      </c>
    </row>
    <row r="67" spans="2:30" x14ac:dyDescent="0.35">
      <c r="B67" t="s">
        <v>419</v>
      </c>
      <c r="T67" s="74"/>
      <c r="U67" s="74"/>
      <c r="AD67" s="516">
        <f t="shared" si="53"/>
        <v>0</v>
      </c>
    </row>
    <row r="68" spans="2:30" x14ac:dyDescent="0.35">
      <c r="B68" t="s">
        <v>416</v>
      </c>
      <c r="T68" s="74"/>
      <c r="U68" s="74"/>
      <c r="AD68" s="516">
        <f t="shared" si="53"/>
        <v>0</v>
      </c>
    </row>
    <row r="69" spans="2:30" x14ac:dyDescent="0.35">
      <c r="B69" t="s">
        <v>413</v>
      </c>
      <c r="T69" s="515"/>
      <c r="U69" s="515"/>
      <c r="AD69" s="516">
        <f t="shared" si="53"/>
        <v>0</v>
      </c>
    </row>
    <row r="70" spans="2:30" x14ac:dyDescent="0.35">
      <c r="B70" t="s">
        <v>420</v>
      </c>
      <c r="T70" s="515"/>
      <c r="U70" s="515"/>
      <c r="AD70" s="516">
        <f t="shared" si="53"/>
        <v>0</v>
      </c>
    </row>
    <row r="71" spans="2:30" x14ac:dyDescent="0.35">
      <c r="B71" t="s">
        <v>421</v>
      </c>
      <c r="T71" s="74"/>
      <c r="U71" s="74"/>
      <c r="AD71" s="516">
        <f t="shared" si="53"/>
        <v>0</v>
      </c>
    </row>
    <row r="72" spans="2:30" x14ac:dyDescent="0.35">
      <c r="B72" t="s">
        <v>422</v>
      </c>
      <c r="T72" s="74"/>
      <c r="U72" s="74"/>
      <c r="AD72" s="516">
        <f t="shared" si="53"/>
        <v>0</v>
      </c>
    </row>
    <row r="73" spans="2:30" x14ac:dyDescent="0.35">
      <c r="B73" t="s">
        <v>143</v>
      </c>
      <c r="T73" s="74">
        <v>0</v>
      </c>
      <c r="U73" s="74">
        <v>0</v>
      </c>
      <c r="V73" s="74">
        <v>0</v>
      </c>
      <c r="W73" s="74">
        <v>0</v>
      </c>
      <c r="X73" s="74">
        <v>0</v>
      </c>
      <c r="Y73" s="74">
        <v>0</v>
      </c>
      <c r="Z73" s="74">
        <v>0</v>
      </c>
      <c r="AA73" s="74">
        <v>0</v>
      </c>
      <c r="AB73" s="74">
        <v>0</v>
      </c>
      <c r="AC73" s="74">
        <v>0</v>
      </c>
      <c r="AD73" s="516">
        <f t="shared" si="53"/>
        <v>0</v>
      </c>
    </row>
    <row r="74" spans="2:30" x14ac:dyDescent="0.35">
      <c r="B74" t="s">
        <v>423</v>
      </c>
      <c r="T74" s="74">
        <v>0.48599999999999993</v>
      </c>
      <c r="U74" s="74">
        <v>0.48599999999999993</v>
      </c>
      <c r="V74" s="74">
        <v>0.48599999999999993</v>
      </c>
      <c r="W74" s="74">
        <v>0.48599999999999993</v>
      </c>
      <c r="X74" s="74">
        <v>0</v>
      </c>
      <c r="Y74" s="74">
        <v>0</v>
      </c>
      <c r="Z74" s="74">
        <v>0</v>
      </c>
      <c r="AA74" s="74">
        <v>0</v>
      </c>
      <c r="AB74" s="74">
        <v>0</v>
      </c>
      <c r="AC74" s="74">
        <v>0</v>
      </c>
      <c r="AD74" s="516">
        <f t="shared" si="53"/>
        <v>0</v>
      </c>
    </row>
    <row r="75" spans="2:30" x14ac:dyDescent="0.35">
      <c r="B75" t="s">
        <v>148</v>
      </c>
      <c r="T75" s="74">
        <v>0</v>
      </c>
      <c r="U75" s="74">
        <v>0</v>
      </c>
      <c r="V75" s="74">
        <v>0</v>
      </c>
      <c r="W75" s="74">
        <v>0</v>
      </c>
      <c r="X75" s="74">
        <v>0</v>
      </c>
      <c r="Y75" s="74">
        <v>0</v>
      </c>
      <c r="Z75" s="74">
        <v>0</v>
      </c>
      <c r="AA75" s="74">
        <v>0</v>
      </c>
      <c r="AB75" s="74">
        <v>0</v>
      </c>
      <c r="AC75" s="74">
        <v>0</v>
      </c>
      <c r="AD75" s="516">
        <f t="shared" si="53"/>
        <v>0</v>
      </c>
    </row>
    <row r="76" spans="2:30" x14ac:dyDescent="0.35">
      <c r="B76" t="s">
        <v>413</v>
      </c>
      <c r="T76" s="74">
        <v>0.78750000000000009</v>
      </c>
      <c r="U76" s="74">
        <v>0.78750000000000009</v>
      </c>
      <c r="V76" s="74">
        <v>0.78750000000000009</v>
      </c>
      <c r="W76" s="74">
        <v>0.78750000000000009</v>
      </c>
      <c r="X76" s="74">
        <v>0</v>
      </c>
      <c r="Y76" s="74">
        <v>0</v>
      </c>
      <c r="Z76" s="74">
        <v>0</v>
      </c>
      <c r="AA76" s="74">
        <v>0</v>
      </c>
      <c r="AB76" s="74">
        <v>0</v>
      </c>
      <c r="AC76" s="74">
        <v>0</v>
      </c>
      <c r="AD76" s="516">
        <f t="shared" si="53"/>
        <v>0</v>
      </c>
    </row>
    <row r="77" spans="2:30" x14ac:dyDescent="0.35">
      <c r="B77" t="s">
        <v>424</v>
      </c>
      <c r="T77" s="74">
        <v>1.3125000000000002</v>
      </c>
      <c r="U77" s="74">
        <v>1.3125000000000002</v>
      </c>
      <c r="V77" s="74">
        <v>1.3125000000000002</v>
      </c>
      <c r="W77" s="74">
        <v>1.3125000000000002</v>
      </c>
      <c r="X77" s="74">
        <v>0</v>
      </c>
      <c r="Y77" s="74">
        <v>0</v>
      </c>
      <c r="Z77" s="74">
        <v>0</v>
      </c>
      <c r="AA77" s="74">
        <v>0</v>
      </c>
      <c r="AB77" s="74">
        <v>0</v>
      </c>
      <c r="AC77" s="74">
        <v>0</v>
      </c>
      <c r="AD77" s="516">
        <f t="shared" si="53"/>
        <v>0</v>
      </c>
    </row>
    <row r="78" spans="2:30" x14ac:dyDescent="0.35">
      <c r="B78" t="s">
        <v>425</v>
      </c>
      <c r="T78" s="74">
        <v>8.4</v>
      </c>
      <c r="U78" s="74">
        <v>8.4</v>
      </c>
      <c r="V78" s="74">
        <v>8.4</v>
      </c>
      <c r="W78" s="74">
        <v>8.4</v>
      </c>
      <c r="X78" s="74">
        <v>0.2</v>
      </c>
      <c r="Y78" s="74">
        <v>0.2</v>
      </c>
      <c r="Z78" s="74">
        <v>0.2</v>
      </c>
      <c r="AA78" s="74">
        <v>0.2</v>
      </c>
      <c r="AB78" s="74">
        <v>0</v>
      </c>
      <c r="AC78" s="74">
        <v>0</v>
      </c>
      <c r="AD78" s="516">
        <f t="shared" si="53"/>
        <v>0</v>
      </c>
    </row>
    <row r="79" spans="2:30" x14ac:dyDescent="0.35">
      <c r="B79" t="s">
        <v>426</v>
      </c>
      <c r="T79" s="74">
        <v>0</v>
      </c>
      <c r="U79" s="74">
        <v>0</v>
      </c>
      <c r="V79" s="74">
        <v>0</v>
      </c>
      <c r="W79" s="74">
        <v>0</v>
      </c>
      <c r="X79" s="74">
        <v>0</v>
      </c>
      <c r="Y79" s="74">
        <v>0</v>
      </c>
      <c r="Z79" s="74">
        <v>0</v>
      </c>
      <c r="AA79" s="74">
        <v>0</v>
      </c>
      <c r="AB79" s="74">
        <v>0</v>
      </c>
      <c r="AC79" s="74">
        <v>0</v>
      </c>
      <c r="AD79" s="516">
        <f t="shared" si="53"/>
        <v>0</v>
      </c>
    </row>
    <row r="80" spans="2:30" x14ac:dyDescent="0.35">
      <c r="B80" t="s">
        <v>311</v>
      </c>
      <c r="T80" s="74">
        <v>12.362</v>
      </c>
      <c r="U80" s="74">
        <v>12.362</v>
      </c>
      <c r="V80" s="74">
        <v>12.362</v>
      </c>
      <c r="W80" s="74">
        <v>12.362</v>
      </c>
      <c r="X80" s="74">
        <v>-0.67500000000000004</v>
      </c>
      <c r="Y80" s="74">
        <v>-0.67500000000000004</v>
      </c>
      <c r="Z80" s="74">
        <v>-0.67500000000000004</v>
      </c>
      <c r="AA80" s="74">
        <v>-0.67500000000000004</v>
      </c>
      <c r="AB80" s="74">
        <v>0</v>
      </c>
      <c r="AC80" s="74">
        <v>0</v>
      </c>
      <c r="AD80" s="516">
        <f t="shared" si="53"/>
        <v>0</v>
      </c>
    </row>
    <row r="81" spans="2:30" x14ac:dyDescent="0.35">
      <c r="B81" t="s">
        <v>427</v>
      </c>
      <c r="T81" s="74"/>
      <c r="U81" s="74"/>
      <c r="AD81" s="516">
        <f t="shared" si="53"/>
        <v>0</v>
      </c>
    </row>
    <row r="82" spans="2:30" x14ac:dyDescent="0.35">
      <c r="B82" t="s">
        <v>428</v>
      </c>
      <c r="T82" s="74">
        <v>12.726000000000001</v>
      </c>
      <c r="U82" s="74">
        <v>12.726000000000001</v>
      </c>
      <c r="V82" s="74">
        <v>12.726000000000001</v>
      </c>
      <c r="W82" s="74">
        <v>12.726000000000001</v>
      </c>
      <c r="X82" s="74">
        <v>1.365</v>
      </c>
      <c r="Y82" s="74">
        <v>1.365</v>
      </c>
      <c r="Z82" s="74">
        <v>1.365</v>
      </c>
      <c r="AA82" s="74">
        <v>1.365</v>
      </c>
      <c r="AB82" s="74">
        <v>-0.90100000000000025</v>
      </c>
      <c r="AC82" s="74">
        <v>-0.90100000000000025</v>
      </c>
      <c r="AD82" s="516">
        <f t="shared" si="53"/>
        <v>0</v>
      </c>
    </row>
    <row r="83" spans="2:30" x14ac:dyDescent="0.35">
      <c r="B83" t="s">
        <v>199</v>
      </c>
      <c r="T83" s="75">
        <v>98.073999999999998</v>
      </c>
      <c r="U83" s="516">
        <v>83.295999999999992</v>
      </c>
      <c r="V83" s="75">
        <v>75.782000000000011</v>
      </c>
      <c r="W83" s="75">
        <v>75.782000000000011</v>
      </c>
      <c r="X83" s="75">
        <v>84.266000000000005</v>
      </c>
      <c r="Y83" s="75">
        <v>84.266000000000005</v>
      </c>
      <c r="Z83" s="75">
        <v>84.266000000000005</v>
      </c>
      <c r="AA83" s="75">
        <v>84.266000000000005</v>
      </c>
      <c r="AB83" s="75">
        <v>91.364999999999995</v>
      </c>
      <c r="AC83" s="75">
        <v>91.364999999999995</v>
      </c>
      <c r="AD83" s="516">
        <f t="shared" si="53"/>
        <v>7.7780000000000058</v>
      </c>
    </row>
    <row r="84" spans="2:30" x14ac:dyDescent="0.35">
      <c r="AD84" s="516"/>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J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53"/>
  <sheetViews>
    <sheetView topLeftCell="A4" zoomScale="90" zoomScaleNormal="90" workbookViewId="0">
      <selection activeCell="Z14" sqref="Z14"/>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7" x14ac:dyDescent="0.35">
      <c r="B1" s="1271" t="s">
        <v>54</v>
      </c>
      <c r="C1" s="1271"/>
      <c r="D1" s="1271"/>
      <c r="E1" s="1271"/>
      <c r="F1" s="1271"/>
      <c r="G1" s="1271"/>
      <c r="H1" s="1271"/>
      <c r="I1" s="1271"/>
      <c r="J1" s="1271"/>
      <c r="K1" s="1271"/>
      <c r="L1" s="1271"/>
      <c r="M1" s="1271"/>
      <c r="N1" s="1271"/>
      <c r="O1" s="1271"/>
      <c r="P1" s="1271"/>
      <c r="Q1" s="1271"/>
      <c r="R1" s="1271"/>
      <c r="S1" s="1271"/>
      <c r="T1" s="1271"/>
      <c r="U1" s="1271"/>
      <c r="V1" s="1271"/>
      <c r="W1" s="1271"/>
      <c r="X1" s="1271"/>
      <c r="Y1" s="1271"/>
      <c r="Z1" s="1271"/>
      <c r="AA1" s="1271"/>
      <c r="AB1" s="1271"/>
      <c r="AC1" s="1271"/>
      <c r="AD1" s="210"/>
      <c r="AE1" s="210"/>
      <c r="AF1" s="210"/>
      <c r="AG1" s="210"/>
      <c r="AH1" s="210"/>
    </row>
    <row r="2" spans="2:37" ht="14.25" customHeight="1" x14ac:dyDescent="0.35">
      <c r="B2" s="1360" t="s">
        <v>858</v>
      </c>
      <c r="C2" s="1360"/>
      <c r="D2" s="1360"/>
      <c r="E2" s="1360"/>
      <c r="F2" s="1360"/>
      <c r="G2" s="1360"/>
      <c r="H2" s="1360"/>
      <c r="I2" s="1360"/>
      <c r="J2" s="1360"/>
      <c r="K2" s="1360"/>
      <c r="L2" s="1360"/>
      <c r="M2" s="1360"/>
      <c r="N2" s="1360"/>
      <c r="O2" s="1360"/>
      <c r="P2" s="1360"/>
      <c r="Q2" s="1360"/>
      <c r="R2" s="1360"/>
      <c r="S2" s="1360"/>
      <c r="T2" s="1360"/>
      <c r="U2" s="1360"/>
      <c r="V2" s="1359" t="s">
        <v>909</v>
      </c>
      <c r="W2" s="1359"/>
      <c r="X2" s="1359"/>
      <c r="Y2" s="1359"/>
      <c r="Z2" s="1359"/>
      <c r="AA2" s="1359"/>
      <c r="AB2" s="1359"/>
      <c r="AC2" s="594"/>
      <c r="AD2" s="594"/>
      <c r="AE2" s="594"/>
      <c r="AF2" s="594"/>
      <c r="AG2" s="594"/>
      <c r="AH2" s="594"/>
    </row>
    <row r="3" spans="2:37" ht="59.9" customHeight="1" x14ac:dyDescent="0.35">
      <c r="B3" s="1360"/>
      <c r="C3" s="1360"/>
      <c r="D3" s="1360"/>
      <c r="E3" s="1360"/>
      <c r="F3" s="1360"/>
      <c r="G3" s="1360"/>
      <c r="H3" s="1360"/>
      <c r="I3" s="1360"/>
      <c r="J3" s="1360"/>
      <c r="K3" s="1360"/>
      <c r="L3" s="1360"/>
      <c r="M3" s="1360"/>
      <c r="N3" s="1360"/>
      <c r="O3" s="1360"/>
      <c r="P3" s="1360"/>
      <c r="Q3" s="1360"/>
      <c r="R3" s="1360"/>
      <c r="S3" s="1360"/>
      <c r="T3" s="1360"/>
      <c r="U3" s="1360"/>
      <c r="V3" s="1359"/>
      <c r="W3" s="1359"/>
      <c r="X3" s="1359"/>
      <c r="Y3" s="1359"/>
      <c r="Z3" s="1359"/>
      <c r="AA3" s="1359"/>
      <c r="AB3" s="1359"/>
      <c r="AC3" s="594"/>
      <c r="AD3" s="594"/>
      <c r="AE3" s="594"/>
      <c r="AF3" s="594"/>
      <c r="AG3" s="594"/>
      <c r="AH3" s="594"/>
    </row>
    <row r="4" spans="2:37" ht="88.5" customHeight="1" x14ac:dyDescent="0.35">
      <c r="B4" s="1360"/>
      <c r="C4" s="1360"/>
      <c r="D4" s="1360"/>
      <c r="E4" s="1360"/>
      <c r="F4" s="1360"/>
      <c r="G4" s="1360"/>
      <c r="H4" s="1360"/>
      <c r="I4" s="1360"/>
      <c r="J4" s="1360"/>
      <c r="K4" s="1360"/>
      <c r="L4" s="1360"/>
      <c r="M4" s="1360"/>
      <c r="N4" s="1360"/>
      <c r="O4" s="1360"/>
      <c r="P4" s="1360"/>
      <c r="Q4" s="1360"/>
      <c r="R4" s="1360"/>
      <c r="S4" s="1360"/>
      <c r="T4" s="1360"/>
      <c r="U4" s="1360"/>
      <c r="V4" s="1359"/>
      <c r="W4" s="1359"/>
      <c r="X4" s="1359"/>
      <c r="Y4" s="1359"/>
      <c r="Z4" s="1359"/>
      <c r="AA4" s="1359"/>
      <c r="AB4" s="1359"/>
      <c r="AC4" s="594"/>
      <c r="AD4" s="594"/>
      <c r="AE4" s="594"/>
      <c r="AF4" s="594"/>
      <c r="AG4" s="594"/>
      <c r="AH4" s="594"/>
    </row>
    <row r="5" spans="2:37" ht="33" customHeight="1" x14ac:dyDescent="0.35">
      <c r="B5" s="594"/>
      <c r="C5" s="594"/>
      <c r="D5" s="594"/>
      <c r="E5" s="594"/>
      <c r="F5" s="594"/>
      <c r="G5" s="594"/>
      <c r="H5" s="594"/>
      <c r="I5" s="594"/>
      <c r="J5" s="594"/>
      <c r="K5" s="594"/>
      <c r="L5" s="594"/>
      <c r="M5" s="594"/>
      <c r="N5" s="594"/>
      <c r="O5" s="594"/>
      <c r="P5" s="594"/>
      <c r="Q5" s="594"/>
      <c r="R5" s="594"/>
      <c r="S5" s="594"/>
      <c r="T5" s="594"/>
      <c r="U5" s="594"/>
      <c r="V5" s="594"/>
      <c r="W5" s="594"/>
      <c r="X5" s="594"/>
      <c r="Y5" s="594"/>
      <c r="Z5" s="594"/>
      <c r="AA5" s="594"/>
      <c r="AB5" s="594"/>
      <c r="AC5" s="594"/>
      <c r="AD5" s="594"/>
      <c r="AE5" s="594"/>
      <c r="AF5" s="594"/>
      <c r="AG5" s="594"/>
      <c r="AH5" s="594"/>
    </row>
    <row r="6" spans="2:37" x14ac:dyDescent="0.35">
      <c r="B6" s="594"/>
      <c r="C6" s="594"/>
      <c r="D6" s="594"/>
      <c r="E6" s="594"/>
      <c r="F6" s="594"/>
      <c r="G6" s="594"/>
      <c r="H6" s="594"/>
      <c r="I6" s="594"/>
      <c r="J6" s="594"/>
      <c r="K6" s="594"/>
      <c r="L6" s="594"/>
      <c r="M6" s="594"/>
      <c r="N6" s="594"/>
      <c r="O6" s="594"/>
      <c r="P6" s="594"/>
      <c r="Q6" s="594"/>
      <c r="R6" s="594"/>
      <c r="S6" s="594"/>
      <c r="T6" s="594"/>
      <c r="U6" s="594"/>
      <c r="V6" s="594"/>
      <c r="W6" s="594"/>
      <c r="X6" s="594"/>
      <c r="Y6" s="594"/>
      <c r="Z6" s="594"/>
      <c r="AA6" s="594"/>
      <c r="AB6" s="594"/>
      <c r="AC6" s="594"/>
      <c r="AD6" s="594"/>
      <c r="AE6" s="594"/>
      <c r="AF6" s="594"/>
      <c r="AG6" s="594"/>
      <c r="AH6" s="594"/>
    </row>
    <row r="7" spans="2:37" ht="14.9" customHeight="1" x14ac:dyDescent="0.35">
      <c r="B7" s="1276" t="s">
        <v>403</v>
      </c>
      <c r="C7" s="1277"/>
      <c r="D7" s="1280" t="s">
        <v>279</v>
      </c>
      <c r="E7" s="1290"/>
      <c r="F7" s="1290"/>
      <c r="G7" s="1290"/>
      <c r="H7" s="1290"/>
      <c r="I7" s="1290"/>
      <c r="J7" s="1290"/>
      <c r="K7" s="1290"/>
      <c r="L7" s="1290"/>
      <c r="M7" s="1290"/>
      <c r="N7" s="1290"/>
      <c r="O7" s="1290"/>
      <c r="P7" s="1290"/>
      <c r="Q7" s="1290"/>
      <c r="R7" s="1290"/>
      <c r="S7" s="1290"/>
      <c r="T7" s="1290"/>
      <c r="U7" s="1290"/>
      <c r="V7" s="1281"/>
      <c r="W7" s="1302" t="s">
        <v>280</v>
      </c>
      <c r="X7" s="1303"/>
      <c r="Y7" s="1303"/>
      <c r="Z7" s="1303"/>
      <c r="AA7" s="1303"/>
      <c r="AB7" s="1303"/>
      <c r="AC7" s="1303"/>
      <c r="AD7" s="1303"/>
      <c r="AE7" s="1303"/>
      <c r="AF7" s="1303"/>
      <c r="AG7" s="1304"/>
      <c r="AH7" s="237"/>
    </row>
    <row r="8" spans="2:37" x14ac:dyDescent="0.35">
      <c r="B8" s="1278"/>
      <c r="C8" s="1291"/>
      <c r="D8" s="215">
        <v>2018</v>
      </c>
      <c r="E8" s="1282">
        <v>2019</v>
      </c>
      <c r="F8" s="1283"/>
      <c r="G8" s="1283"/>
      <c r="H8" s="1284"/>
      <c r="I8" s="1282">
        <v>2020</v>
      </c>
      <c r="J8" s="1283"/>
      <c r="K8" s="1283"/>
      <c r="L8" s="1283"/>
      <c r="M8" s="1282">
        <v>2021</v>
      </c>
      <c r="N8" s="1283"/>
      <c r="O8" s="1283"/>
      <c r="P8" s="1283"/>
      <c r="Q8" s="1282">
        <v>2022</v>
      </c>
      <c r="R8" s="1305"/>
      <c r="S8" s="1305"/>
      <c r="T8" s="1284"/>
      <c r="U8" s="284"/>
      <c r="V8" s="284">
        <v>2023</v>
      </c>
      <c r="W8" s="552"/>
      <c r="X8" s="257"/>
      <c r="Y8" s="1268">
        <v>2024</v>
      </c>
      <c r="Z8" s="1292"/>
      <c r="AA8" s="1292"/>
      <c r="AB8" s="1270"/>
      <c r="AC8" s="1268">
        <v>2025</v>
      </c>
      <c r="AD8" s="1292"/>
      <c r="AE8" s="1292"/>
      <c r="AF8" s="1270"/>
      <c r="AG8" s="1268">
        <v>2026</v>
      </c>
      <c r="AH8" s="1269"/>
      <c r="AI8" s="1269"/>
      <c r="AJ8" s="1270"/>
      <c r="AK8" s="239"/>
    </row>
    <row r="9" spans="2:37" x14ac:dyDescent="0.35">
      <c r="B9" s="1278"/>
      <c r="C9" s="1291"/>
      <c r="D9" s="212" t="s">
        <v>281</v>
      </c>
      <c r="E9" s="212" t="s">
        <v>282</v>
      </c>
      <c r="F9" s="213" t="s">
        <v>283</v>
      </c>
      <c r="G9" s="213" t="s">
        <v>238</v>
      </c>
      <c r="H9" s="214" t="s">
        <v>281</v>
      </c>
      <c r="I9" s="213" t="s">
        <v>282</v>
      </c>
      <c r="J9" s="213" t="s">
        <v>283</v>
      </c>
      <c r="K9" s="213" t="s">
        <v>238</v>
      </c>
      <c r="L9" s="213" t="s">
        <v>281</v>
      </c>
      <c r="M9" s="212" t="s">
        <v>282</v>
      </c>
      <c r="N9" s="213" t="s">
        <v>283</v>
      </c>
      <c r="O9" s="213" t="s">
        <v>238</v>
      </c>
      <c r="P9" s="213" t="s">
        <v>281</v>
      </c>
      <c r="Q9" s="212" t="s">
        <v>282</v>
      </c>
      <c r="R9" s="213" t="s">
        <v>283</v>
      </c>
      <c r="S9" s="213" t="s">
        <v>238</v>
      </c>
      <c r="T9" s="214" t="s">
        <v>281</v>
      </c>
      <c r="U9" s="213" t="s">
        <v>282</v>
      </c>
      <c r="V9" s="282" t="s">
        <v>283</v>
      </c>
      <c r="W9" s="267" t="s">
        <v>238</v>
      </c>
      <c r="X9" s="268" t="s">
        <v>281</v>
      </c>
      <c r="Y9" s="266" t="s">
        <v>282</v>
      </c>
      <c r="Z9" s="264" t="s">
        <v>283</v>
      </c>
      <c r="AA9" s="267" t="s">
        <v>238</v>
      </c>
      <c r="AB9" s="267" t="s">
        <v>281</v>
      </c>
      <c r="AC9" s="266" t="s">
        <v>282</v>
      </c>
      <c r="AD9" s="264" t="s">
        <v>283</v>
      </c>
      <c r="AE9" s="267" t="s">
        <v>238</v>
      </c>
      <c r="AF9" s="267" t="s">
        <v>281</v>
      </c>
      <c r="AG9" s="222" t="s">
        <v>282</v>
      </c>
      <c r="AH9" s="264" t="s">
        <v>283</v>
      </c>
      <c r="AI9" s="264" t="s">
        <v>238</v>
      </c>
      <c r="AJ9" s="287" t="s">
        <v>281</v>
      </c>
      <c r="AK9" s="219"/>
    </row>
    <row r="10" spans="2:37" x14ac:dyDescent="0.35">
      <c r="B10" s="560" t="s">
        <v>101</v>
      </c>
      <c r="C10" s="442" t="s">
        <v>429</v>
      </c>
      <c r="D10" s="569">
        <f>'Haver Pivoted'!GO13</f>
        <v>589.5</v>
      </c>
      <c r="E10" s="570">
        <f>'Haver Pivoted'!GP13</f>
        <v>598.70000000000005</v>
      </c>
      <c r="F10" s="570">
        <f>'Haver Pivoted'!GQ13</f>
        <v>614.4</v>
      </c>
      <c r="G10" s="570">
        <f>'Haver Pivoted'!GR13</f>
        <v>622.4</v>
      </c>
      <c r="H10" s="570">
        <f>'Haver Pivoted'!GS13</f>
        <v>620.6</v>
      </c>
      <c r="I10" s="570">
        <f>'Haver Pivoted'!GT13</f>
        <v>606.5</v>
      </c>
      <c r="J10" s="570">
        <f>'Haver Pivoted'!GU13</f>
        <v>654.6</v>
      </c>
      <c r="K10" s="570">
        <f>'Haver Pivoted'!GV13</f>
        <v>690.8</v>
      </c>
      <c r="L10" s="570">
        <f>'Haver Pivoted'!GW13</f>
        <v>678.6</v>
      </c>
      <c r="M10" s="570">
        <f>'Haver Pivoted'!GX13</f>
        <v>704.9</v>
      </c>
      <c r="N10" s="570">
        <f>'Haver Pivoted'!GY13</f>
        <v>745.6</v>
      </c>
      <c r="O10" s="570">
        <f>'Haver Pivoted'!GZ13</f>
        <v>749.2</v>
      </c>
      <c r="P10" s="570">
        <f>'Haver Pivoted'!HA13</f>
        <v>746.3</v>
      </c>
      <c r="Q10" s="570">
        <f>'Haver Pivoted'!HB13</f>
        <v>791.9</v>
      </c>
      <c r="R10" s="570">
        <f>'Haver Pivoted'!HC13</f>
        <v>819.2</v>
      </c>
      <c r="S10" s="571">
        <f>'Haver Pivoted'!HD13</f>
        <v>819</v>
      </c>
      <c r="T10" s="558">
        <f>'Haver Pivoted'!HE13</f>
        <v>827.5</v>
      </c>
      <c r="U10" s="571">
        <f>'Haver Pivoted'!HF13</f>
        <v>877.6</v>
      </c>
      <c r="V10" s="571">
        <f>'Haver Pivoted'!HG13</f>
        <v>911.6</v>
      </c>
      <c r="W10" s="571">
        <f>'Haver Pivoted'!HH13</f>
        <v>867.2</v>
      </c>
      <c r="X10" s="571">
        <f>'Haver Pivoted'!HI13</f>
        <v>856.2</v>
      </c>
      <c r="Y10" s="571">
        <f>'Haver Pivoted'!HJ13</f>
        <v>904.8</v>
      </c>
      <c r="Z10" s="571">
        <f>'Haver Pivoted'!HK13</f>
        <v>924.7</v>
      </c>
      <c r="AA10" s="571">
        <f>'Haver Pivoted'!HL13</f>
        <v>919.4</v>
      </c>
      <c r="AB10" s="289"/>
      <c r="AC10" s="208"/>
      <c r="AD10" s="329"/>
      <c r="AE10" s="329"/>
      <c r="AF10" s="329"/>
      <c r="AG10" s="329"/>
      <c r="AH10" s="329"/>
      <c r="AI10" s="329"/>
      <c r="AJ10" s="329"/>
    </row>
    <row r="11" spans="2:37" x14ac:dyDescent="0.35">
      <c r="B11" s="548" t="s">
        <v>430</v>
      </c>
      <c r="C11" s="239" t="s">
        <v>338</v>
      </c>
      <c r="D11" s="590">
        <f>'Haver Pivoted'!GO40</f>
        <v>391.92099999999999</v>
      </c>
      <c r="E11" s="546">
        <f>'Haver Pivoted'!GP40</f>
        <v>405.36799999999999</v>
      </c>
      <c r="F11" s="546">
        <f>'Haver Pivoted'!GQ40</f>
        <v>414.19600000000003</v>
      </c>
      <c r="G11" s="546">
        <f>'Haver Pivoted'!GR40</f>
        <v>418.68599999999998</v>
      </c>
      <c r="H11" s="546">
        <f>'Haver Pivoted'!GS40</f>
        <v>416.185</v>
      </c>
      <c r="I11" s="546">
        <f>'Haver Pivoted'!GT40</f>
        <v>422.89</v>
      </c>
      <c r="J11" s="546">
        <f>'Haver Pivoted'!GU40</f>
        <v>502.90600000000001</v>
      </c>
      <c r="K11" s="546">
        <f>'Haver Pivoted'!GV40</f>
        <v>484.48</v>
      </c>
      <c r="L11" s="546">
        <f>'Haver Pivoted'!GW40</f>
        <v>509.88400000000001</v>
      </c>
      <c r="M11" s="546">
        <f>'Haver Pivoted'!GX40</f>
        <v>499.42899999999997</v>
      </c>
      <c r="N11" s="546">
        <f>'Haver Pivoted'!GY40</f>
        <v>520.79</v>
      </c>
      <c r="O11" s="546">
        <f>'Haver Pivoted'!GZ40</f>
        <v>545.32600000000002</v>
      </c>
      <c r="P11" s="546">
        <f>'Haver Pivoted'!HA40</f>
        <v>567.61</v>
      </c>
      <c r="Q11" s="546">
        <f>'Haver Pivoted'!HB40</f>
        <v>589.92700000000002</v>
      </c>
      <c r="R11" s="546">
        <f>'Haver Pivoted'!HC40</f>
        <v>585.74599999999998</v>
      </c>
      <c r="S11" s="554">
        <f>'Haver Pivoted'!HD40</f>
        <v>617.88900000000001</v>
      </c>
      <c r="T11" s="554">
        <f>'Haver Pivoted'!HE40</f>
        <v>611.67999999999995</v>
      </c>
      <c r="U11" s="554">
        <f>'Haver Pivoted'!HF40</f>
        <v>632.66</v>
      </c>
      <c r="V11" s="554">
        <f>'Haver Pivoted'!HG40</f>
        <v>628.88699999999994</v>
      </c>
      <c r="W11" s="554">
        <f>'Haver Pivoted'!HH40</f>
        <v>585.98400000000004</v>
      </c>
      <c r="X11" s="554">
        <f>'Haver Pivoted'!HI40</f>
        <v>612.03399999999999</v>
      </c>
      <c r="Y11" s="554">
        <f>'Haver Pivoted'!HJ40</f>
        <v>618.72699999999998</v>
      </c>
      <c r="Z11" s="554">
        <f>'Haver Pivoted'!HK40</f>
        <v>628.15700000000004</v>
      </c>
      <c r="AA11" s="554">
        <f>'Haver Pivoted'!HL40</f>
        <v>641.23699999999997</v>
      </c>
      <c r="AB11" s="329"/>
      <c r="AC11" s="329"/>
      <c r="AD11" s="329"/>
      <c r="AE11" s="329"/>
      <c r="AF11" s="329"/>
      <c r="AG11" s="329"/>
      <c r="AH11" s="329"/>
      <c r="AI11" s="329"/>
      <c r="AJ11" s="329"/>
    </row>
    <row r="12" spans="2:37" ht="27.65" customHeight="1" x14ac:dyDescent="0.35">
      <c r="B12" s="524" t="s">
        <v>892</v>
      </c>
      <c r="C12" s="35"/>
      <c r="D12" s="593">
        <f t="shared" ref="D12:N12" si="0">D11/D10</f>
        <v>0.66483630195080579</v>
      </c>
      <c r="E12" s="577">
        <f t="shared" si="0"/>
        <v>0.67708034073826617</v>
      </c>
      <c r="F12" s="577">
        <f t="shared" si="0"/>
        <v>0.67414713541666671</v>
      </c>
      <c r="G12" s="577">
        <f t="shared" si="0"/>
        <v>0.67269601542416446</v>
      </c>
      <c r="H12" s="577">
        <f t="shared" si="0"/>
        <v>0.67061714469867872</v>
      </c>
      <c r="I12" s="577">
        <f t="shared" si="0"/>
        <v>0.69726298433635614</v>
      </c>
      <c r="J12" s="577">
        <f t="shared" si="0"/>
        <v>0.76826458906202255</v>
      </c>
      <c r="K12" s="577">
        <f t="shared" si="0"/>
        <v>0.70133178922987849</v>
      </c>
      <c r="L12" s="577">
        <f t="shared" si="0"/>
        <v>0.75137636310050104</v>
      </c>
      <c r="M12" s="577">
        <f t="shared" si="0"/>
        <v>0.70851042701092348</v>
      </c>
      <c r="N12" s="577">
        <f t="shared" si="0"/>
        <v>0.69848444206008575</v>
      </c>
      <c r="O12" s="577">
        <f t="shared" ref="O12:T12" si="1">O11/O10</f>
        <v>0.72787773625200214</v>
      </c>
      <c r="P12" s="577">
        <f t="shared" si="1"/>
        <v>0.76056545625083749</v>
      </c>
      <c r="Q12" s="577">
        <f t="shared" si="1"/>
        <v>0.74495138275034734</v>
      </c>
      <c r="R12" s="577">
        <f t="shared" si="1"/>
        <v>0.71502197265624989</v>
      </c>
      <c r="S12" s="572">
        <f>S11/S10</f>
        <v>0.75444322344322345</v>
      </c>
      <c r="T12" s="572">
        <f t="shared" si="1"/>
        <v>0.73919033232628395</v>
      </c>
      <c r="U12" s="572">
        <f t="shared" ref="U12:W12" si="2">U11/U10</f>
        <v>0.72089790337283499</v>
      </c>
      <c r="V12" s="572">
        <f t="shared" si="2"/>
        <v>0.68987165423431318</v>
      </c>
      <c r="W12" s="572">
        <f t="shared" si="2"/>
        <v>0.67571955719557197</v>
      </c>
      <c r="X12" s="572">
        <f>X11/X10</f>
        <v>0.71482597523943003</v>
      </c>
      <c r="Y12" s="572">
        <f>Y11/Y10</f>
        <v>0.68382736516357212</v>
      </c>
      <c r="Z12" s="572">
        <f>Z11/Z10</f>
        <v>0.67930896506975236</v>
      </c>
      <c r="AA12" s="572">
        <f>AA11/AA10</f>
        <v>0.69745159886882746</v>
      </c>
      <c r="AB12" s="595">
        <f>AA12</f>
        <v>0.69745159886882746</v>
      </c>
      <c r="AC12" s="595">
        <f t="shared" ref="AC12" si="3">AB12</f>
        <v>0.69745159886882746</v>
      </c>
      <c r="AD12" s="595">
        <f>AC12</f>
        <v>0.69745159886882746</v>
      </c>
      <c r="AE12" s="595">
        <f t="shared" ref="AE12" si="4">AD12</f>
        <v>0.69745159886882746</v>
      </c>
      <c r="AF12" s="595">
        <f t="shared" ref="AF12" si="5">AE12</f>
        <v>0.69745159886882746</v>
      </c>
      <c r="AG12" s="595">
        <f t="shared" ref="AG12" si="6">AF12</f>
        <v>0.69745159886882746</v>
      </c>
      <c r="AH12" s="595">
        <f>AG12</f>
        <v>0.69745159886882746</v>
      </c>
      <c r="AI12" s="595">
        <f t="shared" ref="AI12:AJ12" si="7">AH12</f>
        <v>0.69745159886882746</v>
      </c>
      <c r="AJ12" s="595">
        <f t="shared" si="7"/>
        <v>0.69745159886882746</v>
      </c>
    </row>
    <row r="13" spans="2:37" ht="27.65" customHeight="1" x14ac:dyDescent="0.35">
      <c r="O13" s="57"/>
      <c r="P13" s="57"/>
      <c r="Q13" s="57"/>
      <c r="R13" s="57"/>
      <c r="S13" s="57"/>
      <c r="T13" s="57"/>
      <c r="Y13" s="555"/>
      <c r="Z13" s="555"/>
      <c r="AA13" s="555"/>
      <c r="AB13" s="555"/>
      <c r="AC13" s="555"/>
      <c r="AD13" s="555"/>
      <c r="AE13" s="555"/>
      <c r="AF13" s="555"/>
      <c r="AG13" s="555"/>
      <c r="AH13" s="555"/>
      <c r="AI13" s="57"/>
    </row>
    <row r="14" spans="2:37" x14ac:dyDescent="0.35">
      <c r="O14" s="57"/>
      <c r="P14" s="239"/>
      <c r="Q14" s="57"/>
      <c r="R14" s="57"/>
      <c r="S14" s="57"/>
      <c r="T14" s="546"/>
      <c r="Y14" s="219"/>
      <c r="Z14" s="219"/>
      <c r="AA14" s="219"/>
      <c r="AB14" s="219"/>
      <c r="AC14" s="219"/>
      <c r="AD14" s="219"/>
      <c r="AE14" s="219"/>
      <c r="AF14" s="219"/>
      <c r="AG14" s="219"/>
      <c r="AH14" s="219"/>
      <c r="AI14" s="57"/>
    </row>
    <row r="15" spans="2:37" x14ac:dyDescent="0.35">
      <c r="B15" s="512" t="s">
        <v>351</v>
      </c>
      <c r="G15" t="s">
        <v>1928</v>
      </c>
      <c r="O15" s="57"/>
      <c r="P15" s="239"/>
      <c r="Q15" s="57"/>
      <c r="R15" s="57"/>
      <c r="S15" s="57"/>
      <c r="T15" s="546"/>
      <c r="Y15" s="219"/>
      <c r="Z15" s="219"/>
      <c r="AA15" s="219"/>
      <c r="AB15" s="219"/>
      <c r="AC15" s="219"/>
      <c r="AD15" s="219"/>
      <c r="AE15" s="219"/>
      <c r="AF15" s="219"/>
      <c r="AG15" s="219"/>
      <c r="AH15" s="219"/>
      <c r="AI15" s="57"/>
    </row>
    <row r="16" spans="2:37" ht="25.4" customHeight="1" x14ac:dyDescent="0.35">
      <c r="B16" s="564" t="s">
        <v>431</v>
      </c>
      <c r="C16" s="562">
        <v>2020</v>
      </c>
      <c r="D16" s="562">
        <v>2021</v>
      </c>
      <c r="E16" s="562">
        <v>2022</v>
      </c>
      <c r="F16" s="562">
        <v>2023</v>
      </c>
      <c r="G16" s="562">
        <v>2024</v>
      </c>
      <c r="H16" s="562">
        <v>2025</v>
      </c>
      <c r="I16" s="562">
        <v>2026</v>
      </c>
      <c r="J16" s="563">
        <v>2027</v>
      </c>
      <c r="O16" s="57"/>
      <c r="P16" s="239"/>
      <c r="Q16" s="57"/>
      <c r="R16" s="57"/>
      <c r="S16" s="57"/>
      <c r="T16" s="555"/>
      <c r="U16" s="555"/>
      <c r="V16" s="555"/>
      <c r="W16" s="555"/>
      <c r="X16" s="555"/>
      <c r="Y16" s="555"/>
      <c r="Z16" s="555"/>
      <c r="AA16" s="555"/>
      <c r="AB16" s="555"/>
      <c r="AC16" s="555"/>
      <c r="AD16" s="555"/>
      <c r="AE16" s="555"/>
      <c r="AF16" s="555"/>
      <c r="AG16" s="555"/>
      <c r="AH16" s="555"/>
      <c r="AI16" s="57"/>
    </row>
    <row r="17" spans="2:37" ht="31.5" customHeight="1" x14ac:dyDescent="0.35">
      <c r="B17" s="592" t="s">
        <v>1925</v>
      </c>
      <c r="C17" s="249">
        <v>458.46800000000002</v>
      </c>
      <c r="D17" s="263">
        <v>520.58799999999997</v>
      </c>
      <c r="E17" s="263">
        <v>591.94899999999996</v>
      </c>
      <c r="F17" s="263">
        <v>615.77200000000005</v>
      </c>
      <c r="G17" s="263">
        <v>606.89800000000002</v>
      </c>
      <c r="H17" s="263">
        <v>600.45899999999995</v>
      </c>
      <c r="I17" s="263">
        <v>614.44100000000003</v>
      </c>
      <c r="J17" s="263">
        <v>642.08799999999997</v>
      </c>
      <c r="K17" s="263">
        <v>679.89200000000005</v>
      </c>
      <c r="L17" s="263">
        <v>717.14099999999996</v>
      </c>
      <c r="M17" s="263">
        <v>756.26</v>
      </c>
      <c r="N17" s="263">
        <v>795.53099999999995</v>
      </c>
      <c r="O17" s="263">
        <v>837.52499999999998</v>
      </c>
      <c r="P17" s="263">
        <v>885.98900000000003</v>
      </c>
      <c r="Q17" s="263">
        <v>932.56399999999996</v>
      </c>
      <c r="R17" s="57"/>
      <c r="S17" s="57"/>
      <c r="T17" s="57"/>
      <c r="U17" s="57"/>
      <c r="V17" s="57"/>
      <c r="W17" s="57"/>
      <c r="X17" s="57"/>
      <c r="Y17" s="57"/>
      <c r="Z17" s="57"/>
      <c r="AA17" s="57"/>
      <c r="AB17" s="57"/>
      <c r="AC17" s="57"/>
      <c r="AD17" s="57"/>
      <c r="AE17" s="57"/>
      <c r="AF17" s="57"/>
      <c r="AH17" s="57"/>
      <c r="AI17" s="57"/>
    </row>
    <row r="18" spans="2:37" x14ac:dyDescent="0.35">
      <c r="B18" s="548" t="s">
        <v>432</v>
      </c>
      <c r="C18" s="555">
        <f>AVERAGE(H12:K12)</f>
        <v>0.70936912683173392</v>
      </c>
      <c r="D18" s="555">
        <f>AVERAGE(L12:O12)</f>
        <v>0.72156224210587805</v>
      </c>
      <c r="E18" s="555">
        <f>AVERAGE(P12:S12)</f>
        <v>0.74374550877516454</v>
      </c>
      <c r="F18" s="555">
        <f>AVERAGE(T12:W12)</f>
        <v>0.70641986178225102</v>
      </c>
      <c r="G18" s="555">
        <f>AVERAGE(X12:AA12)</f>
        <v>0.69385347608539549</v>
      </c>
      <c r="H18" s="555">
        <f>AVERAGE(Y12:AB12)</f>
        <v>0.68950988199274488</v>
      </c>
      <c r="I18" s="555">
        <f>AVERAGE(Z12:AC12)</f>
        <v>0.69291594041905868</v>
      </c>
      <c r="J18" s="576">
        <f>AVERAGE(AA12:AI12)</f>
        <v>0.69745159886882746</v>
      </c>
    </row>
    <row r="19" spans="2:37" x14ac:dyDescent="0.35">
      <c r="B19" s="548" t="s">
        <v>433</v>
      </c>
      <c r="C19" s="219">
        <f>C17/C18</f>
        <v>646.30385318242224</v>
      </c>
      <c r="D19" s="219">
        <f>D17/D18</f>
        <v>721.47344972024155</v>
      </c>
      <c r="E19" s="219">
        <f>E17/E18</f>
        <v>795.90262128083259</v>
      </c>
      <c r="F19" s="219">
        <f>F17/F18</f>
        <v>871.67990781919355</v>
      </c>
      <c r="G19" s="219">
        <f>G17/G18</f>
        <v>874.67746565747052</v>
      </c>
      <c r="H19" s="219">
        <f t="shared" ref="H19:J19" si="8">H17/H18</f>
        <v>870.84901272860668</v>
      </c>
      <c r="I19" s="219">
        <f>I17/I18</f>
        <v>886.74681033950685</v>
      </c>
      <c r="J19" s="567">
        <f t="shared" si="8"/>
        <v>920.62015635404691</v>
      </c>
    </row>
    <row r="20" spans="2:37" ht="32.25" customHeight="1" x14ac:dyDescent="0.35">
      <c r="B20" s="524" t="s">
        <v>434</v>
      </c>
      <c r="C20" s="561"/>
      <c r="D20" s="577">
        <f>D19/C19-1</f>
        <v>0.11630689832295071</v>
      </c>
      <c r="E20" s="577">
        <f t="shared" ref="E20" si="9">E19/D19-1</f>
        <v>0.10316273119884278</v>
      </c>
      <c r="F20" s="577">
        <f>F19/E19-1</f>
        <v>9.5209243583610492E-2</v>
      </c>
      <c r="G20" s="577">
        <f>G19/F19-1</f>
        <v>3.4388286472915031E-3</v>
      </c>
      <c r="H20" s="577">
        <f>H19/G19-1+0.01</f>
        <v>5.6230118195784631E-3</v>
      </c>
      <c r="I20" s="577">
        <f>I19/H19-1</f>
        <v>1.8255515455070759E-2</v>
      </c>
      <c r="J20" s="577">
        <f t="shared" ref="J20" si="10">J19/I19-1</f>
        <v>3.8199569053505966E-2</v>
      </c>
      <c r="K20" s="579"/>
      <c r="L20" s="579"/>
      <c r="R20" s="57"/>
      <c r="S20" s="515"/>
      <c r="T20" s="515"/>
      <c r="U20" s="515"/>
    </row>
    <row r="21" spans="2:37" ht="32.25" customHeight="1" x14ac:dyDescent="0.35">
      <c r="B21" s="279"/>
      <c r="C21" s="219"/>
      <c r="D21" s="555"/>
      <c r="E21" s="555"/>
      <c r="F21" s="555"/>
      <c r="G21" s="555"/>
      <c r="H21" s="555"/>
      <c r="I21" s="555"/>
      <c r="J21" s="555"/>
      <c r="K21" s="579"/>
      <c r="L21" s="579"/>
      <c r="R21" s="57"/>
      <c r="S21" s="515"/>
      <c r="T21" s="515"/>
      <c r="U21" s="515"/>
    </row>
    <row r="23" spans="2:37" x14ac:dyDescent="0.35">
      <c r="B23" s="512" t="s">
        <v>364</v>
      </c>
    </row>
    <row r="24" spans="2:37" x14ac:dyDescent="0.35">
      <c r="B24" s="1276" t="s">
        <v>435</v>
      </c>
      <c r="C24" s="1322"/>
      <c r="D24" s="1280" t="s">
        <v>279</v>
      </c>
      <c r="E24" s="1290"/>
      <c r="F24" s="1290"/>
      <c r="G24" s="1290"/>
      <c r="H24" s="1290"/>
      <c r="I24" s="1290"/>
      <c r="J24" s="1290"/>
      <c r="K24" s="1290"/>
      <c r="L24" s="1290"/>
      <c r="M24" s="1290"/>
      <c r="N24" s="1290"/>
      <c r="O24" s="1290"/>
      <c r="P24" s="1290"/>
      <c r="Q24" s="1290"/>
      <c r="R24" s="1290"/>
      <c r="S24" s="1290"/>
      <c r="T24" s="1290"/>
      <c r="U24" s="1290"/>
      <c r="V24" s="1281"/>
      <c r="W24" s="1317" t="s">
        <v>280</v>
      </c>
      <c r="X24" s="1304"/>
      <c r="Y24" s="1304"/>
      <c r="Z24" s="1304"/>
      <c r="AA24" s="1304"/>
      <c r="AB24" s="1304"/>
      <c r="AC24" s="1304"/>
      <c r="AD24" s="1304"/>
      <c r="AE24" s="1304"/>
      <c r="AF24" s="1304"/>
      <c r="AG24" s="1304"/>
      <c r="AH24" s="237"/>
    </row>
    <row r="25" spans="2:37" x14ac:dyDescent="0.35">
      <c r="B25" s="1278"/>
      <c r="C25" s="1291"/>
      <c r="D25" s="215">
        <v>2018</v>
      </c>
      <c r="E25" s="1282">
        <v>2019</v>
      </c>
      <c r="F25" s="1283"/>
      <c r="G25" s="1283"/>
      <c r="H25" s="1284"/>
      <c r="I25" s="1282">
        <v>2020</v>
      </c>
      <c r="J25" s="1283"/>
      <c r="K25" s="1283"/>
      <c r="L25" s="1283"/>
      <c r="M25" s="1282">
        <v>2021</v>
      </c>
      <c r="N25" s="1283"/>
      <c r="O25" s="1283"/>
      <c r="P25" s="1283"/>
      <c r="Q25" s="1282">
        <v>2022</v>
      </c>
      <c r="R25" s="1305"/>
      <c r="S25" s="1305"/>
      <c r="T25" s="1284"/>
      <c r="U25" s="238"/>
      <c r="V25" s="556">
        <v>2023</v>
      </c>
      <c r="W25" s="552"/>
      <c r="X25" s="257"/>
      <c r="Y25" s="1268">
        <v>2024</v>
      </c>
      <c r="Z25" s="1292"/>
      <c r="AA25" s="1292"/>
      <c r="AB25" s="1270"/>
      <c r="AC25" s="1268">
        <v>2025</v>
      </c>
      <c r="AD25" s="1292"/>
      <c r="AE25" s="1292"/>
      <c r="AF25" s="1270"/>
      <c r="AG25" s="1268">
        <v>2026</v>
      </c>
      <c r="AH25" s="1269"/>
      <c r="AI25" s="1269"/>
      <c r="AJ25" s="1270"/>
    </row>
    <row r="26" spans="2:37" x14ac:dyDescent="0.35">
      <c r="B26" s="1280"/>
      <c r="C26" s="1290"/>
      <c r="D26" s="212" t="s">
        <v>281</v>
      </c>
      <c r="E26" s="212" t="s">
        <v>282</v>
      </c>
      <c r="F26" s="213" t="s">
        <v>283</v>
      </c>
      <c r="G26" s="213" t="s">
        <v>238</v>
      </c>
      <c r="H26" s="214" t="s">
        <v>281</v>
      </c>
      <c r="I26" s="213" t="s">
        <v>282</v>
      </c>
      <c r="J26" s="213" t="s">
        <v>283</v>
      </c>
      <c r="K26" s="213" t="s">
        <v>238</v>
      </c>
      <c r="L26" s="213" t="s">
        <v>281</v>
      </c>
      <c r="M26" s="212" t="s">
        <v>282</v>
      </c>
      <c r="N26" s="213" t="s">
        <v>283</v>
      </c>
      <c r="O26" s="213" t="s">
        <v>238</v>
      </c>
      <c r="P26" s="213" t="s">
        <v>281</v>
      </c>
      <c r="Q26" s="212" t="s">
        <v>282</v>
      </c>
      <c r="R26" s="213" t="s">
        <v>283</v>
      </c>
      <c r="S26" s="213" t="s">
        <v>238</v>
      </c>
      <c r="T26" s="214" t="s">
        <v>281</v>
      </c>
      <c r="U26" s="281" t="s">
        <v>282</v>
      </c>
      <c r="V26" s="557" t="s">
        <v>283</v>
      </c>
      <c r="W26" s="267" t="s">
        <v>238</v>
      </c>
      <c r="X26" s="267" t="s">
        <v>281</v>
      </c>
      <c r="Y26" s="266" t="s">
        <v>282</v>
      </c>
      <c r="Z26" s="264" t="s">
        <v>283</v>
      </c>
      <c r="AA26" s="267" t="s">
        <v>238</v>
      </c>
      <c r="AB26" s="267" t="s">
        <v>281</v>
      </c>
      <c r="AC26" s="266" t="s">
        <v>282</v>
      </c>
      <c r="AD26" s="264" t="s">
        <v>283</v>
      </c>
      <c r="AE26" s="267" t="s">
        <v>238</v>
      </c>
      <c r="AF26" s="267" t="s">
        <v>281</v>
      </c>
      <c r="AG26" s="222" t="s">
        <v>282</v>
      </c>
      <c r="AH26" s="264" t="s">
        <v>283</v>
      </c>
      <c r="AI26" s="264" t="s">
        <v>238</v>
      </c>
      <c r="AJ26" s="287" t="s">
        <v>281</v>
      </c>
    </row>
    <row r="27" spans="2:37" ht="19.5" customHeight="1" x14ac:dyDescent="0.35">
      <c r="B27" s="587" t="s">
        <v>436</v>
      </c>
      <c r="C27" s="588"/>
      <c r="D27" s="573">
        <f t="shared" ref="D27:X27" si="11">D10</f>
        <v>589.5</v>
      </c>
      <c r="E27" s="574">
        <f t="shared" si="11"/>
        <v>598.70000000000005</v>
      </c>
      <c r="F27" s="574">
        <f t="shared" si="11"/>
        <v>614.4</v>
      </c>
      <c r="G27" s="574">
        <f t="shared" si="11"/>
        <v>622.4</v>
      </c>
      <c r="H27" s="574">
        <f t="shared" si="11"/>
        <v>620.6</v>
      </c>
      <c r="I27" s="574">
        <f t="shared" si="11"/>
        <v>606.5</v>
      </c>
      <c r="J27" s="574">
        <f t="shared" si="11"/>
        <v>654.6</v>
      </c>
      <c r="K27" s="574">
        <f t="shared" si="11"/>
        <v>690.8</v>
      </c>
      <c r="L27" s="574">
        <f t="shared" si="11"/>
        <v>678.6</v>
      </c>
      <c r="M27" s="574">
        <f t="shared" si="11"/>
        <v>704.9</v>
      </c>
      <c r="N27" s="574">
        <f t="shared" si="11"/>
        <v>745.6</v>
      </c>
      <c r="O27" s="574">
        <f t="shared" si="11"/>
        <v>749.2</v>
      </c>
      <c r="P27" s="574">
        <f t="shared" si="11"/>
        <v>746.3</v>
      </c>
      <c r="Q27" s="574">
        <f t="shared" si="11"/>
        <v>791.9</v>
      </c>
      <c r="R27" s="574">
        <f t="shared" si="11"/>
        <v>819.2</v>
      </c>
      <c r="S27" s="575">
        <f t="shared" si="11"/>
        <v>819</v>
      </c>
      <c r="T27" s="559">
        <f t="shared" si="11"/>
        <v>827.5</v>
      </c>
      <c r="U27" s="575">
        <f t="shared" si="11"/>
        <v>877.6</v>
      </c>
      <c r="V27" s="575">
        <f t="shared" si="11"/>
        <v>911.6</v>
      </c>
      <c r="W27" s="575">
        <f t="shared" si="11"/>
        <v>867.2</v>
      </c>
      <c r="X27" s="575">
        <f t="shared" si="11"/>
        <v>856.2</v>
      </c>
      <c r="Y27" s="575">
        <f>Y10</f>
        <v>904.8</v>
      </c>
      <c r="Z27" s="575">
        <f>Z10</f>
        <v>924.7</v>
      </c>
      <c r="AA27" s="575">
        <f>AA10</f>
        <v>919.4</v>
      </c>
      <c r="AB27" s="565">
        <f>AA27*(1+$H$20)^0.25+AB28</f>
        <v>927.68973287497272</v>
      </c>
      <c r="AC27" s="586">
        <f t="shared" ref="AC27:AD27" si="12">AB27*(1+$H$20)^0.25+AC28</f>
        <v>928.99109457419343</v>
      </c>
      <c r="AD27" s="586">
        <f t="shared" si="12"/>
        <v>932.2942818215605</v>
      </c>
      <c r="AE27" s="586">
        <f>AD27*(1+$H$20)^0.25+AE28</f>
        <v>935.60210277480644</v>
      </c>
      <c r="AF27" s="550">
        <f>AE27*(1+$I$20)^0.25+AF28</f>
        <v>941.84315339917327</v>
      </c>
      <c r="AG27" s="553">
        <f>AF27*(1+$I$20)^0.25+AG28</f>
        <v>948.1124944811703</v>
      </c>
      <c r="AH27" s="553">
        <f>AG27*(1+$I$20)^0.25+AH28</f>
        <v>954.41025426042256</v>
      </c>
      <c r="AI27" s="553">
        <f>AH27*(1+$I$20)^0.25+AI28</f>
        <v>960.73656155786091</v>
      </c>
      <c r="AJ27" s="550">
        <f>AI27*(1+$J$20)^0.25+AJ28</f>
        <v>971.7829166934132</v>
      </c>
      <c r="AK27" s="566" t="s">
        <v>1834</v>
      </c>
    </row>
    <row r="28" spans="2:37" ht="19.5" customHeight="1" x14ac:dyDescent="0.35">
      <c r="B28" s="578" t="s">
        <v>1703</v>
      </c>
      <c r="C28" s="260"/>
      <c r="D28" s="589"/>
      <c r="E28" s="549"/>
      <c r="F28" s="549"/>
      <c r="G28" s="549"/>
      <c r="H28" s="549"/>
      <c r="I28" s="549"/>
      <c r="J28" s="549"/>
      <c r="K28" s="549"/>
      <c r="L28" s="549"/>
      <c r="M28" s="549"/>
      <c r="N28" s="549"/>
      <c r="O28" s="549"/>
      <c r="P28" s="549"/>
      <c r="Q28" s="549"/>
      <c r="R28" s="549"/>
      <c r="S28" s="549"/>
      <c r="T28" s="549"/>
      <c r="U28" s="549"/>
      <c r="V28" s="549"/>
      <c r="W28" s="549"/>
      <c r="X28" s="549"/>
      <c r="Y28" s="553"/>
      <c r="Z28" s="553"/>
      <c r="AA28" s="553">
        <v>-1</v>
      </c>
      <c r="AB28" s="553">
        <v>7</v>
      </c>
      <c r="AC28" s="553"/>
      <c r="AD28" s="553">
        <v>2</v>
      </c>
      <c r="AE28" s="553">
        <v>2</v>
      </c>
      <c r="AF28" s="553">
        <v>2</v>
      </c>
      <c r="AG28" s="553">
        <v>2</v>
      </c>
      <c r="AH28" s="553">
        <v>2</v>
      </c>
      <c r="AI28" s="553">
        <v>2</v>
      </c>
      <c r="AJ28" s="553">
        <v>2</v>
      </c>
    </row>
    <row r="29" spans="2:37" ht="19.399999999999999" customHeight="1" x14ac:dyDescent="0.35">
      <c r="B29" s="578" t="s">
        <v>207</v>
      </c>
      <c r="C29" s="260"/>
      <c r="D29" s="589">
        <f t="shared" ref="D29:Q29" si="13">D10*D12</f>
        <v>391.92099999999999</v>
      </c>
      <c r="E29" s="549">
        <f t="shared" si="13"/>
        <v>405.36799999999999</v>
      </c>
      <c r="F29" s="549">
        <f t="shared" si="13"/>
        <v>414.19600000000003</v>
      </c>
      <c r="G29" s="549">
        <f t="shared" si="13"/>
        <v>418.68599999999992</v>
      </c>
      <c r="H29" s="549">
        <f t="shared" si="13"/>
        <v>416.18500000000006</v>
      </c>
      <c r="I29" s="549">
        <f t="shared" si="13"/>
        <v>422.89</v>
      </c>
      <c r="J29" s="549">
        <f t="shared" si="13"/>
        <v>502.90600000000001</v>
      </c>
      <c r="K29" s="549">
        <f t="shared" si="13"/>
        <v>484.48</v>
      </c>
      <c r="L29" s="549">
        <f t="shared" si="13"/>
        <v>509.88400000000001</v>
      </c>
      <c r="M29" s="549">
        <f t="shared" si="13"/>
        <v>499.42899999999997</v>
      </c>
      <c r="N29" s="549">
        <f t="shared" si="13"/>
        <v>520.79</v>
      </c>
      <c r="O29" s="549">
        <f t="shared" si="13"/>
        <v>545.32600000000002</v>
      </c>
      <c r="P29" s="549">
        <f t="shared" si="13"/>
        <v>567.61</v>
      </c>
      <c r="Q29" s="549">
        <f t="shared" si="13"/>
        <v>589.92700000000002</v>
      </c>
      <c r="R29" s="549">
        <f t="shared" ref="R29:AG29" si="14">R27*R12</f>
        <v>585.74599999999998</v>
      </c>
      <c r="S29" s="549">
        <f t="shared" si="14"/>
        <v>617.88900000000001</v>
      </c>
      <c r="T29" s="549">
        <f t="shared" si="14"/>
        <v>611.67999999999995</v>
      </c>
      <c r="U29" s="549">
        <f t="shared" si="14"/>
        <v>632.66</v>
      </c>
      <c r="V29" s="549">
        <f t="shared" si="14"/>
        <v>628.88699999999994</v>
      </c>
      <c r="W29" s="549">
        <f t="shared" si="14"/>
        <v>585.98400000000004</v>
      </c>
      <c r="X29" s="549">
        <f t="shared" si="14"/>
        <v>612.03399999999999</v>
      </c>
      <c r="Y29" s="553">
        <f>Y27*Y12</f>
        <v>618.72699999999998</v>
      </c>
      <c r="Z29" s="553">
        <f t="shared" si="14"/>
        <v>628.15700000000004</v>
      </c>
      <c r="AA29" s="553">
        <f t="shared" si="14"/>
        <v>641.23699999999997</v>
      </c>
      <c r="AB29" s="553">
        <f t="shared" si="14"/>
        <v>647.0186874478452</v>
      </c>
      <c r="AC29" s="553">
        <f t="shared" si="14"/>
        <v>647.9263242456733</v>
      </c>
      <c r="AD29" s="553">
        <f t="shared" si="14"/>
        <v>650.23013747271261</v>
      </c>
      <c r="AE29" s="553">
        <f t="shared" si="14"/>
        <v>652.53718248532573</v>
      </c>
      <c r="AF29" s="553">
        <f t="shared" si="14"/>
        <v>656.89001322191177</v>
      </c>
      <c r="AG29" s="553">
        <f t="shared" si="14"/>
        <v>661.26257518340458</v>
      </c>
      <c r="AH29" s="553">
        <f>AH27*AH12</f>
        <v>665.65495781073582</v>
      </c>
      <c r="AI29" s="553">
        <f>AI27*AI12</f>
        <v>670.06725095026979</v>
      </c>
      <c r="AJ29" s="553">
        <f>AJ27*AJ12</f>
        <v>677.77154900123355</v>
      </c>
    </row>
    <row r="30" spans="2:37" ht="19.399999999999999" customHeight="1" x14ac:dyDescent="0.35">
      <c r="B30" s="356" t="s">
        <v>437</v>
      </c>
      <c r="C30" s="357"/>
      <c r="D30" s="591">
        <f t="shared" ref="D30:G30" si="15">D27-D29</f>
        <v>197.57900000000001</v>
      </c>
      <c r="E30" s="551">
        <f t="shared" si="15"/>
        <v>193.33200000000005</v>
      </c>
      <c r="F30" s="551">
        <f t="shared" si="15"/>
        <v>200.20399999999995</v>
      </c>
      <c r="G30" s="551">
        <f t="shared" si="15"/>
        <v>203.71400000000006</v>
      </c>
      <c r="H30" s="551">
        <f t="shared" ref="H30:AC30" si="16">H27-H29</f>
        <v>204.41499999999996</v>
      </c>
      <c r="I30" s="551">
        <f t="shared" si="16"/>
        <v>183.61</v>
      </c>
      <c r="J30" s="551">
        <f t="shared" si="16"/>
        <v>151.69400000000002</v>
      </c>
      <c r="K30" s="551">
        <f t="shared" si="16"/>
        <v>206.31999999999994</v>
      </c>
      <c r="L30" s="551">
        <f t="shared" si="16"/>
        <v>168.71600000000001</v>
      </c>
      <c r="M30" s="551">
        <f t="shared" si="16"/>
        <v>205.471</v>
      </c>
      <c r="N30" s="551">
        <f t="shared" si="16"/>
        <v>224.81000000000006</v>
      </c>
      <c r="O30" s="551">
        <f>O27-O29</f>
        <v>203.87400000000002</v>
      </c>
      <c r="P30" s="551">
        <f>P27-P29</f>
        <v>178.68999999999994</v>
      </c>
      <c r="Q30" s="551">
        <f t="shared" si="16"/>
        <v>201.97299999999996</v>
      </c>
      <c r="R30" s="551">
        <f t="shared" si="16"/>
        <v>233.45400000000006</v>
      </c>
      <c r="S30" s="551">
        <f t="shared" si="16"/>
        <v>201.11099999999999</v>
      </c>
      <c r="T30" s="551">
        <f t="shared" si="16"/>
        <v>215.82000000000005</v>
      </c>
      <c r="U30" s="551">
        <f t="shared" si="16"/>
        <v>244.94000000000005</v>
      </c>
      <c r="V30" s="551">
        <f t="shared" si="16"/>
        <v>282.71300000000008</v>
      </c>
      <c r="W30" s="551">
        <f t="shared" si="16"/>
        <v>281.21600000000001</v>
      </c>
      <c r="X30" s="551">
        <f t="shared" si="16"/>
        <v>244.16600000000005</v>
      </c>
      <c r="Y30" s="585">
        <f t="shared" si="16"/>
        <v>286.07299999999998</v>
      </c>
      <c r="Z30" s="585">
        <f t="shared" si="16"/>
        <v>296.54300000000001</v>
      </c>
      <c r="AA30" s="585">
        <f t="shared" si="16"/>
        <v>278.16300000000001</v>
      </c>
      <c r="AB30" s="585">
        <f>AB27-AB29</f>
        <v>280.67104542712752</v>
      </c>
      <c r="AC30" s="585">
        <f t="shared" si="16"/>
        <v>281.06477032852013</v>
      </c>
      <c r="AD30" s="585">
        <f t="shared" ref="AD30:AG30" si="17">AD27-AD29</f>
        <v>282.06414434884789</v>
      </c>
      <c r="AE30" s="585">
        <f t="shared" si="17"/>
        <v>283.06492028948071</v>
      </c>
      <c r="AF30" s="585">
        <f t="shared" si="17"/>
        <v>284.9531401772615</v>
      </c>
      <c r="AG30" s="585">
        <f t="shared" si="17"/>
        <v>286.84991929776572</v>
      </c>
      <c r="AH30" s="585">
        <f>AH27-AH29</f>
        <v>288.75529644968674</v>
      </c>
      <c r="AI30" s="585">
        <f>AI27-AI29</f>
        <v>290.66931060759111</v>
      </c>
      <c r="AJ30" s="585">
        <f>AJ27-AJ29</f>
        <v>294.01136769217965</v>
      </c>
    </row>
    <row r="31" spans="2:37" ht="19.399999999999999" customHeight="1" x14ac:dyDescent="0.35">
      <c r="B31" s="239"/>
      <c r="C31" s="239"/>
      <c r="D31" s="546"/>
      <c r="E31" s="546"/>
      <c r="F31" s="546"/>
      <c r="G31" s="546"/>
      <c r="H31" s="546"/>
      <c r="I31" s="546"/>
      <c r="J31" s="546"/>
      <c r="K31" s="546"/>
      <c r="L31" s="546"/>
      <c r="M31" s="546"/>
      <c r="N31" s="546"/>
      <c r="O31" s="546"/>
      <c r="P31" s="546"/>
      <c r="Q31" s="546"/>
      <c r="R31" s="546"/>
      <c r="S31" s="546"/>
      <c r="T31" s="546"/>
      <c r="U31" s="546"/>
      <c r="V31" s="546"/>
      <c r="W31" s="546"/>
      <c r="X31" s="546"/>
      <c r="Y31" s="547"/>
      <c r="Z31" s="547"/>
      <c r="AA31" s="547"/>
      <c r="AB31" s="547"/>
      <c r="AC31" s="547"/>
      <c r="AD31" s="547"/>
      <c r="AE31" s="547"/>
      <c r="AF31" s="547"/>
      <c r="AG31" s="547"/>
      <c r="AH31" s="547"/>
    </row>
    <row r="32" spans="2:37" ht="19.399999999999999" customHeight="1" x14ac:dyDescent="0.35">
      <c r="B32" s="239"/>
      <c r="C32" s="239"/>
      <c r="D32" s="546"/>
      <c r="E32" s="546"/>
      <c r="F32" s="546"/>
      <c r="G32" s="546"/>
      <c r="H32" s="546"/>
      <c r="I32" s="546"/>
      <c r="J32" s="546"/>
      <c r="K32" s="546"/>
      <c r="L32" s="546"/>
      <c r="M32" s="546"/>
      <c r="N32" s="546"/>
      <c r="O32" s="546"/>
      <c r="P32" s="546"/>
      <c r="Q32" s="546"/>
      <c r="R32" s="546"/>
      <c r="S32" s="546"/>
      <c r="T32" s="546"/>
      <c r="U32" s="546"/>
      <c r="V32" s="546"/>
      <c r="W32" s="546"/>
      <c r="X32" s="546"/>
      <c r="Y32" s="547"/>
      <c r="Z32" s="547"/>
      <c r="AA32" s="547"/>
      <c r="AB32" s="547"/>
      <c r="AC32" s="547"/>
      <c r="AD32" s="547"/>
      <c r="AE32" s="547"/>
      <c r="AF32" s="547"/>
      <c r="AG32" s="547"/>
      <c r="AH32" s="547"/>
    </row>
    <row r="33" spans="2:34" ht="19.399999999999999" customHeight="1" x14ac:dyDescent="0.35">
      <c r="B33" s="239"/>
      <c r="C33" s="239"/>
      <c r="D33" s="546"/>
      <c r="E33" s="546"/>
      <c r="F33" s="546"/>
      <c r="G33" s="546"/>
      <c r="H33" s="546"/>
      <c r="I33" s="546"/>
      <c r="J33" s="546"/>
      <c r="K33" s="546"/>
      <c r="L33" s="546"/>
      <c r="M33" s="546"/>
      <c r="N33" s="546"/>
      <c r="O33" s="546"/>
      <c r="P33" s="546"/>
      <c r="Q33" s="546"/>
      <c r="R33" s="546"/>
      <c r="S33" s="546"/>
      <c r="T33" s="546"/>
      <c r="U33" s="546"/>
      <c r="V33" s="546"/>
      <c r="W33" s="546"/>
      <c r="X33" s="546"/>
      <c r="Y33" s="547"/>
      <c r="Z33" s="547"/>
      <c r="AA33" s="547"/>
      <c r="AB33" s="547"/>
      <c r="AC33" s="547"/>
      <c r="AD33" s="547"/>
      <c r="AE33" s="547"/>
      <c r="AF33" s="547"/>
      <c r="AG33" s="547"/>
      <c r="AH33" s="547"/>
    </row>
    <row r="34" spans="2:34" ht="19.399999999999999" customHeight="1" x14ac:dyDescent="0.35">
      <c r="B34" s="239"/>
      <c r="C34" s="239"/>
      <c r="D34" s="546"/>
      <c r="E34" s="546"/>
      <c r="F34" s="546"/>
      <c r="G34" s="546"/>
      <c r="H34" s="546"/>
      <c r="I34" s="546"/>
      <c r="J34" s="546"/>
      <c r="K34" s="546"/>
      <c r="L34" s="546"/>
      <c r="M34" s="546"/>
      <c r="N34" s="546"/>
      <c r="O34" s="546"/>
      <c r="P34" s="546"/>
      <c r="Q34" s="546"/>
      <c r="R34" s="546"/>
      <c r="S34" s="546"/>
      <c r="T34" s="546"/>
      <c r="Y34" s="546"/>
      <c r="Z34" s="546"/>
      <c r="AA34" s="546"/>
      <c r="AB34" s="546"/>
      <c r="AC34" s="546"/>
      <c r="AD34" s="546"/>
      <c r="AE34" s="546"/>
      <c r="AF34" s="546"/>
      <c r="AG34" s="546"/>
      <c r="AH34" s="546"/>
    </row>
    <row r="35" spans="2:34" ht="19.399999999999999" customHeight="1" x14ac:dyDescent="0.35">
      <c r="B35" s="239"/>
      <c r="C35" s="239"/>
      <c r="D35" s="546"/>
      <c r="E35" s="546"/>
      <c r="F35" s="546"/>
      <c r="G35" s="546"/>
      <c r="H35" s="546"/>
      <c r="I35" s="546"/>
      <c r="J35" s="546"/>
      <c r="K35" s="546"/>
      <c r="L35" s="546"/>
      <c r="M35" s="546"/>
      <c r="N35" s="546"/>
      <c r="O35" s="546"/>
      <c r="P35" s="546"/>
      <c r="Q35" s="546"/>
      <c r="R35" s="546"/>
      <c r="S35" s="546"/>
      <c r="T35" s="546"/>
      <c r="Y35" s="546"/>
      <c r="Z35" s="546"/>
      <c r="AA35" s="546"/>
      <c r="AB35" s="546"/>
      <c r="AC35" s="546"/>
      <c r="AD35" s="546"/>
      <c r="AE35" s="546"/>
      <c r="AF35" s="546"/>
      <c r="AG35" s="546"/>
      <c r="AH35" s="546"/>
    </row>
    <row r="36" spans="2:34" ht="19" customHeight="1" x14ac:dyDescent="0.35">
      <c r="B36" s="239"/>
      <c r="C36" s="239"/>
      <c r="D36" s="546"/>
      <c r="E36" s="546"/>
      <c r="F36" s="546"/>
      <c r="G36" s="546"/>
      <c r="H36" s="546"/>
      <c r="I36" s="546"/>
      <c r="J36" s="546"/>
      <c r="K36" s="546"/>
      <c r="L36" s="546"/>
      <c r="M36" s="546"/>
      <c r="N36" s="546"/>
      <c r="O36" s="546"/>
      <c r="AG36" s="546"/>
      <c r="AH36" s="546"/>
    </row>
    <row r="37" spans="2:34" ht="19" customHeight="1" x14ac:dyDescent="0.35">
      <c r="B37" s="239"/>
      <c r="C37" s="239"/>
      <c r="D37" s="546"/>
      <c r="E37" s="546"/>
      <c r="F37" s="546"/>
      <c r="G37" s="546"/>
      <c r="H37" s="546"/>
      <c r="I37" s="546"/>
      <c r="J37" s="546"/>
      <c r="K37" s="546"/>
      <c r="L37" s="546"/>
      <c r="M37" s="546"/>
      <c r="N37" s="546"/>
      <c r="O37" s="546"/>
      <c r="AG37" s="546"/>
      <c r="AH37" s="546"/>
    </row>
    <row r="38" spans="2:34" ht="19.399999999999999" customHeight="1" x14ac:dyDescent="0.35">
      <c r="B38" s="239"/>
      <c r="C38" s="239"/>
      <c r="D38" s="546"/>
      <c r="E38" s="546"/>
      <c r="F38" s="546"/>
      <c r="G38" s="546"/>
      <c r="H38" s="546"/>
      <c r="I38" s="546"/>
      <c r="J38" s="546"/>
      <c r="K38" s="546"/>
      <c r="L38" s="546"/>
      <c r="M38" s="546"/>
      <c r="N38" s="546"/>
      <c r="O38" s="546"/>
      <c r="P38" s="546"/>
      <c r="Q38" s="546"/>
      <c r="R38" s="546"/>
      <c r="S38" s="546"/>
      <c r="T38" s="546"/>
      <c r="Y38" s="546"/>
      <c r="Z38" s="546"/>
      <c r="AA38" s="546"/>
      <c r="AB38" s="546"/>
      <c r="AC38" s="546"/>
      <c r="AD38" s="546"/>
      <c r="AE38" s="546"/>
      <c r="AF38" s="546"/>
      <c r="AG38" s="546"/>
      <c r="AH38" s="546"/>
    </row>
    <row r="39" spans="2:34" ht="14.9" customHeight="1" x14ac:dyDescent="0.35">
      <c r="B39" s="580" t="s">
        <v>438</v>
      </c>
      <c r="C39" s="581"/>
      <c r="D39" s="581"/>
      <c r="E39" s="582"/>
      <c r="F39" s="583">
        <v>2021</v>
      </c>
      <c r="G39" s="583">
        <v>2022</v>
      </c>
      <c r="H39" s="583">
        <v>2023</v>
      </c>
      <c r="I39" s="583">
        <v>2024</v>
      </c>
      <c r="J39" s="583">
        <v>2025</v>
      </c>
      <c r="K39" s="583">
        <v>2025</v>
      </c>
      <c r="L39" s="583">
        <v>2027</v>
      </c>
      <c r="M39" s="583">
        <v>2028</v>
      </c>
      <c r="N39" s="583">
        <v>2029</v>
      </c>
      <c r="O39" s="583">
        <v>2030</v>
      </c>
      <c r="P39" s="584">
        <v>2031</v>
      </c>
    </row>
    <row r="40" spans="2:34" ht="15" customHeight="1" x14ac:dyDescent="0.35">
      <c r="B40" s="1356" t="s">
        <v>439</v>
      </c>
      <c r="C40" s="1357"/>
      <c r="D40" s="1357"/>
      <c r="E40" s="1358"/>
      <c r="F40" s="219">
        <v>287</v>
      </c>
      <c r="G40" s="219">
        <v>534</v>
      </c>
      <c r="H40" s="219">
        <v>247</v>
      </c>
      <c r="I40" s="219">
        <v>63</v>
      </c>
      <c r="J40" s="219"/>
      <c r="K40" s="219"/>
      <c r="L40" s="219"/>
      <c r="M40" s="219"/>
      <c r="N40" s="219"/>
      <c r="O40" s="219"/>
      <c r="P40" s="567"/>
    </row>
    <row r="41" spans="2:34" ht="15" customHeight="1" x14ac:dyDescent="0.35">
      <c r="B41" s="1341" t="s">
        <v>440</v>
      </c>
      <c r="C41" s="1342"/>
      <c r="D41" s="1342"/>
      <c r="E41" s="1343"/>
      <c r="F41" s="219">
        <v>0</v>
      </c>
      <c r="G41" s="219">
        <v>0</v>
      </c>
      <c r="H41" s="219">
        <v>756</v>
      </c>
      <c r="I41" s="219">
        <v>1249</v>
      </c>
      <c r="J41" s="219">
        <v>1417</v>
      </c>
      <c r="K41" s="219">
        <v>1522</v>
      </c>
      <c r="L41" s="219">
        <v>1107</v>
      </c>
      <c r="M41" s="219"/>
      <c r="N41" s="219"/>
      <c r="O41" s="219"/>
      <c r="P41" s="567"/>
    </row>
    <row r="42" spans="2:34" x14ac:dyDescent="0.35">
      <c r="B42" s="1341" t="s">
        <v>441</v>
      </c>
      <c r="C42" s="1342"/>
      <c r="D42" s="1342"/>
      <c r="E42" s="1343"/>
      <c r="F42" s="219">
        <v>0</v>
      </c>
      <c r="G42" s="219">
        <v>5</v>
      </c>
      <c r="H42" s="219">
        <v>77</v>
      </c>
      <c r="I42" s="219">
        <v>307</v>
      </c>
      <c r="J42" s="219">
        <v>332</v>
      </c>
      <c r="K42" s="219">
        <v>270</v>
      </c>
      <c r="L42" s="219">
        <v>25</v>
      </c>
      <c r="M42" s="219">
        <v>32</v>
      </c>
      <c r="N42" s="219">
        <v>40</v>
      </c>
      <c r="O42" s="219">
        <v>49</v>
      </c>
      <c r="P42" s="567">
        <v>58</v>
      </c>
    </row>
    <row r="43" spans="2:34" ht="32.9" customHeight="1" x14ac:dyDescent="0.35">
      <c r="B43" s="1353" t="s">
        <v>442</v>
      </c>
      <c r="C43" s="1354"/>
      <c r="D43" s="1354"/>
      <c r="E43" s="1355"/>
      <c r="F43" s="219">
        <v>0</v>
      </c>
      <c r="G43" s="219">
        <v>0</v>
      </c>
      <c r="H43" s="219">
        <v>3768</v>
      </c>
      <c r="I43" s="219">
        <v>3428</v>
      </c>
      <c r="J43" s="219">
        <v>2176</v>
      </c>
      <c r="K43" s="219">
        <v>2304</v>
      </c>
      <c r="L43" s="219">
        <v>2129</v>
      </c>
      <c r="M43" s="219">
        <v>1335</v>
      </c>
      <c r="N43" s="219">
        <v>478</v>
      </c>
      <c r="O43" s="219">
        <v>531</v>
      </c>
      <c r="P43" s="567">
        <v>212</v>
      </c>
    </row>
    <row r="44" spans="2:34" ht="32.9" customHeight="1" x14ac:dyDescent="0.35">
      <c r="B44" s="1353" t="s">
        <v>443</v>
      </c>
      <c r="C44" s="1354"/>
      <c r="D44" s="1354"/>
      <c r="E44" s="1355"/>
      <c r="F44" s="219">
        <v>38</v>
      </c>
      <c r="G44" s="219">
        <v>81</v>
      </c>
      <c r="H44" s="219">
        <v>43</v>
      </c>
      <c r="I44" s="219"/>
      <c r="J44" s="219"/>
      <c r="K44" s="219"/>
      <c r="L44" s="219"/>
      <c r="M44" s="219"/>
      <c r="N44" s="219"/>
      <c r="O44" s="219"/>
      <c r="P44" s="567"/>
    </row>
    <row r="45" spans="2:34" x14ac:dyDescent="0.35">
      <c r="B45" s="1341" t="s">
        <v>444</v>
      </c>
      <c r="C45" s="1342"/>
      <c r="D45" s="1342"/>
      <c r="E45" s="1343"/>
      <c r="F45" s="219"/>
      <c r="G45" s="219"/>
      <c r="H45" s="219"/>
      <c r="I45" s="219">
        <v>-184</v>
      </c>
      <c r="J45" s="219">
        <v>-1830</v>
      </c>
      <c r="K45" s="219">
        <v>-2406</v>
      </c>
      <c r="L45" s="219">
        <v>-2419</v>
      </c>
      <c r="M45" s="219">
        <v>-2467</v>
      </c>
      <c r="N45" s="219">
        <v>-2531</v>
      </c>
      <c r="O45" s="219">
        <v>-2667</v>
      </c>
      <c r="P45" s="567">
        <v>-2809</v>
      </c>
    </row>
    <row r="46" spans="2:34" ht="15.75" customHeight="1" x14ac:dyDescent="0.35">
      <c r="B46" s="1347" t="s">
        <v>445</v>
      </c>
      <c r="C46" s="1348"/>
      <c r="D46" s="1348"/>
      <c r="E46" s="1349"/>
      <c r="F46" s="219">
        <v>6524</v>
      </c>
      <c r="G46" s="219">
        <v>6143</v>
      </c>
      <c r="H46" s="219"/>
      <c r="I46" s="219"/>
      <c r="J46" s="219"/>
      <c r="K46" s="219"/>
      <c r="L46" s="219"/>
      <c r="M46" s="219"/>
      <c r="N46" s="219"/>
      <c r="O46" s="219"/>
      <c r="P46" s="567"/>
    </row>
    <row r="47" spans="2:34" x14ac:dyDescent="0.35">
      <c r="B47" s="1341" t="s">
        <v>446</v>
      </c>
      <c r="C47" s="1342"/>
      <c r="D47" s="1342"/>
      <c r="E47" s="1343"/>
      <c r="F47" s="219">
        <v>50</v>
      </c>
      <c r="G47" s="219">
        <v>175</v>
      </c>
      <c r="H47" s="219">
        <v>25</v>
      </c>
      <c r="I47" s="219"/>
      <c r="J47" s="219"/>
      <c r="K47" s="219"/>
      <c r="L47" s="219"/>
      <c r="M47" s="219"/>
      <c r="N47" s="219"/>
      <c r="O47" s="219"/>
      <c r="P47" s="567"/>
    </row>
    <row r="48" spans="2:34" x14ac:dyDescent="0.35">
      <c r="B48" s="1341" t="s">
        <v>447</v>
      </c>
      <c r="C48" s="1342"/>
      <c r="D48" s="1342"/>
      <c r="E48" s="1343"/>
      <c r="F48" s="219">
        <v>829</v>
      </c>
      <c r="G48" s="219">
        <v>844</v>
      </c>
      <c r="H48" s="219"/>
      <c r="I48" s="219"/>
      <c r="J48" s="219"/>
      <c r="K48" s="219"/>
      <c r="L48" s="219"/>
      <c r="M48" s="219"/>
      <c r="N48" s="219"/>
      <c r="O48" s="219"/>
      <c r="P48" s="567"/>
    </row>
    <row r="49" spans="2:17" x14ac:dyDescent="0.35">
      <c r="B49" s="1350" t="s">
        <v>448</v>
      </c>
      <c r="C49" s="1351"/>
      <c r="D49" s="1351"/>
      <c r="E49" s="1352"/>
      <c r="F49" s="219">
        <f t="shared" ref="F49:P49" si="18">SUM(F40:F48)</f>
        <v>7728</v>
      </c>
      <c r="G49" s="219">
        <f t="shared" si="18"/>
        <v>7782</v>
      </c>
      <c r="H49" s="219">
        <f t="shared" si="18"/>
        <v>4916</v>
      </c>
      <c r="I49" s="219">
        <f t="shared" si="18"/>
        <v>4863</v>
      </c>
      <c r="J49" s="219">
        <f t="shared" si="18"/>
        <v>2095</v>
      </c>
      <c r="K49" s="219">
        <f t="shared" si="18"/>
        <v>1690</v>
      </c>
      <c r="L49" s="219">
        <f t="shared" si="18"/>
        <v>842</v>
      </c>
      <c r="M49" s="219">
        <f t="shared" si="18"/>
        <v>-1100</v>
      </c>
      <c r="N49" s="219">
        <f t="shared" si="18"/>
        <v>-2013</v>
      </c>
      <c r="O49" s="219">
        <f t="shared" si="18"/>
        <v>-2087</v>
      </c>
      <c r="P49" s="567">
        <f t="shared" si="18"/>
        <v>-2539</v>
      </c>
    </row>
    <row r="50" spans="2:17" x14ac:dyDescent="0.35">
      <c r="B50" s="1347" t="s">
        <v>449</v>
      </c>
      <c r="C50" s="1348"/>
      <c r="D50" s="1348"/>
      <c r="E50" s="1349"/>
      <c r="F50" s="219">
        <f t="shared" ref="F50:P50" si="19">F46+F44+F43</f>
        <v>6562</v>
      </c>
      <c r="G50" s="219">
        <f t="shared" si="19"/>
        <v>6224</v>
      </c>
      <c r="H50" s="219">
        <f t="shared" si="19"/>
        <v>3811</v>
      </c>
      <c r="I50" s="219">
        <f t="shared" si="19"/>
        <v>3428</v>
      </c>
      <c r="J50" s="219">
        <f t="shared" si="19"/>
        <v>2176</v>
      </c>
      <c r="K50" s="219">
        <f t="shared" si="19"/>
        <v>2304</v>
      </c>
      <c r="L50" s="219">
        <f t="shared" si="19"/>
        <v>2129</v>
      </c>
      <c r="M50" s="219">
        <f t="shared" si="19"/>
        <v>1335</v>
      </c>
      <c r="N50" s="219">
        <f t="shared" si="19"/>
        <v>478</v>
      </c>
      <c r="O50" s="219">
        <f t="shared" si="19"/>
        <v>531</v>
      </c>
      <c r="P50" s="567">
        <f t="shared" si="19"/>
        <v>212</v>
      </c>
      <c r="Q50" s="239" t="s">
        <v>450</v>
      </c>
    </row>
    <row r="51" spans="2:17" x14ac:dyDescent="0.35">
      <c r="B51" s="1341" t="s">
        <v>451</v>
      </c>
      <c r="C51" s="1342"/>
      <c r="D51" s="1342"/>
      <c r="E51" s="1343"/>
      <c r="F51" s="219">
        <f>(F50/1000)/M27</f>
        <v>9.3091218612569165E-3</v>
      </c>
      <c r="G51" s="219">
        <f>(G50/F50)*F51</f>
        <v>8.8296212228684921E-3</v>
      </c>
      <c r="H51" s="219">
        <f>(H50/G50)*G51+H52</f>
        <v>5.4064406298765782E-3</v>
      </c>
      <c r="I51" s="219">
        <f>(I50/H50)*H51+I52</f>
        <v>4.8631011490991626E-3</v>
      </c>
      <c r="J51" s="219">
        <f>J52</f>
        <v>0</v>
      </c>
      <c r="K51" s="219">
        <f t="shared" ref="K51:L51" si="20">K52</f>
        <v>0</v>
      </c>
      <c r="L51" s="219">
        <f t="shared" si="20"/>
        <v>0</v>
      </c>
      <c r="M51" s="219"/>
      <c r="N51" s="219"/>
      <c r="O51" s="219"/>
      <c r="P51" s="567"/>
      <c r="Q51" s="239" t="s">
        <v>452</v>
      </c>
    </row>
    <row r="52" spans="2:17" ht="29.25" customHeight="1" x14ac:dyDescent="0.35">
      <c r="B52" s="543" t="s">
        <v>893</v>
      </c>
      <c r="C52" s="544"/>
      <c r="D52" s="544"/>
      <c r="E52" s="545"/>
      <c r="F52" s="219"/>
      <c r="G52" s="219"/>
      <c r="H52" s="219"/>
      <c r="I52" s="219"/>
      <c r="J52" s="219"/>
      <c r="K52" s="219"/>
      <c r="L52" s="219"/>
      <c r="M52" s="219"/>
      <c r="N52" s="219"/>
      <c r="O52" s="219"/>
      <c r="P52" s="567"/>
      <c r="Q52" s="239"/>
    </row>
    <row r="53" spans="2:17" x14ac:dyDescent="0.35">
      <c r="B53" s="1344"/>
      <c r="C53" s="1345"/>
      <c r="D53" s="1345"/>
      <c r="E53" s="1346"/>
      <c r="F53" s="561"/>
      <c r="G53" s="561"/>
      <c r="H53" s="561"/>
      <c r="I53" s="561"/>
      <c r="J53" s="561"/>
      <c r="K53" s="561"/>
      <c r="L53" s="561"/>
      <c r="M53" s="561"/>
      <c r="N53" s="561"/>
      <c r="O53" s="561"/>
      <c r="P53" s="568"/>
    </row>
  </sheetData>
  <mergeCells count="36">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E8:H8"/>
    <mergeCell ref="B7:C9"/>
    <mergeCell ref="I8:L8"/>
    <mergeCell ref="B43:E43"/>
    <mergeCell ref="AG8:AJ8"/>
    <mergeCell ref="AG25:AJ25"/>
    <mergeCell ref="B44:E44"/>
    <mergeCell ref="B42:E42"/>
    <mergeCell ref="B40:E40"/>
    <mergeCell ref="I25:L25"/>
    <mergeCell ref="B24:C26"/>
    <mergeCell ref="E25:H25"/>
    <mergeCell ref="B41:E41"/>
    <mergeCell ref="D24:V24"/>
    <mergeCell ref="B45:E45"/>
    <mergeCell ref="B53:E53"/>
    <mergeCell ref="B46:E46"/>
    <mergeCell ref="B47:E47"/>
    <mergeCell ref="B48:E48"/>
    <mergeCell ref="B49:E49"/>
    <mergeCell ref="B50:E50"/>
    <mergeCell ref="B51:E51"/>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N5" activePane="bottomRight" state="frozen"/>
      <selection pane="topRight" activeCell="C1" sqref="C1"/>
      <selection pane="bottomLeft" activeCell="A5" sqref="A5"/>
      <selection pane="bottomRight" activeCell="AB19" sqref="AB19"/>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271" t="s">
        <v>55</v>
      </c>
      <c r="C1" s="1271"/>
      <c r="D1" s="1271"/>
      <c r="E1" s="1271"/>
      <c r="F1" s="1271"/>
      <c r="G1" s="1271"/>
      <c r="H1" s="1271"/>
      <c r="I1" s="1271"/>
      <c r="J1" s="1271"/>
      <c r="K1" s="1271"/>
      <c r="L1" s="1271"/>
      <c r="M1" s="1271"/>
      <c r="N1" s="1271"/>
      <c r="O1" s="1271"/>
      <c r="P1" s="1271"/>
      <c r="Q1" s="1271"/>
      <c r="R1" s="1271"/>
      <c r="S1" s="1271"/>
      <c r="T1" s="1271"/>
      <c r="U1" s="1271"/>
      <c r="V1" s="1271"/>
      <c r="W1" s="1271"/>
      <c r="X1" s="1271"/>
      <c r="Y1" s="1271"/>
      <c r="Z1" s="1271"/>
      <c r="AA1" s="1271"/>
      <c r="AB1" s="1271"/>
      <c r="AC1" s="1271"/>
    </row>
    <row r="2" spans="2:36" ht="14.25" customHeight="1" x14ac:dyDescent="0.35">
      <c r="B2" s="1360" t="s">
        <v>859</v>
      </c>
      <c r="C2" s="1360"/>
      <c r="D2" s="1360"/>
      <c r="E2" s="1360"/>
      <c r="F2" s="1360"/>
      <c r="G2" s="1360"/>
      <c r="H2" s="1360"/>
      <c r="I2" s="1360"/>
      <c r="J2" s="1360"/>
      <c r="K2" s="1360"/>
      <c r="L2" s="1360"/>
      <c r="M2" s="1360"/>
      <c r="N2" s="1360"/>
      <c r="O2" s="1360"/>
      <c r="P2" s="1360"/>
      <c r="Q2" s="1360"/>
      <c r="R2" s="1360"/>
      <c r="S2" s="594"/>
      <c r="T2" s="1361" t="s">
        <v>910</v>
      </c>
      <c r="U2" s="1361"/>
      <c r="V2" s="1361"/>
      <c r="W2" s="1361"/>
      <c r="X2" s="1361"/>
      <c r="Y2" s="1361"/>
      <c r="Z2" s="1361"/>
      <c r="AA2" s="1361"/>
      <c r="AB2" s="1361"/>
      <c r="AC2" s="1361"/>
    </row>
    <row r="3" spans="2:36" x14ac:dyDescent="0.35">
      <c r="B3" s="1360"/>
      <c r="C3" s="1360"/>
      <c r="D3" s="1360"/>
      <c r="E3" s="1360"/>
      <c r="F3" s="1360"/>
      <c r="G3" s="1360"/>
      <c r="H3" s="1360"/>
      <c r="I3" s="1360"/>
      <c r="J3" s="1360"/>
      <c r="K3" s="1360"/>
      <c r="L3" s="1360"/>
      <c r="M3" s="1360"/>
      <c r="N3" s="1360"/>
      <c r="O3" s="1360"/>
      <c r="P3" s="1360"/>
      <c r="Q3" s="1360"/>
      <c r="R3" s="1360"/>
      <c r="S3" s="594"/>
      <c r="T3" s="1361"/>
      <c r="U3" s="1361"/>
      <c r="V3" s="1361"/>
      <c r="W3" s="1361"/>
      <c r="X3" s="1361"/>
      <c r="Y3" s="1361"/>
      <c r="Z3" s="1361"/>
      <c r="AA3" s="1361"/>
      <c r="AB3" s="1361"/>
      <c r="AC3" s="1361"/>
    </row>
    <row r="4" spans="2:36" ht="21" customHeight="1" x14ac:dyDescent="0.35">
      <c r="B4" s="1360"/>
      <c r="C4" s="1360"/>
      <c r="D4" s="1360"/>
      <c r="E4" s="1360"/>
      <c r="F4" s="1360"/>
      <c r="G4" s="1360"/>
      <c r="H4" s="1360"/>
      <c r="I4" s="1360"/>
      <c r="J4" s="1360"/>
      <c r="K4" s="1360"/>
      <c r="L4" s="1360"/>
      <c r="M4" s="1360"/>
      <c r="N4" s="1360"/>
      <c r="O4" s="1360"/>
      <c r="P4" s="1360"/>
      <c r="Q4" s="1360"/>
      <c r="R4" s="1360"/>
      <c r="S4" s="594"/>
      <c r="T4" s="1361"/>
      <c r="U4" s="1361"/>
      <c r="V4" s="1361"/>
      <c r="W4" s="1361"/>
      <c r="X4" s="1361"/>
      <c r="Y4" s="1361"/>
      <c r="Z4" s="1361"/>
      <c r="AA4" s="1361"/>
      <c r="AB4" s="1361"/>
      <c r="AC4" s="1361"/>
    </row>
    <row r="6" spans="2:36" x14ac:dyDescent="0.35">
      <c r="B6" s="512" t="s">
        <v>332</v>
      </c>
    </row>
    <row r="7" spans="2:36" ht="14.9" customHeight="1" x14ac:dyDescent="0.35">
      <c r="B7" s="1276" t="s">
        <v>403</v>
      </c>
      <c r="C7" s="1277"/>
      <c r="D7" s="1280" t="s">
        <v>279</v>
      </c>
      <c r="E7" s="1290"/>
      <c r="F7" s="1290"/>
      <c r="G7" s="1290"/>
      <c r="H7" s="1290"/>
      <c r="I7" s="1290"/>
      <c r="J7" s="1290"/>
      <c r="K7" s="1290"/>
      <c r="L7" s="1290"/>
      <c r="M7" s="1290"/>
      <c r="N7" s="1290"/>
      <c r="O7" s="1290"/>
      <c r="P7" s="1290"/>
      <c r="Q7" s="1290"/>
      <c r="R7" s="1290"/>
      <c r="S7" s="1290"/>
      <c r="T7" s="1290"/>
      <c r="U7" s="1291"/>
      <c r="V7" s="1279"/>
      <c r="W7" s="1302" t="s">
        <v>280</v>
      </c>
      <c r="X7" s="1303"/>
      <c r="Y7" s="1303"/>
      <c r="Z7" s="1303"/>
      <c r="AA7" s="1303"/>
      <c r="AB7" s="1303"/>
      <c r="AC7" s="1303"/>
      <c r="AD7" s="1303"/>
      <c r="AE7" s="1303"/>
      <c r="AF7" s="1303"/>
      <c r="AG7" s="1303"/>
      <c r="AH7" s="1303"/>
      <c r="AI7" s="1303"/>
      <c r="AJ7" s="1303"/>
    </row>
    <row r="8" spans="2:36" x14ac:dyDescent="0.35">
      <c r="B8" s="1278"/>
      <c r="C8" s="1279"/>
      <c r="D8" s="215">
        <v>2018</v>
      </c>
      <c r="E8" s="1282">
        <v>2019</v>
      </c>
      <c r="F8" s="1283"/>
      <c r="G8" s="1283"/>
      <c r="H8" s="1284"/>
      <c r="I8" s="1282">
        <v>2020</v>
      </c>
      <c r="J8" s="1283"/>
      <c r="K8" s="1283"/>
      <c r="L8" s="1283"/>
      <c r="M8" s="1282">
        <v>2021</v>
      </c>
      <c r="N8" s="1283"/>
      <c r="O8" s="1283"/>
      <c r="P8" s="1305"/>
      <c r="Q8" s="1282">
        <v>2022</v>
      </c>
      <c r="R8" s="1305"/>
      <c r="S8" s="1305"/>
      <c r="T8" s="1305"/>
      <c r="U8" s="238"/>
      <c r="V8" s="284">
        <v>2023</v>
      </c>
      <c r="W8" s="285"/>
      <c r="X8" s="257"/>
      <c r="Y8" s="1269">
        <v>2024</v>
      </c>
      <c r="Z8" s="1292"/>
      <c r="AA8" s="1292"/>
      <c r="AB8" s="1270"/>
      <c r="AC8" s="1268">
        <v>2025</v>
      </c>
      <c r="AD8" s="1292"/>
      <c r="AE8" s="1292"/>
      <c r="AF8" s="1270"/>
      <c r="AG8" s="1268">
        <v>2026</v>
      </c>
      <c r="AH8" s="1292"/>
      <c r="AI8" s="1292"/>
      <c r="AJ8" s="1270"/>
    </row>
    <row r="9" spans="2:36" x14ac:dyDescent="0.35">
      <c r="B9" s="1280"/>
      <c r="C9" s="1281"/>
      <c r="D9" s="212" t="s">
        <v>281</v>
      </c>
      <c r="E9" s="212" t="s">
        <v>282</v>
      </c>
      <c r="F9" s="213" t="s">
        <v>283</v>
      </c>
      <c r="G9" s="213" t="s">
        <v>238</v>
      </c>
      <c r="H9" s="214" t="s">
        <v>281</v>
      </c>
      <c r="I9" s="213" t="s">
        <v>282</v>
      </c>
      <c r="J9" s="213" t="s">
        <v>283</v>
      </c>
      <c r="K9" s="213" t="s">
        <v>238</v>
      </c>
      <c r="L9" s="213" t="s">
        <v>281</v>
      </c>
      <c r="M9" s="212" t="s">
        <v>282</v>
      </c>
      <c r="N9" s="213" t="s">
        <v>283</v>
      </c>
      <c r="O9" s="213" t="s">
        <v>238</v>
      </c>
      <c r="P9" s="213" t="s">
        <v>281</v>
      </c>
      <c r="Q9" s="212" t="s">
        <v>282</v>
      </c>
      <c r="R9" s="213" t="s">
        <v>283</v>
      </c>
      <c r="S9" s="213" t="s">
        <v>238</v>
      </c>
      <c r="T9" s="213" t="s">
        <v>281</v>
      </c>
      <c r="U9" s="281" t="s">
        <v>282</v>
      </c>
      <c r="V9" s="282" t="s">
        <v>283</v>
      </c>
      <c r="W9" s="267" t="s">
        <v>238</v>
      </c>
      <c r="X9" s="268" t="s">
        <v>281</v>
      </c>
      <c r="Y9" s="267" t="s">
        <v>282</v>
      </c>
      <c r="Z9" s="264" t="s">
        <v>283</v>
      </c>
      <c r="AA9" s="267" t="s">
        <v>238</v>
      </c>
      <c r="AB9" s="267" t="s">
        <v>281</v>
      </c>
      <c r="AC9" s="266" t="s">
        <v>282</v>
      </c>
      <c r="AD9" s="264" t="s">
        <v>283</v>
      </c>
      <c r="AE9" s="267" t="s">
        <v>238</v>
      </c>
      <c r="AF9" s="267" t="s">
        <v>281</v>
      </c>
      <c r="AG9" s="266" t="s">
        <v>282</v>
      </c>
      <c r="AH9" s="264" t="s">
        <v>283</v>
      </c>
      <c r="AI9" s="267" t="s">
        <v>238</v>
      </c>
      <c r="AJ9" s="268" t="s">
        <v>281</v>
      </c>
    </row>
    <row r="10" spans="2:36" ht="14.9" customHeight="1" x14ac:dyDescent="0.35">
      <c r="B10" s="599" t="s">
        <v>453</v>
      </c>
      <c r="C10" s="57" t="s">
        <v>906</v>
      </c>
      <c r="D10" s="573">
        <f>'Haver Pivoted'!GO12</f>
        <v>755</v>
      </c>
      <c r="E10" s="574">
        <f>'Haver Pivoted'!GP12</f>
        <v>773.5</v>
      </c>
      <c r="F10" s="574">
        <f>'Haver Pivoted'!GQ12</f>
        <v>788.5</v>
      </c>
      <c r="G10" s="574">
        <f>'Haver Pivoted'!GR12</f>
        <v>798</v>
      </c>
      <c r="H10" s="574">
        <f>'Haver Pivoted'!GS12</f>
        <v>802</v>
      </c>
      <c r="I10" s="574">
        <f>'Haver Pivoted'!GT12</f>
        <v>801.9</v>
      </c>
      <c r="J10" s="574">
        <f>'Haver Pivoted'!GU12</f>
        <v>814.3</v>
      </c>
      <c r="K10" s="574">
        <f>'Haver Pivoted'!GV12</f>
        <v>826.6</v>
      </c>
      <c r="L10" s="574">
        <f>'Haver Pivoted'!GW12</f>
        <v>838.8</v>
      </c>
      <c r="M10" s="574">
        <f>'Haver Pivoted'!GX12</f>
        <v>854.9</v>
      </c>
      <c r="N10" s="574">
        <f>'Haver Pivoted'!GY12</f>
        <v>871.2</v>
      </c>
      <c r="O10" s="574">
        <f>'Haver Pivoted'!GZ12</f>
        <v>887.1</v>
      </c>
      <c r="P10" s="574">
        <f>'Haver Pivoted'!HA12</f>
        <v>902.4</v>
      </c>
      <c r="Q10" s="574">
        <f>'Haver Pivoted'!HB12</f>
        <v>917.6</v>
      </c>
      <c r="R10" s="574">
        <f>'Haver Pivoted'!HC12</f>
        <v>926.6</v>
      </c>
      <c r="S10" s="575">
        <f>'Haver Pivoted'!HD12</f>
        <v>937.4</v>
      </c>
      <c r="T10" s="559">
        <f>'Haver Pivoted'!HE12</f>
        <v>958.5</v>
      </c>
      <c r="U10" s="597">
        <f>'Haver Pivoted'!HF12</f>
        <v>981.1</v>
      </c>
      <c r="V10" s="575">
        <f>'Haver Pivoted'!HG12</f>
        <v>1001.8</v>
      </c>
      <c r="W10" s="575">
        <f>'Haver Pivoted'!HH12</f>
        <v>1019.9</v>
      </c>
      <c r="X10" s="575">
        <f>'Haver Pivoted'!HI12</f>
        <v>1035.3</v>
      </c>
      <c r="Y10" s="575">
        <f>'Haver Pivoted'!HJ12</f>
        <v>1049.2</v>
      </c>
      <c r="Z10" s="575">
        <f>'Haver Pivoted'!HK12</f>
        <v>1067.0999999999999</v>
      </c>
      <c r="AA10" s="575">
        <f>'Haver Pivoted'!HL12</f>
        <v>1090.2</v>
      </c>
      <c r="AB10" s="586">
        <f>AA10*(1+AB13)+AB12</f>
        <v>1116.0159349148526</v>
      </c>
      <c r="AC10" s="586">
        <f t="shared" ref="AC10:AE10" si="0">AB10*(1+AC13)+AC12</f>
        <v>1130.1590311547368</v>
      </c>
      <c r="AD10" s="586">
        <f t="shared" si="0"/>
        <v>1144.4813606519542</v>
      </c>
      <c r="AE10" s="586">
        <f t="shared" si="0"/>
        <v>1158.9851948016783</v>
      </c>
      <c r="AF10" s="586">
        <f>AE10*(1+AF13)+AF12</f>
        <v>1177.2271936647621</v>
      </c>
      <c r="AG10" s="586">
        <f>AF10*(1+AG13)+AG12</f>
        <v>1195.7563148517663</v>
      </c>
      <c r="AH10" s="586">
        <f t="shared" ref="AH10:AI10" si="1">AG10*(1+AH13)+AH12</f>
        <v>1214.5770775620128</v>
      </c>
      <c r="AI10" s="586">
        <f t="shared" si="1"/>
        <v>1233.6940721253518</v>
      </c>
      <c r="AJ10" s="586">
        <f>AI10*(1+AJ13)+AJ12</f>
        <v>1255.2339589494925</v>
      </c>
    </row>
    <row r="11" spans="2:36" ht="28.5" customHeight="1" x14ac:dyDescent="0.35">
      <c r="B11" s="624" t="s">
        <v>908</v>
      </c>
      <c r="C11" s="614" t="s">
        <v>519</v>
      </c>
      <c r="D11" s="625"/>
      <c r="E11" s="611"/>
      <c r="F11" s="611"/>
      <c r="G11" s="611"/>
      <c r="H11" s="611"/>
      <c r="I11" s="611"/>
      <c r="J11" s="612">
        <f>'Haver Pivoted'!GU46</f>
        <v>9.6</v>
      </c>
      <c r="K11" s="612">
        <f>'Haver Pivoted'!GV46</f>
        <v>14.4</v>
      </c>
      <c r="L11" s="612">
        <f>'Haver Pivoted'!GW46</f>
        <v>14.3</v>
      </c>
      <c r="M11" s="612">
        <f>'Haver Pivoted'!GX46</f>
        <v>15</v>
      </c>
      <c r="N11" s="612">
        <f>'Haver Pivoted'!GY46</f>
        <v>15.3</v>
      </c>
      <c r="O11" s="612">
        <f>'Haver Pivoted'!GZ46</f>
        <v>15.6</v>
      </c>
      <c r="P11" s="612">
        <f>'Haver Pivoted'!HA46</f>
        <v>15.7</v>
      </c>
      <c r="Q11" s="612">
        <f>'Haver Pivoted'!HB46</f>
        <v>15.8</v>
      </c>
      <c r="R11" s="612">
        <f>'Haver Pivoted'!HC46</f>
        <v>7.9</v>
      </c>
      <c r="S11" s="542">
        <f>'Haver Pivoted'!HD46</f>
        <v>0</v>
      </c>
      <c r="T11" s="542">
        <f>'Haver Pivoted'!HE46</f>
        <v>0</v>
      </c>
      <c r="U11" s="542">
        <f>'Haver Pivoted'!HF46</f>
        <v>0</v>
      </c>
      <c r="V11" s="542">
        <f>'Haver Pivoted'!HG46</f>
        <v>0</v>
      </c>
      <c r="W11" s="542">
        <f>'Haver Pivoted'!HH46</f>
        <v>0</v>
      </c>
      <c r="X11" s="542">
        <f>'Haver Pivoted'!HI46</f>
        <v>0</v>
      </c>
      <c r="Y11" s="542">
        <f>'Haver Pivoted'!HJ46</f>
        <v>0</v>
      </c>
      <c r="Z11" s="542">
        <f>'Haver Pivoted'!HK46</f>
        <v>0</v>
      </c>
      <c r="AA11" s="542">
        <f>'Haver Pivoted'!HL46</f>
        <v>0</v>
      </c>
      <c r="AB11" s="601"/>
      <c r="AC11" s="601"/>
      <c r="AD11" s="601"/>
      <c r="AE11" s="601"/>
      <c r="AF11" s="601"/>
      <c r="AG11" s="601"/>
      <c r="AH11" s="601"/>
      <c r="AI11" s="601"/>
      <c r="AJ11" s="601"/>
    </row>
    <row r="12" spans="2:36" x14ac:dyDescent="0.35">
      <c r="B12" s="624" t="s">
        <v>1838</v>
      </c>
      <c r="C12" s="614"/>
      <c r="D12" s="625"/>
      <c r="E12" s="611"/>
      <c r="F12" s="611"/>
      <c r="G12" s="611"/>
      <c r="H12" s="611"/>
      <c r="I12" s="611"/>
      <c r="J12" s="612"/>
      <c r="K12" s="612"/>
      <c r="L12" s="612"/>
      <c r="M12" s="612"/>
      <c r="N12" s="612"/>
      <c r="O12" s="612"/>
      <c r="P12" s="612"/>
      <c r="Q12" s="612"/>
      <c r="R12" s="612"/>
      <c r="S12" s="542"/>
      <c r="T12" s="542"/>
      <c r="U12" s="542"/>
      <c r="V12" s="542"/>
      <c r="W12" s="399">
        <v>-7</v>
      </c>
      <c r="X12" s="601"/>
      <c r="Y12" s="601">
        <v>-13.3</v>
      </c>
      <c r="Z12" s="601">
        <v>-8</v>
      </c>
      <c r="AA12" s="601">
        <v>-2</v>
      </c>
      <c r="AB12" s="601">
        <v>12</v>
      </c>
      <c r="AC12" s="601"/>
      <c r="AD12" s="601"/>
      <c r="AE12" s="601"/>
      <c r="AF12" s="601"/>
      <c r="AG12" s="601"/>
      <c r="AH12" s="601"/>
      <c r="AI12" s="601"/>
      <c r="AJ12" s="601"/>
    </row>
    <row r="13" spans="2:36" x14ac:dyDescent="0.35">
      <c r="B13" s="617" t="s">
        <v>454</v>
      </c>
      <c r="C13" s="616"/>
      <c r="D13" s="591"/>
      <c r="E13" s="551"/>
      <c r="F13" s="551"/>
      <c r="G13" s="551"/>
      <c r="H13" s="551"/>
      <c r="I13" s="551"/>
      <c r="J13" s="577"/>
      <c r="K13" s="577"/>
      <c r="L13" s="577"/>
      <c r="M13" s="577"/>
      <c r="N13" s="577">
        <f>(1 + $E$26)^0.25-1</f>
        <v>0</v>
      </c>
      <c r="O13" s="577">
        <f>(1 + $E$26)^0.25-1</f>
        <v>0</v>
      </c>
      <c r="P13" s="577">
        <f>(1 + $F$26)^0.25-1</f>
        <v>3.0584654007782985E-2</v>
      </c>
      <c r="Q13" s="577">
        <f>(1 +$F$26)^0.25-1</f>
        <v>3.0584654007782985E-2</v>
      </c>
      <c r="R13" s="577">
        <f>(1 +$F$26)^0.25-1</f>
        <v>3.0584654007782985E-2</v>
      </c>
      <c r="S13" s="613">
        <f>(1 +$F$26)^0.25-1</f>
        <v>3.0584654007782985E-2</v>
      </c>
      <c r="T13" s="613">
        <f>(1 +$G$26)^0.25-1</f>
        <v>1.0343738735768992E-2</v>
      </c>
      <c r="U13" s="613">
        <f>(1 +$G$26)^0.25-1</f>
        <v>1.0343738735768992E-2</v>
      </c>
      <c r="V13" s="613">
        <f>(1 +$G$26)^0.25-1</f>
        <v>1.0343738735768992E-2</v>
      </c>
      <c r="W13" s="577">
        <f>(1 +$G$26)^0.25-1</f>
        <v>1.0343738735768992E-2</v>
      </c>
      <c r="X13" s="602">
        <f>(1 +$H$26)^0.25-1</f>
        <v>2.4096170019920038E-2</v>
      </c>
      <c r="Y13" s="595">
        <f t="shared" ref="Y13:AA13" si="2">(1 +$H$26)^0.25-1</f>
        <v>2.4096170019920038E-2</v>
      </c>
      <c r="Z13" s="595">
        <f t="shared" si="2"/>
        <v>2.4096170019920038E-2</v>
      </c>
      <c r="AA13" s="595">
        <f t="shared" si="2"/>
        <v>2.4096170019920038E-2</v>
      </c>
      <c r="AB13" s="602">
        <f>(1 +$I$26)^0.25-1</f>
        <v>1.2672844354111534E-2</v>
      </c>
      <c r="AC13" s="595">
        <f>(1 +$I$26)^0.25-1</f>
        <v>1.2672844354111534E-2</v>
      </c>
      <c r="AD13" s="595">
        <f t="shared" ref="AD13:AE13" si="3">(1 +$I$26)^0.25-1</f>
        <v>1.2672844354111534E-2</v>
      </c>
      <c r="AE13" s="595">
        <f t="shared" si="3"/>
        <v>1.2672844354111534E-2</v>
      </c>
      <c r="AF13" s="602">
        <f>(1 +$J$26)^0.25-1</f>
        <v>1.5739630622464862E-2</v>
      </c>
      <c r="AG13" s="595">
        <f>(1 +$J$26)^0.25-1</f>
        <v>1.5739630622464862E-2</v>
      </c>
      <c r="AH13" s="595">
        <f>(1 +$J$26)^0.25-1</f>
        <v>1.5739630622464862E-2</v>
      </c>
      <c r="AI13" s="595">
        <f>(1 +$J$26)^0.25-1</f>
        <v>1.5739630622464862E-2</v>
      </c>
      <c r="AJ13" s="602">
        <f>(1 +$K$26)^0.25-1</f>
        <v>1.7459666306925525E-2</v>
      </c>
    </row>
    <row r="14" spans="2:36" ht="15.75" customHeight="1" x14ac:dyDescent="0.35">
      <c r="B14" s="615"/>
      <c r="C14" s="600"/>
      <c r="D14" s="546"/>
      <c r="E14" s="546"/>
      <c r="F14" s="546"/>
      <c r="G14" s="546"/>
      <c r="H14" s="546"/>
      <c r="I14" s="546"/>
      <c r="J14" s="555"/>
      <c r="K14" s="555"/>
      <c r="L14" s="555"/>
      <c r="M14" s="555"/>
    </row>
    <row r="15" spans="2:36" ht="15.75" customHeight="1" x14ac:dyDescent="0.35">
      <c r="B15" s="615"/>
      <c r="C15" s="600"/>
      <c r="D15" s="546"/>
      <c r="E15" s="515">
        <f t="shared" ref="E15:X15" si="4">E10-D10</f>
        <v>18.5</v>
      </c>
      <c r="F15" s="515">
        <f t="shared" si="4"/>
        <v>15</v>
      </c>
      <c r="G15" s="515">
        <f t="shared" si="4"/>
        <v>9.5</v>
      </c>
      <c r="H15" s="515">
        <f t="shared" si="4"/>
        <v>4</v>
      </c>
      <c r="I15" s="515">
        <f t="shared" si="4"/>
        <v>-0.10000000000002274</v>
      </c>
      <c r="J15" s="515">
        <f t="shared" si="4"/>
        <v>12.399999999999977</v>
      </c>
      <c r="K15" s="515">
        <f t="shared" si="4"/>
        <v>12.300000000000068</v>
      </c>
      <c r="L15" s="515">
        <f t="shared" si="4"/>
        <v>12.199999999999932</v>
      </c>
      <c r="M15" s="515">
        <f t="shared" si="4"/>
        <v>16.100000000000023</v>
      </c>
      <c r="N15" s="515">
        <f t="shared" si="4"/>
        <v>16.300000000000068</v>
      </c>
      <c r="O15" s="515">
        <f>O10-N10</f>
        <v>15.899999999999977</v>
      </c>
      <c r="P15" s="515">
        <f t="shared" si="4"/>
        <v>15.299999999999955</v>
      </c>
      <c r="Q15" s="515">
        <f t="shared" si="4"/>
        <v>15.200000000000045</v>
      </c>
      <c r="R15" s="515">
        <f t="shared" si="4"/>
        <v>9</v>
      </c>
      <c r="S15" s="515">
        <f t="shared" si="4"/>
        <v>10.799999999999955</v>
      </c>
      <c r="T15" s="515">
        <f t="shared" si="4"/>
        <v>21.100000000000023</v>
      </c>
      <c r="U15" s="515">
        <f t="shared" si="4"/>
        <v>22.600000000000023</v>
      </c>
      <c r="V15" s="515">
        <f t="shared" si="4"/>
        <v>20.699999999999932</v>
      </c>
      <c r="W15" s="515">
        <f t="shared" si="4"/>
        <v>18.100000000000023</v>
      </c>
      <c r="X15" s="515">
        <f t="shared" si="4"/>
        <v>15.399999999999977</v>
      </c>
      <c r="Y15" s="515">
        <f>Y10-X10</f>
        <v>13.900000000000091</v>
      </c>
      <c r="Z15" s="515">
        <f t="shared" ref="Z15:AG15" si="5">Z10-Y10</f>
        <v>17.899999999999864</v>
      </c>
      <c r="AA15" s="515">
        <f t="shared" si="5"/>
        <v>23.100000000000136</v>
      </c>
      <c r="AB15" s="515">
        <f t="shared" si="5"/>
        <v>25.815934914852505</v>
      </c>
      <c r="AC15" s="515">
        <f t="shared" si="5"/>
        <v>14.143096239884244</v>
      </c>
      <c r="AD15" s="515">
        <f t="shared" si="5"/>
        <v>14.322329497217424</v>
      </c>
      <c r="AE15" s="515">
        <f t="shared" si="5"/>
        <v>14.503834149724071</v>
      </c>
      <c r="AF15" s="515">
        <f t="shared" si="5"/>
        <v>18.241998863083836</v>
      </c>
      <c r="AG15" s="515">
        <f t="shared" si="5"/>
        <v>18.529121187004193</v>
      </c>
    </row>
    <row r="16" spans="2:36" ht="15.75" customHeight="1" x14ac:dyDescent="0.35">
      <c r="B16" s="615"/>
      <c r="C16" s="600"/>
      <c r="D16" s="546"/>
      <c r="E16" s="546"/>
      <c r="F16" s="546"/>
      <c r="G16" s="546"/>
      <c r="H16" s="546"/>
      <c r="I16" s="546"/>
      <c r="J16" s="555"/>
      <c r="K16" s="555"/>
      <c r="L16" s="555"/>
    </row>
    <row r="17" spans="2:32" x14ac:dyDescent="0.35">
      <c r="B17" s="615"/>
      <c r="C17" s="600"/>
      <c r="D17" s="546"/>
      <c r="E17" s="546"/>
      <c r="F17" s="546"/>
      <c r="G17" s="546"/>
      <c r="H17" s="546"/>
      <c r="I17" s="546"/>
      <c r="J17" s="555"/>
      <c r="K17" s="555"/>
      <c r="L17" s="555"/>
    </row>
    <row r="18" spans="2:32" x14ac:dyDescent="0.35">
      <c r="B18" s="615"/>
      <c r="C18" s="600"/>
      <c r="D18" s="546"/>
      <c r="E18" s="546"/>
      <c r="F18" s="546"/>
      <c r="G18" s="546"/>
      <c r="H18" s="546"/>
      <c r="I18" s="546"/>
      <c r="J18" s="555"/>
      <c r="K18" s="555"/>
      <c r="L18" s="555"/>
      <c r="N18" s="515"/>
      <c r="R18" s="515"/>
      <c r="V18" s="515"/>
      <c r="Z18" s="515"/>
    </row>
    <row r="19" spans="2:32" ht="14.9" customHeight="1" x14ac:dyDescent="0.35">
      <c r="B19" s="512" t="s">
        <v>351</v>
      </c>
      <c r="H19" t="s">
        <v>1926</v>
      </c>
    </row>
    <row r="20" spans="2:32" x14ac:dyDescent="0.35">
      <c r="B20" s="621" t="s">
        <v>431</v>
      </c>
      <c r="C20" s="621">
        <v>2019</v>
      </c>
      <c r="D20" s="622">
        <v>2020</v>
      </c>
      <c r="E20" s="622">
        <v>2021</v>
      </c>
      <c r="F20" s="622">
        <v>2022</v>
      </c>
      <c r="G20" s="622">
        <v>2023</v>
      </c>
      <c r="H20" s="623">
        <v>2024</v>
      </c>
      <c r="I20" s="623">
        <v>2025</v>
      </c>
      <c r="J20" s="623">
        <v>2026</v>
      </c>
      <c r="K20" s="623">
        <v>2027</v>
      </c>
    </row>
    <row r="21" spans="2:32" ht="21" customHeight="1" x14ac:dyDescent="0.35">
      <c r="B21" s="607" t="s">
        <v>1927</v>
      </c>
      <c r="C21" s="605"/>
      <c r="D21" s="606"/>
      <c r="E21" s="627">
        <v>867.67600000000004</v>
      </c>
      <c r="F21" s="263">
        <v>974.649</v>
      </c>
      <c r="G21" s="263">
        <v>1008.504</v>
      </c>
      <c r="H21" s="263">
        <v>1088.6869999999999</v>
      </c>
      <c r="I21" s="263">
        <v>1144.932</v>
      </c>
      <c r="J21" s="598">
        <v>1218.7349999999999</v>
      </c>
      <c r="K21" s="604">
        <v>1306.105</v>
      </c>
      <c r="L21" s="604">
        <v>1395.152</v>
      </c>
      <c r="M21" s="604">
        <v>1492.1469999999999</v>
      </c>
      <c r="N21" s="604">
        <v>1600.472</v>
      </c>
      <c r="O21" s="604">
        <v>1717.546</v>
      </c>
      <c r="P21" s="399">
        <v>1841.902</v>
      </c>
      <c r="Q21" s="399">
        <v>1996.52</v>
      </c>
      <c r="R21" s="399">
        <v>2149.098</v>
      </c>
      <c r="S21" s="399"/>
      <c r="T21" s="399"/>
      <c r="U21" s="399"/>
      <c r="V21" s="399"/>
      <c r="W21" s="399"/>
      <c r="X21" s="399"/>
      <c r="Y21" s="399"/>
      <c r="Z21" s="399"/>
      <c r="AA21" s="399"/>
      <c r="AB21" s="399"/>
      <c r="AC21" s="399"/>
    </row>
    <row r="22" spans="2:32" ht="21" customHeight="1" x14ac:dyDescent="0.35">
      <c r="B22" s="608"/>
      <c r="C22" s="603"/>
      <c r="D22" s="604"/>
      <c r="E22" s="263">
        <f>AVERAGE(L10:O10)</f>
        <v>862.99999999999989</v>
      </c>
      <c r="F22" s="263">
        <f>AVERAGE(P10:S10)</f>
        <v>921</v>
      </c>
      <c r="G22" s="263">
        <f>AVERAGE(T10:W10)</f>
        <v>990.32499999999993</v>
      </c>
      <c r="H22" s="263">
        <f>AVERAGE(X10:AA10)</f>
        <v>1060.45</v>
      </c>
      <c r="I22" s="263">
        <f>AVERAGE(AB10:AE10)</f>
        <v>1137.4103803808055</v>
      </c>
      <c r="J22" s="596">
        <f>AVERAGE(AF10:AI10)</f>
        <v>1205.3136645509735</v>
      </c>
      <c r="K22" s="604"/>
      <c r="L22" s="604"/>
      <c r="M22" s="604"/>
      <c r="N22" s="604"/>
      <c r="O22" s="604"/>
      <c r="P22" s="399"/>
      <c r="Q22" s="399"/>
      <c r="R22" s="399"/>
      <c r="S22" s="399"/>
      <c r="T22" s="399"/>
      <c r="U22" s="399"/>
      <c r="V22" s="399"/>
      <c r="W22" s="399"/>
      <c r="X22" s="399"/>
      <c r="Y22" s="399"/>
      <c r="Z22" s="399"/>
      <c r="AA22" s="399"/>
      <c r="AB22" s="399"/>
      <c r="AC22" s="399"/>
    </row>
    <row r="23" spans="2:32" ht="21" customHeight="1" x14ac:dyDescent="0.35">
      <c r="B23" s="626" t="s">
        <v>455</v>
      </c>
      <c r="C23" s="239"/>
      <c r="D23" s="239">
        <v>47</v>
      </c>
      <c r="E23" s="239">
        <v>48</v>
      </c>
      <c r="F23" s="57">
        <v>-50</v>
      </c>
      <c r="G23" s="57">
        <v>-45</v>
      </c>
      <c r="H23" s="57"/>
      <c r="I23" s="57"/>
      <c r="J23" s="619">
        <f>SUM(D23:G23)</f>
        <v>0</v>
      </c>
      <c r="K23">
        <v>0</v>
      </c>
      <c r="M23" s="604"/>
      <c r="N23" s="604"/>
      <c r="O23" s="604"/>
      <c r="P23" s="399"/>
      <c r="Q23" s="399"/>
      <c r="R23" s="399"/>
      <c r="S23" s="399"/>
      <c r="T23" s="399"/>
      <c r="U23" s="399"/>
      <c r="V23" s="399"/>
      <c r="W23" s="399"/>
      <c r="X23" s="399"/>
      <c r="Y23" s="399"/>
      <c r="Z23" s="399"/>
      <c r="AA23" s="399"/>
      <c r="AB23" s="399"/>
      <c r="AC23" s="399"/>
    </row>
    <row r="24" spans="2:32" x14ac:dyDescent="0.35">
      <c r="B24" s="626" t="s">
        <v>1377</v>
      </c>
      <c r="C24" s="603"/>
      <c r="D24" s="603"/>
      <c r="E24" s="603">
        <f>E21-E23</f>
        <v>819.67600000000004</v>
      </c>
      <c r="F24" s="603">
        <f>F21+F23</f>
        <v>924.649</v>
      </c>
      <c r="G24" s="603">
        <f>G21+G23</f>
        <v>963.50400000000002</v>
      </c>
      <c r="H24" s="603">
        <f>H21+H23</f>
        <v>1088.6869999999999</v>
      </c>
      <c r="I24" s="603">
        <f>I21+I23</f>
        <v>1144.932</v>
      </c>
      <c r="J24" s="603">
        <f t="shared" ref="J24:K24" si="6">J21+J23</f>
        <v>1218.7349999999999</v>
      </c>
      <c r="K24" s="603">
        <f t="shared" si="6"/>
        <v>1306.105</v>
      </c>
      <c r="N24" s="620"/>
      <c r="O24" s="600"/>
      <c r="P24" s="399"/>
      <c r="Q24" s="399"/>
      <c r="R24" s="399"/>
      <c r="S24" s="399"/>
      <c r="T24" s="399"/>
      <c r="U24" s="399"/>
      <c r="V24" s="399"/>
      <c r="W24" s="399"/>
      <c r="X24" s="399"/>
      <c r="Y24" s="399"/>
      <c r="Z24" s="399"/>
      <c r="AA24" s="399"/>
      <c r="AB24" s="399"/>
      <c r="AC24" s="399"/>
    </row>
    <row r="25" spans="2:32" x14ac:dyDescent="0.35">
      <c r="B25" s="626" t="s">
        <v>457</v>
      </c>
      <c r="C25" s="224">
        <f>AVERAGE(D10:G10)</f>
        <v>778.75</v>
      </c>
      <c r="D25" s="224">
        <f>AVERAGE(H10:K10)</f>
        <v>811.19999999999993</v>
      </c>
      <c r="E25" s="603">
        <f>AVERAGE(L10:O10)</f>
        <v>862.99999999999989</v>
      </c>
      <c r="F25" s="57"/>
      <c r="G25" s="57"/>
      <c r="H25" s="57"/>
      <c r="I25" s="57"/>
      <c r="J25" s="619"/>
      <c r="L25" s="239" t="s">
        <v>456</v>
      </c>
      <c r="P25" s="399"/>
      <c r="Q25" s="399"/>
      <c r="R25" s="399"/>
      <c r="S25" s="399"/>
      <c r="T25" s="399"/>
      <c r="U25" s="399"/>
      <c r="V25" s="399"/>
      <c r="W25" s="399"/>
      <c r="X25" s="399"/>
      <c r="Y25" s="399"/>
      <c r="Z25" s="399"/>
      <c r="AA25" s="399"/>
      <c r="AB25" s="399"/>
      <c r="AC25" s="399"/>
    </row>
    <row r="26" spans="2:32" x14ac:dyDescent="0.35">
      <c r="B26" s="609" t="s">
        <v>919</v>
      </c>
      <c r="C26" s="239"/>
      <c r="D26" s="239"/>
      <c r="E26" s="239"/>
      <c r="F26" s="239">
        <f>F24/E24-1</f>
        <v>0.12806645552632978</v>
      </c>
      <c r="G26" s="239">
        <f>G24/F24-1+G27</f>
        <v>4.2021350804467339E-2</v>
      </c>
      <c r="H26" s="239">
        <f>H24/G24-1+H27-0.03</f>
        <v>9.9924733057672716E-2</v>
      </c>
      <c r="I26" s="239">
        <f>I24/H24-1</f>
        <v>5.166315019835821E-2</v>
      </c>
      <c r="J26" s="619">
        <f>J24/I24-1</f>
        <v>6.446059678653393E-2</v>
      </c>
      <c r="K26" s="619">
        <f>K24/J24-1</f>
        <v>7.1689087455435452E-2</v>
      </c>
      <c r="P26" s="239"/>
      <c r="Q26" s="239"/>
      <c r="R26" s="239"/>
      <c r="S26" s="239"/>
      <c r="T26" s="239"/>
      <c r="U26" s="239"/>
      <c r="V26" s="239"/>
      <c r="W26" s="239"/>
      <c r="X26" s="239"/>
      <c r="Y26" s="239"/>
      <c r="Z26" s="239"/>
      <c r="AA26" s="239"/>
      <c r="AB26" s="239"/>
      <c r="AC26" s="239"/>
    </row>
    <row r="27" spans="2:32" x14ac:dyDescent="0.35">
      <c r="B27" s="610" t="s">
        <v>891</v>
      </c>
      <c r="C27" s="35"/>
      <c r="D27" s="35"/>
      <c r="E27" s="35"/>
      <c r="F27" s="35"/>
      <c r="G27" s="35">
        <v>0</v>
      </c>
      <c r="H27" s="35"/>
      <c r="I27" s="35"/>
      <c r="J27" s="226"/>
      <c r="P27" s="239"/>
      <c r="Q27" s="239"/>
      <c r="R27" s="239"/>
      <c r="S27" s="239"/>
      <c r="T27" s="239"/>
      <c r="U27" s="239"/>
      <c r="V27" s="239"/>
      <c r="W27" s="239"/>
      <c r="X27" s="239"/>
      <c r="Y27" s="239"/>
      <c r="Z27" s="239"/>
      <c r="AA27" s="239"/>
      <c r="AB27" s="239"/>
      <c r="AC27" s="239"/>
    </row>
    <row r="28" spans="2:32" x14ac:dyDescent="0.35">
      <c r="C28" s="618"/>
      <c r="D28" s="618"/>
      <c r="E28" s="618"/>
      <c r="F28" s="618"/>
      <c r="G28" s="618"/>
      <c r="H28" s="618"/>
      <c r="I28" s="618"/>
      <c r="J28" s="618"/>
      <c r="P28" s="239"/>
      <c r="Q28" s="239"/>
      <c r="R28" s="239"/>
      <c r="S28" s="239"/>
      <c r="T28" s="239"/>
      <c r="U28" s="239"/>
      <c r="V28" s="239"/>
      <c r="W28" s="239"/>
      <c r="X28" s="239"/>
      <c r="Y28" s="239"/>
      <c r="Z28" s="239"/>
      <c r="AA28" s="239"/>
      <c r="AB28" s="239"/>
      <c r="AC28" s="239"/>
    </row>
    <row r="29" spans="2:32" x14ac:dyDescent="0.35">
      <c r="P29" s="239"/>
      <c r="Q29" s="239"/>
      <c r="R29" s="239"/>
      <c r="S29" s="239"/>
      <c r="T29" s="239"/>
      <c r="U29" s="239"/>
      <c r="V29" s="239"/>
      <c r="W29" s="239"/>
      <c r="X29" s="239"/>
      <c r="Y29" s="239"/>
      <c r="Z29" s="239"/>
      <c r="AA29" s="239"/>
      <c r="AB29" s="239"/>
      <c r="AC29" s="239"/>
    </row>
    <row r="30" spans="2:32" x14ac:dyDescent="0.35">
      <c r="S30" s="239"/>
      <c r="T30" s="239"/>
      <c r="U30" s="239"/>
      <c r="V30" s="239"/>
      <c r="W30" s="239"/>
      <c r="X30" s="239"/>
      <c r="Y30" s="239"/>
      <c r="Z30" s="239"/>
      <c r="AA30" s="239"/>
      <c r="AB30" s="239"/>
      <c r="AC30" s="239"/>
      <c r="AD30" s="239"/>
      <c r="AE30" s="239"/>
      <c r="AF30" s="239"/>
    </row>
    <row r="31" spans="2:32" x14ac:dyDescent="0.35">
      <c r="P31" s="239"/>
      <c r="Q31" s="239"/>
      <c r="R31" s="239"/>
      <c r="S31" s="239"/>
      <c r="T31" s="239"/>
      <c r="U31" s="239"/>
      <c r="V31" s="239"/>
      <c r="W31" s="239"/>
      <c r="X31" s="239"/>
      <c r="Y31" s="239"/>
      <c r="Z31" s="239"/>
      <c r="AA31" s="239"/>
      <c r="AB31" s="239"/>
      <c r="AC31" s="239"/>
    </row>
    <row r="32" spans="2:32" x14ac:dyDescent="0.35">
      <c r="F32" s="57"/>
      <c r="G32" s="57"/>
      <c r="P32" s="239"/>
      <c r="Q32" s="239"/>
      <c r="R32" s="239"/>
      <c r="S32" s="239"/>
      <c r="T32" s="239"/>
      <c r="U32" s="239"/>
      <c r="V32" s="239"/>
      <c r="W32" s="239"/>
      <c r="X32" s="239"/>
      <c r="Y32" s="239"/>
      <c r="Z32" s="239"/>
      <c r="AA32" s="239"/>
      <c r="AB32" s="239"/>
      <c r="AC32" s="239"/>
    </row>
    <row r="33" spans="16:29" x14ac:dyDescent="0.35">
      <c r="P33" s="239"/>
      <c r="Q33" s="239"/>
      <c r="R33" s="239"/>
      <c r="S33" s="239"/>
      <c r="T33" s="239"/>
      <c r="U33" s="239"/>
      <c r="V33" s="239"/>
      <c r="W33" s="239"/>
      <c r="X33" s="239"/>
      <c r="Y33" s="239"/>
      <c r="Z33" s="239"/>
      <c r="AA33" s="239"/>
      <c r="AB33" s="239"/>
      <c r="AC33" s="239"/>
    </row>
    <row r="34" spans="16:29" x14ac:dyDescent="0.35">
      <c r="P34" s="239"/>
      <c r="Q34" s="239"/>
      <c r="R34" s="239"/>
      <c r="S34" s="239"/>
      <c r="T34" s="239"/>
      <c r="U34" s="239"/>
      <c r="V34" s="239"/>
      <c r="W34" s="239"/>
      <c r="X34" s="239"/>
      <c r="Y34" s="239"/>
      <c r="Z34" s="239"/>
      <c r="AA34" s="239"/>
      <c r="AB34" s="239"/>
      <c r="AC34" s="239"/>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M1" workbookViewId="0">
      <selection activeCell="AI18" sqref="AI18"/>
    </sheetView>
  </sheetViews>
  <sheetFormatPr defaultColWidth="10.90625" defaultRowHeight="14.5" x14ac:dyDescent="0.35"/>
  <sheetData>
    <row r="1" spans="2:34" x14ac:dyDescent="0.35">
      <c r="B1" s="1271" t="s">
        <v>1379</v>
      </c>
      <c r="C1" s="1271"/>
      <c r="D1" s="1271"/>
      <c r="E1" s="1271"/>
      <c r="F1" s="1271"/>
      <c r="G1" s="1271"/>
      <c r="H1" s="1271"/>
      <c r="I1" s="1271"/>
      <c r="J1" s="1271"/>
      <c r="K1" s="1271"/>
      <c r="L1" s="1271"/>
      <c r="M1" s="1271"/>
      <c r="N1" s="1271"/>
      <c r="O1" s="1271"/>
      <c r="P1" s="1271"/>
      <c r="Q1" s="1271"/>
      <c r="R1" s="1271"/>
      <c r="S1" s="1271"/>
      <c r="T1" s="1271"/>
      <c r="U1" s="1271"/>
      <c r="V1" s="1271"/>
      <c r="W1" s="1271"/>
      <c r="X1" s="1271"/>
      <c r="Y1" s="1271"/>
      <c r="Z1" s="1271"/>
      <c r="AA1" s="1271"/>
      <c r="AB1" s="1271"/>
      <c r="AC1" s="1271"/>
    </row>
    <row r="2" spans="2:34" x14ac:dyDescent="0.35">
      <c r="B2" s="1272" t="s">
        <v>1382</v>
      </c>
      <c r="C2" s="1272"/>
      <c r="D2" s="1272"/>
      <c r="E2" s="1272"/>
      <c r="F2" s="1272"/>
      <c r="G2" s="1272"/>
      <c r="H2" s="1272"/>
      <c r="I2" s="1272"/>
      <c r="J2" s="1272"/>
      <c r="K2" s="1272"/>
      <c r="L2" s="1272"/>
      <c r="M2" s="1272"/>
      <c r="N2" s="1272"/>
      <c r="O2" s="1272"/>
      <c r="P2" s="1272"/>
      <c r="Q2" s="1272"/>
      <c r="R2" s="1272"/>
      <c r="S2" s="1272"/>
      <c r="T2" s="1272"/>
      <c r="U2" s="1272"/>
      <c r="V2" s="1272"/>
      <c r="W2" s="1272"/>
      <c r="X2" s="1272"/>
      <c r="Y2" s="1272"/>
      <c r="Z2" s="1272"/>
      <c r="AA2" s="1272"/>
      <c r="AB2" s="1272"/>
      <c r="AC2" s="1272"/>
    </row>
    <row r="3" spans="2:34" x14ac:dyDescent="0.35">
      <c r="B3" s="1272"/>
      <c r="C3" s="1272"/>
      <c r="D3" s="1272"/>
      <c r="E3" s="1272"/>
      <c r="F3" s="1272"/>
      <c r="G3" s="1272"/>
      <c r="H3" s="1272"/>
      <c r="I3" s="1272"/>
      <c r="J3" s="1272"/>
      <c r="K3" s="1272"/>
      <c r="L3" s="1272"/>
      <c r="M3" s="1272"/>
      <c r="N3" s="1272"/>
      <c r="O3" s="1272"/>
      <c r="P3" s="1272"/>
      <c r="Q3" s="1272"/>
      <c r="R3" s="1272"/>
      <c r="S3" s="1272"/>
      <c r="T3" s="1272"/>
      <c r="U3" s="1272"/>
      <c r="V3" s="1272"/>
      <c r="W3" s="1272"/>
      <c r="X3" s="1272"/>
      <c r="Y3" s="1272"/>
      <c r="Z3" s="1272"/>
      <c r="AA3" s="1272"/>
      <c r="AB3" s="1272"/>
      <c r="AC3" s="1272"/>
    </row>
    <row r="4" spans="2:34" x14ac:dyDescent="0.35">
      <c r="B4" s="1272"/>
      <c r="C4" s="1272"/>
      <c r="D4" s="1272"/>
      <c r="E4" s="1272"/>
      <c r="F4" s="1272"/>
      <c r="G4" s="1272"/>
      <c r="H4" s="1272"/>
      <c r="I4" s="1272"/>
      <c r="J4" s="1272"/>
      <c r="K4" s="1272"/>
      <c r="L4" s="1272"/>
      <c r="M4" s="1272"/>
      <c r="N4" s="1272"/>
      <c r="O4" s="1272"/>
      <c r="P4" s="1272"/>
      <c r="Q4" s="1272"/>
      <c r="R4" s="1272"/>
      <c r="S4" s="1272"/>
      <c r="T4" s="1272"/>
      <c r="U4" s="1272"/>
      <c r="V4" s="1272"/>
      <c r="W4" s="1272"/>
      <c r="X4" s="1272"/>
      <c r="Y4" s="1272"/>
      <c r="Z4" s="1272"/>
      <c r="AA4" s="1272"/>
      <c r="AB4" s="1272"/>
      <c r="AC4" s="1272"/>
    </row>
    <row r="5" spans="2:34" x14ac:dyDescent="0.35">
      <c r="B5" s="397"/>
      <c r="C5" s="239"/>
      <c r="D5" s="239"/>
      <c r="E5" s="239"/>
      <c r="F5" s="239"/>
      <c r="G5" s="239"/>
      <c r="H5" s="239"/>
      <c r="I5" s="239"/>
      <c r="J5" s="239"/>
      <c r="K5" s="239"/>
      <c r="L5" s="239"/>
      <c r="M5" s="239"/>
      <c r="N5" s="239"/>
      <c r="O5" s="239"/>
      <c r="P5" s="239"/>
      <c r="Q5" s="239"/>
      <c r="R5" s="239"/>
      <c r="S5" s="239"/>
      <c r="T5" s="239"/>
      <c r="U5" s="239"/>
      <c r="V5" s="239"/>
      <c r="W5" s="239"/>
      <c r="X5" s="239"/>
      <c r="Y5" s="239"/>
    </row>
    <row r="6" spans="2:34" x14ac:dyDescent="0.35">
      <c r="B6" s="1276" t="s">
        <v>1696</v>
      </c>
      <c r="C6" s="1322"/>
      <c r="D6" s="1280" t="s">
        <v>279</v>
      </c>
      <c r="E6" s="1290"/>
      <c r="F6" s="1290"/>
      <c r="G6" s="1290"/>
      <c r="H6" s="1290"/>
      <c r="I6" s="1290"/>
      <c r="J6" s="1290"/>
      <c r="K6" s="1290"/>
      <c r="L6" s="1290"/>
      <c r="M6" s="1290"/>
      <c r="N6" s="1290"/>
      <c r="O6" s="1290"/>
      <c r="P6" s="1290"/>
      <c r="Q6" s="1291"/>
      <c r="R6" s="1291"/>
      <c r="S6" s="1291"/>
      <c r="T6" s="1291"/>
      <c r="U6" s="1291"/>
      <c r="V6" s="1279"/>
      <c r="W6" s="1302" t="s">
        <v>280</v>
      </c>
      <c r="X6" s="1303"/>
      <c r="Y6" s="1303"/>
      <c r="Z6" s="1303"/>
      <c r="AA6" s="1303"/>
      <c r="AB6" s="1303"/>
      <c r="AC6" s="1303"/>
      <c r="AD6" s="1303"/>
      <c r="AE6" s="1303"/>
      <c r="AF6" s="1303"/>
      <c r="AG6" s="1304"/>
      <c r="AH6" s="237"/>
    </row>
    <row r="7" spans="2:34" x14ac:dyDescent="0.35">
      <c r="B7" s="1278"/>
      <c r="C7" s="1279"/>
      <c r="D7" s="212">
        <v>2018</v>
      </c>
      <c r="E7" s="1273">
        <v>2019</v>
      </c>
      <c r="F7" s="1274"/>
      <c r="G7" s="1274"/>
      <c r="H7" s="1275"/>
      <c r="I7" s="1273">
        <v>2020</v>
      </c>
      <c r="J7" s="1274"/>
      <c r="K7" s="1274"/>
      <c r="L7" s="1274"/>
      <c r="M7" s="1273">
        <v>2021</v>
      </c>
      <c r="N7" s="1274"/>
      <c r="O7" s="1274"/>
      <c r="P7" s="1274"/>
      <c r="Q7" s="1299">
        <v>2022</v>
      </c>
      <c r="R7" s="1300"/>
      <c r="S7" s="284"/>
      <c r="T7" s="284"/>
      <c r="U7" s="238"/>
      <c r="V7" s="284">
        <v>2023</v>
      </c>
      <c r="W7" s="285"/>
      <c r="X7" s="257"/>
      <c r="Y7" s="1269">
        <v>2024</v>
      </c>
      <c r="Z7" s="1292"/>
      <c r="AA7" s="1292"/>
      <c r="AB7" s="1270"/>
      <c r="AC7" s="1268">
        <v>2025</v>
      </c>
      <c r="AD7" s="1292"/>
      <c r="AE7" s="1292"/>
      <c r="AF7" s="1270"/>
      <c r="AG7" s="1268">
        <v>2026</v>
      </c>
      <c r="AH7" s="1270"/>
    </row>
    <row r="8" spans="2:34" x14ac:dyDescent="0.35">
      <c r="B8" s="1280"/>
      <c r="C8" s="1281"/>
      <c r="D8" s="212" t="s">
        <v>281</v>
      </c>
      <c r="E8" s="212" t="s">
        <v>282</v>
      </c>
      <c r="F8" s="213" t="s">
        <v>283</v>
      </c>
      <c r="G8" s="213" t="s">
        <v>238</v>
      </c>
      <c r="H8" s="214" t="s">
        <v>281</v>
      </c>
      <c r="I8" s="213" t="s">
        <v>282</v>
      </c>
      <c r="J8" s="213" t="s">
        <v>283</v>
      </c>
      <c r="K8" s="213" t="s">
        <v>238</v>
      </c>
      <c r="L8" s="213" t="s">
        <v>281</v>
      </c>
      <c r="M8" s="212" t="s">
        <v>282</v>
      </c>
      <c r="N8" s="213" t="s">
        <v>283</v>
      </c>
      <c r="O8" s="213" t="s">
        <v>238</v>
      </c>
      <c r="P8" s="213" t="s">
        <v>281</v>
      </c>
      <c r="Q8" s="281" t="s">
        <v>282</v>
      </c>
      <c r="R8" s="282" t="s">
        <v>283</v>
      </c>
      <c r="S8" s="282" t="s">
        <v>238</v>
      </c>
      <c r="T8" s="282" t="s">
        <v>281</v>
      </c>
      <c r="U8" s="281" t="s">
        <v>282</v>
      </c>
      <c r="V8" s="282" t="s">
        <v>283</v>
      </c>
      <c r="W8" s="267" t="s">
        <v>238</v>
      </c>
      <c r="X8" s="268" t="s">
        <v>281</v>
      </c>
      <c r="Y8" s="267" t="s">
        <v>282</v>
      </c>
      <c r="Z8" s="264" t="s">
        <v>283</v>
      </c>
      <c r="AA8" s="267" t="s">
        <v>238</v>
      </c>
      <c r="AB8" s="267" t="s">
        <v>281</v>
      </c>
      <c r="AC8" s="266" t="s">
        <v>282</v>
      </c>
      <c r="AD8" s="264" t="s">
        <v>283</v>
      </c>
      <c r="AE8" s="267" t="s">
        <v>238</v>
      </c>
      <c r="AF8" s="267" t="s">
        <v>281</v>
      </c>
      <c r="AG8" s="266" t="s">
        <v>282</v>
      </c>
      <c r="AH8" s="268" t="s">
        <v>283</v>
      </c>
    </row>
    <row r="9" spans="2:34" x14ac:dyDescent="0.35">
      <c r="B9" s="490" t="s">
        <v>1381</v>
      </c>
      <c r="C9" s="651"/>
      <c r="D9" s="652"/>
      <c r="E9" s="651"/>
      <c r="F9" s="651"/>
      <c r="G9" s="651"/>
      <c r="H9" s="651"/>
      <c r="I9" s="651"/>
      <c r="J9" s="653"/>
      <c r="K9" s="653"/>
      <c r="L9" s="653"/>
      <c r="M9" s="653"/>
      <c r="N9" s="653"/>
      <c r="O9" s="653"/>
      <c r="P9" s="653"/>
      <c r="Q9" s="631"/>
      <c r="R9" s="632">
        <v>0</v>
      </c>
      <c r="S9" s="633">
        <v>0</v>
      </c>
      <c r="T9" s="632">
        <v>0</v>
      </c>
      <c r="U9" s="632">
        <v>0</v>
      </c>
      <c r="V9" s="632">
        <v>0</v>
      </c>
      <c r="W9" s="632">
        <v>-7.7999999999999999E-4</v>
      </c>
      <c r="X9" s="632">
        <v>-7.7999999999999999E-4</v>
      </c>
      <c r="Y9" s="632">
        <v>-9.5E-4</v>
      </c>
      <c r="Z9" s="632">
        <v>-9.5E-4</v>
      </c>
      <c r="AA9" s="632">
        <v>-9.5E-4</v>
      </c>
      <c r="AB9" s="632">
        <v>-9.5E-4</v>
      </c>
      <c r="AC9" s="632">
        <v>-9.3999999999999997E-4</v>
      </c>
      <c r="AD9" s="632">
        <v>-9.3999999999999997E-4</v>
      </c>
      <c r="AE9" s="632">
        <v>-9.3999999999999997E-4</v>
      </c>
      <c r="AF9" s="632">
        <v>-9.3999999999999997E-4</v>
      </c>
      <c r="AG9" s="632">
        <v>-9.3999999999999997E-4</v>
      </c>
      <c r="AH9" s="632">
        <v>-9.3999999999999997E-4</v>
      </c>
    </row>
    <row r="10" spans="2:34" x14ac:dyDescent="0.35">
      <c r="B10" s="57" t="s">
        <v>1380</v>
      </c>
      <c r="C10" s="260"/>
      <c r="D10" s="578"/>
      <c r="E10" s="260"/>
      <c r="F10" s="260"/>
      <c r="G10" s="260"/>
      <c r="H10" s="260"/>
      <c r="I10" s="260"/>
      <c r="J10" s="630"/>
      <c r="K10" s="630"/>
      <c r="L10" s="630"/>
      <c r="M10" s="630"/>
      <c r="N10" s="630"/>
      <c r="O10" s="630"/>
      <c r="P10" s="630"/>
      <c r="Q10" s="630"/>
      <c r="R10" s="629"/>
      <c r="S10" s="629"/>
      <c r="T10" s="629"/>
      <c r="U10" s="629">
        <v>26095</v>
      </c>
      <c r="V10" s="629">
        <v>26404</v>
      </c>
      <c r="W10" s="629">
        <v>26686</v>
      </c>
      <c r="X10" s="629">
        <v>26931</v>
      </c>
      <c r="Y10" s="629">
        <v>27174</v>
      </c>
      <c r="Z10" s="629">
        <v>27411</v>
      </c>
      <c r="AA10" s="629">
        <v>27647</v>
      </c>
      <c r="AB10" s="629">
        <v>27893</v>
      </c>
      <c r="AC10" s="629">
        <v>28143</v>
      </c>
      <c r="AD10" s="629">
        <v>28400</v>
      </c>
      <c r="AE10" s="629">
        <v>28649</v>
      </c>
      <c r="AF10" s="629">
        <v>28910</v>
      </c>
      <c r="AG10" s="629">
        <v>28910</v>
      </c>
      <c r="AH10" s="629">
        <v>28910</v>
      </c>
    </row>
    <row r="11" spans="2:34" x14ac:dyDescent="0.35">
      <c r="B11" s="57" t="s">
        <v>311</v>
      </c>
      <c r="C11" s="536"/>
      <c r="D11" s="535"/>
      <c r="E11" s="536"/>
      <c r="F11" s="536"/>
      <c r="G11" s="536"/>
      <c r="H11" s="536"/>
      <c r="I11" s="536"/>
      <c r="J11" s="650">
        <v>45</v>
      </c>
      <c r="K11" s="650">
        <v>45</v>
      </c>
      <c r="L11" s="650">
        <v>45</v>
      </c>
      <c r="M11" s="650">
        <v>45</v>
      </c>
      <c r="N11" s="650">
        <v>45</v>
      </c>
      <c r="O11" s="650">
        <v>45</v>
      </c>
      <c r="P11" s="650">
        <v>45</v>
      </c>
      <c r="Q11" s="650">
        <v>45</v>
      </c>
      <c r="R11" s="649">
        <v>45</v>
      </c>
      <c r="S11" s="649">
        <v>45</v>
      </c>
      <c r="T11" s="649">
        <v>45</v>
      </c>
      <c r="U11" s="654">
        <v>45</v>
      </c>
      <c r="V11" s="654">
        <v>45</v>
      </c>
      <c r="W11" s="654">
        <f>W9*W10*(-1)*0.1</f>
        <v>2.0815079999999999</v>
      </c>
      <c r="X11" s="654">
        <f t="shared" ref="X11:AF11" si="0">X9*X10*(-1)*0.1</f>
        <v>2.1006180000000003</v>
      </c>
      <c r="Y11" s="654">
        <f t="shared" si="0"/>
        <v>2.5815300000000003</v>
      </c>
      <c r="Z11" s="654">
        <f t="shared" si="0"/>
        <v>2.6040450000000002</v>
      </c>
      <c r="AA11" s="654">
        <f t="shared" si="0"/>
        <v>2.626465</v>
      </c>
      <c r="AB11" s="654">
        <f t="shared" si="0"/>
        <v>2.6498349999999999</v>
      </c>
      <c r="AC11" s="654">
        <f t="shared" si="0"/>
        <v>2.6454420000000001</v>
      </c>
      <c r="AD11" s="654">
        <f t="shared" si="0"/>
        <v>2.6696</v>
      </c>
      <c r="AE11" s="654">
        <f t="shared" si="0"/>
        <v>2.693006</v>
      </c>
      <c r="AF11" s="654">
        <f t="shared" si="0"/>
        <v>2.7175400000000001</v>
      </c>
      <c r="AG11" s="654">
        <f>AG9*AG10*(-1)*0.1</f>
        <v>2.7175400000000001</v>
      </c>
      <c r="AH11" s="654">
        <f>AH9*AH10*(-1)*0.1</f>
        <v>2.7175400000000001</v>
      </c>
    </row>
    <row r="12" spans="2:34" x14ac:dyDescent="0.35">
      <c r="B12" s="57"/>
      <c r="C12" s="260"/>
      <c r="D12" s="260"/>
      <c r="E12" s="260"/>
      <c r="F12" s="260"/>
      <c r="G12" s="260"/>
      <c r="H12" s="260"/>
      <c r="I12" s="260"/>
      <c r="J12" s="630"/>
      <c r="K12" s="630"/>
      <c r="L12" s="630"/>
      <c r="M12" s="630"/>
      <c r="N12" s="630"/>
      <c r="O12" s="630"/>
      <c r="P12" s="630"/>
      <c r="Q12" s="630"/>
      <c r="R12" s="629"/>
      <c r="S12" s="629"/>
      <c r="T12" s="629"/>
      <c r="U12" s="77"/>
      <c r="V12" s="77"/>
      <c r="W12" s="77"/>
      <c r="X12" s="77"/>
      <c r="Y12" s="77"/>
      <c r="Z12" s="77"/>
      <c r="AA12" s="77"/>
      <c r="AB12" s="77"/>
      <c r="AC12" s="77"/>
      <c r="AD12" s="77"/>
      <c r="AE12" s="77"/>
      <c r="AF12" s="77"/>
      <c r="AG12" s="77"/>
      <c r="AH12" s="77"/>
    </row>
    <row r="13" spans="2:34" x14ac:dyDescent="0.35">
      <c r="B13" s="239"/>
      <c r="C13" s="239"/>
      <c r="D13" s="239"/>
      <c r="E13" s="239"/>
      <c r="F13" s="239"/>
      <c r="G13" s="239"/>
      <c r="H13" s="239"/>
      <c r="I13" s="239"/>
      <c r="J13" s="239"/>
      <c r="K13" s="239"/>
      <c r="L13" s="239"/>
      <c r="M13" s="239"/>
      <c r="N13" s="239"/>
      <c r="O13" s="239"/>
      <c r="P13" s="239"/>
      <c r="Q13" s="239"/>
      <c r="R13" s="239"/>
      <c r="S13" s="239"/>
      <c r="T13" s="239"/>
      <c r="U13" s="239"/>
      <c r="V13" s="239"/>
      <c r="W13" s="239"/>
      <c r="X13" s="239"/>
      <c r="Y13" s="239"/>
      <c r="Z13" s="57"/>
      <c r="AA13" s="57"/>
      <c r="AB13" s="57"/>
      <c r="AC13" s="57"/>
    </row>
    <row r="14" spans="2:34" x14ac:dyDescent="0.35">
      <c r="B14" s="1224" t="s">
        <v>1751</v>
      </c>
      <c r="C14" s="1224"/>
      <c r="D14" s="1224"/>
      <c r="E14" s="1224"/>
      <c r="F14" s="1224"/>
      <c r="G14" s="1224"/>
      <c r="H14" s="1224"/>
      <c r="I14" s="1224"/>
      <c r="J14" s="1224"/>
      <c r="K14" s="1224"/>
      <c r="L14" s="1224"/>
      <c r="M14" s="1224"/>
      <c r="N14" s="1224"/>
      <c r="O14" s="1224"/>
      <c r="P14" s="1224"/>
      <c r="Q14" s="1224"/>
      <c r="R14" s="1224"/>
      <c r="S14" s="1224"/>
      <c r="T14" s="1224"/>
      <c r="U14" s="1224"/>
      <c r="V14" s="1224"/>
      <c r="W14" s="1224"/>
      <c r="X14" s="1224"/>
      <c r="Y14" s="1224"/>
      <c r="Z14" s="1224"/>
      <c r="AA14" s="1224"/>
      <c r="AB14" s="1224"/>
      <c r="AC14" s="1224"/>
      <c r="AD14" s="1224"/>
      <c r="AE14" s="1224"/>
      <c r="AF14" s="1224"/>
    </row>
    <row r="15" spans="2:34" x14ac:dyDescent="0.35">
      <c r="B15" s="1276" t="s">
        <v>1695</v>
      </c>
      <c r="C15" s="1322"/>
      <c r="D15" s="1338" t="s">
        <v>279</v>
      </c>
      <c r="E15" s="1339"/>
      <c r="F15" s="1339"/>
      <c r="G15" s="1339"/>
      <c r="H15" s="1339"/>
      <c r="I15" s="1339"/>
      <c r="J15" s="1339"/>
      <c r="K15" s="1339"/>
      <c r="L15" s="1339"/>
      <c r="M15" s="1339"/>
      <c r="N15" s="1339"/>
      <c r="O15" s="1339"/>
      <c r="P15" s="1339"/>
      <c r="Q15" s="1339"/>
      <c r="R15" s="1339"/>
      <c r="S15" s="1339"/>
      <c r="T15" s="1339"/>
      <c r="U15" s="1339"/>
      <c r="V15" s="1339"/>
      <c r="W15" s="1303" t="s">
        <v>280</v>
      </c>
      <c r="X15" s="1303"/>
      <c r="Y15" s="1303"/>
      <c r="Z15" s="1303"/>
      <c r="AA15" s="1303"/>
      <c r="AB15" s="1303"/>
      <c r="AC15" s="1303"/>
      <c r="AD15" s="1303"/>
      <c r="AE15" s="1303"/>
      <c r="AF15" s="1303"/>
      <c r="AG15" s="1304"/>
      <c r="AH15" s="237"/>
    </row>
    <row r="16" spans="2:34" x14ac:dyDescent="0.35">
      <c r="B16" s="1278"/>
      <c r="C16" s="1279"/>
      <c r="D16" s="212">
        <v>2018</v>
      </c>
      <c r="E16" s="1273">
        <v>2019</v>
      </c>
      <c r="F16" s="1274"/>
      <c r="G16" s="1274"/>
      <c r="H16" s="1275"/>
      <c r="I16" s="1273">
        <v>2020</v>
      </c>
      <c r="J16" s="1274"/>
      <c r="K16" s="1274"/>
      <c r="L16" s="1274"/>
      <c r="M16" s="1273">
        <v>2021</v>
      </c>
      <c r="N16" s="1274"/>
      <c r="O16" s="1274"/>
      <c r="P16" s="1274"/>
      <c r="Q16" s="1299">
        <v>2022</v>
      </c>
      <c r="R16" s="1362"/>
      <c r="S16" s="284"/>
      <c r="T16" s="297"/>
      <c r="U16" s="238"/>
      <c r="V16" s="284">
        <v>2023</v>
      </c>
      <c r="W16" s="552"/>
      <c r="X16" s="552"/>
      <c r="Y16" s="1268">
        <v>2024</v>
      </c>
      <c r="Z16" s="1292"/>
      <c r="AA16" s="1292"/>
      <c r="AB16" s="1270"/>
      <c r="AC16" s="1268">
        <v>2025</v>
      </c>
      <c r="AD16" s="1292"/>
      <c r="AE16" s="1292"/>
      <c r="AF16" s="1270"/>
      <c r="AG16" s="1268">
        <v>2026</v>
      </c>
      <c r="AH16" s="1270"/>
    </row>
    <row r="17" spans="2:34" x14ac:dyDescent="0.35">
      <c r="B17" s="1280"/>
      <c r="C17" s="1281"/>
      <c r="D17" s="212" t="s">
        <v>281</v>
      </c>
      <c r="E17" s="212" t="s">
        <v>282</v>
      </c>
      <c r="F17" s="213" t="s">
        <v>283</v>
      </c>
      <c r="G17" s="213" t="s">
        <v>238</v>
      </c>
      <c r="H17" s="214" t="s">
        <v>281</v>
      </c>
      <c r="I17" s="213" t="s">
        <v>282</v>
      </c>
      <c r="J17" s="213" t="s">
        <v>283</v>
      </c>
      <c r="K17" s="213" t="s">
        <v>238</v>
      </c>
      <c r="L17" s="213" t="s">
        <v>281</v>
      </c>
      <c r="M17" s="212" t="s">
        <v>282</v>
      </c>
      <c r="N17" s="213" t="s">
        <v>283</v>
      </c>
      <c r="O17" s="213" t="s">
        <v>238</v>
      </c>
      <c r="P17" s="213" t="s">
        <v>281</v>
      </c>
      <c r="Q17" s="281" t="s">
        <v>282</v>
      </c>
      <c r="R17" s="282" t="s">
        <v>283</v>
      </c>
      <c r="S17" s="282" t="s">
        <v>238</v>
      </c>
      <c r="T17" s="280" t="s">
        <v>281</v>
      </c>
      <c r="U17" s="281" t="s">
        <v>282</v>
      </c>
      <c r="V17" s="282" t="s">
        <v>283</v>
      </c>
      <c r="W17" s="267" t="s">
        <v>238</v>
      </c>
      <c r="X17" s="267" t="s">
        <v>281</v>
      </c>
      <c r="Y17" s="266" t="s">
        <v>282</v>
      </c>
      <c r="Z17" s="264" t="s">
        <v>283</v>
      </c>
      <c r="AA17" s="267" t="s">
        <v>238</v>
      </c>
      <c r="AB17" s="268" t="s">
        <v>281</v>
      </c>
      <c r="AC17" s="266" t="s">
        <v>282</v>
      </c>
      <c r="AD17" s="264" t="s">
        <v>283</v>
      </c>
      <c r="AE17" s="267" t="s">
        <v>238</v>
      </c>
      <c r="AF17" s="267" t="s">
        <v>281</v>
      </c>
      <c r="AG17" s="266" t="s">
        <v>282</v>
      </c>
      <c r="AH17" s="268" t="s">
        <v>283</v>
      </c>
    </row>
    <row r="18" spans="2:34" x14ac:dyDescent="0.35">
      <c r="B18" s="490" t="s">
        <v>1381</v>
      </c>
      <c r="C18" s="637"/>
      <c r="D18" s="638"/>
      <c r="E18" s="637"/>
      <c r="F18" s="637"/>
      <c r="G18" s="637"/>
      <c r="H18" s="637"/>
      <c r="I18" s="637"/>
      <c r="J18" s="639"/>
      <c r="K18" s="639"/>
      <c r="L18" s="639"/>
      <c r="M18" s="639"/>
      <c r="N18" s="639"/>
      <c r="O18" s="639"/>
      <c r="P18" s="639"/>
      <c r="Q18" s="639"/>
      <c r="R18" s="640">
        <v>0</v>
      </c>
      <c r="S18" s="634">
        <v>0</v>
      </c>
      <c r="T18" s="636">
        <v>0</v>
      </c>
      <c r="U18" s="636">
        <v>-7.7999999999999999E-4</v>
      </c>
      <c r="V18" s="636">
        <v>-7.7999999999999999E-4</v>
      </c>
      <c r="W18" s="636">
        <v>-7.7999999999999999E-4</v>
      </c>
      <c r="X18" s="636">
        <v>-7.7999999999999999E-4</v>
      </c>
      <c r="Y18" s="636">
        <v>-9.5E-4</v>
      </c>
      <c r="Z18" s="636">
        <v>-9.5E-4</v>
      </c>
      <c r="AA18" s="636">
        <v>-9.5E-4</v>
      </c>
      <c r="AB18" s="636">
        <v>-9.5E-4</v>
      </c>
      <c r="AC18" s="636">
        <v>-9.3999999999999997E-4</v>
      </c>
      <c r="AD18" s="636">
        <v>-9.3999999999999997E-4</v>
      </c>
      <c r="AE18" s="636">
        <v>-9.3999999999999997E-4</v>
      </c>
      <c r="AF18" s="636">
        <v>-9.3999999999999997E-4</v>
      </c>
      <c r="AG18" s="634">
        <v>-9.3999999999999997E-4</v>
      </c>
      <c r="AH18" s="634">
        <v>-9.3999999999999997E-4</v>
      </c>
    </row>
    <row r="19" spans="2:34" x14ac:dyDescent="0.35">
      <c r="B19" s="57" t="s">
        <v>1380</v>
      </c>
      <c r="C19" s="641"/>
      <c r="D19" s="642"/>
      <c r="E19" s="641"/>
      <c r="F19" s="641"/>
      <c r="G19" s="641"/>
      <c r="H19" s="641"/>
      <c r="I19" s="641"/>
      <c r="J19" s="643"/>
      <c r="K19" s="643"/>
      <c r="L19" s="643"/>
      <c r="M19" s="643"/>
      <c r="N19" s="643"/>
      <c r="O19" s="643"/>
      <c r="P19" s="643"/>
      <c r="Q19" s="643"/>
      <c r="R19" s="635"/>
      <c r="S19" s="635"/>
      <c r="T19" s="635"/>
      <c r="U19" s="635">
        <v>26095</v>
      </c>
      <c r="V19" s="635">
        <v>26404</v>
      </c>
      <c r="W19" s="635">
        <v>26686</v>
      </c>
      <c r="X19" s="635">
        <v>26931</v>
      </c>
      <c r="Y19" s="635">
        <v>27174</v>
      </c>
      <c r="Z19" s="635">
        <v>27411</v>
      </c>
      <c r="AA19" s="635">
        <v>27647</v>
      </c>
      <c r="AB19" s="635">
        <v>27893</v>
      </c>
      <c r="AC19" s="635">
        <v>28143</v>
      </c>
      <c r="AD19" s="635">
        <v>28400</v>
      </c>
      <c r="AE19" s="635">
        <v>28649</v>
      </c>
      <c r="AF19" s="635">
        <v>28910</v>
      </c>
      <c r="AG19" s="635">
        <v>28910</v>
      </c>
      <c r="AH19" s="635">
        <v>28910</v>
      </c>
    </row>
    <row r="20" spans="2:34" x14ac:dyDescent="0.35">
      <c r="B20" s="57" t="s">
        <v>311</v>
      </c>
      <c r="C20" s="644"/>
      <c r="D20" s="645"/>
      <c r="E20" s="644"/>
      <c r="F20" s="644"/>
      <c r="G20" s="644"/>
      <c r="H20" s="644"/>
      <c r="I20" s="644"/>
      <c r="J20" s="646"/>
      <c r="K20" s="646"/>
      <c r="L20" s="646"/>
      <c r="M20" s="646"/>
      <c r="N20" s="646"/>
      <c r="O20" s="646"/>
      <c r="P20" s="646"/>
      <c r="Q20" s="646"/>
      <c r="R20" s="647">
        <f>R18*R19</f>
        <v>0</v>
      </c>
      <c r="S20" s="647">
        <f t="shared" ref="S20:T20" si="1">S18*S19</f>
        <v>0</v>
      </c>
      <c r="T20" s="647">
        <f t="shared" si="1"/>
        <v>0</v>
      </c>
      <c r="U20" s="648">
        <f>U18*U19*-1</f>
        <v>20.354099999999999</v>
      </c>
      <c r="V20" s="648">
        <f t="shared" ref="V20:AF20" si="2">V18*V19*-1</f>
        <v>20.595119999999998</v>
      </c>
      <c r="W20" s="648">
        <f t="shared" si="2"/>
        <v>20.815079999999998</v>
      </c>
      <c r="X20" s="648">
        <f t="shared" si="2"/>
        <v>21.006180000000001</v>
      </c>
      <c r="Y20" s="648">
        <f t="shared" si="2"/>
        <v>25.815300000000001</v>
      </c>
      <c r="Z20" s="648">
        <f t="shared" si="2"/>
        <v>26.04045</v>
      </c>
      <c r="AA20" s="648">
        <f t="shared" si="2"/>
        <v>26.26465</v>
      </c>
      <c r="AB20" s="648">
        <f t="shared" si="2"/>
        <v>26.498349999999999</v>
      </c>
      <c r="AC20" s="648">
        <f t="shared" si="2"/>
        <v>26.454419999999999</v>
      </c>
      <c r="AD20" s="648">
        <f t="shared" si="2"/>
        <v>26.695999999999998</v>
      </c>
      <c r="AE20" s="648">
        <f t="shared" si="2"/>
        <v>26.930059999999997</v>
      </c>
      <c r="AF20" s="648">
        <f t="shared" si="2"/>
        <v>27.1754</v>
      </c>
      <c r="AG20" s="648">
        <f>AG18*AG19*-1</f>
        <v>27.1754</v>
      </c>
      <c r="AH20" s="648">
        <f>AH18*AH19*-1</f>
        <v>27.1754</v>
      </c>
    </row>
    <row r="23" spans="2:34" x14ac:dyDescent="0.35">
      <c r="C23" t="s">
        <v>1840</v>
      </c>
      <c r="F23" s="628" t="s">
        <v>1839</v>
      </c>
    </row>
  </sheetData>
  <mergeCells count="23">
    <mergeCell ref="Y7:AB7"/>
    <mergeCell ref="B1:AC1"/>
    <mergeCell ref="B2:AC4"/>
    <mergeCell ref="B6:C8"/>
    <mergeCell ref="E7:H7"/>
    <mergeCell ref="I7:L7"/>
    <mergeCell ref="M7:P7"/>
    <mergeCell ref="Q7:R7"/>
    <mergeCell ref="D6:V6"/>
    <mergeCell ref="AC7:AF7"/>
    <mergeCell ref="W6:AG6"/>
    <mergeCell ref="AG7:AH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X53" activePane="bottomRight" state="frozen"/>
      <selection pane="topRight" activeCell="C1" sqref="C1"/>
      <selection pane="bottomLeft" activeCell="A7" sqref="A7"/>
      <selection pane="bottomRight" activeCell="AB70" sqref="AB70"/>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6" ht="18" customHeight="1" x14ac:dyDescent="0.35">
      <c r="B1" s="1371" t="s">
        <v>464</v>
      </c>
      <c r="C1" s="1371"/>
      <c r="D1" s="1371"/>
      <c r="E1" s="1371"/>
      <c r="F1" s="1371"/>
      <c r="G1" s="1371"/>
      <c r="H1" s="1371"/>
      <c r="I1" s="1371"/>
      <c r="J1" s="1371"/>
      <c r="K1" s="1371"/>
      <c r="L1" s="1371"/>
      <c r="M1" s="1371"/>
      <c r="N1" s="1371"/>
      <c r="O1" s="1371"/>
      <c r="P1" s="1371"/>
      <c r="Q1" s="1371"/>
      <c r="R1" s="1371"/>
      <c r="S1" s="1371"/>
      <c r="T1" s="1371"/>
      <c r="U1" s="1371"/>
      <c r="V1" s="1371"/>
      <c r="W1" s="1371"/>
      <c r="X1" s="1371"/>
      <c r="Y1" s="1371"/>
      <c r="Z1" s="1371"/>
      <c r="AA1" s="1371"/>
      <c r="AB1" s="1371"/>
      <c r="AC1" s="1371"/>
    </row>
    <row r="2" spans="2:36" ht="34.5" hidden="1" customHeight="1" outlineLevel="1" x14ac:dyDescent="0.35">
      <c r="B2" s="1272" t="s">
        <v>860</v>
      </c>
      <c r="C2" s="1313"/>
      <c r="D2" s="1313"/>
      <c r="E2" s="1313"/>
      <c r="F2" s="1313"/>
      <c r="G2" s="1313"/>
      <c r="H2" s="1313"/>
      <c r="I2" s="1313"/>
      <c r="J2" s="1313"/>
      <c r="K2" s="1313"/>
      <c r="L2" s="1313"/>
      <c r="M2" s="1313"/>
      <c r="N2" s="1313"/>
      <c r="O2" s="1313"/>
      <c r="P2" s="1313"/>
      <c r="Q2" s="1313"/>
      <c r="R2" s="1313"/>
      <c r="S2" s="1313"/>
      <c r="T2" s="1313"/>
      <c r="U2" s="1313"/>
      <c r="V2" s="1313"/>
      <c r="W2" s="1313"/>
      <c r="X2" s="1313"/>
      <c r="Y2" s="1313"/>
      <c r="Z2" s="1313"/>
      <c r="AA2" s="1313"/>
      <c r="AB2" s="1313"/>
      <c r="AC2" s="1313"/>
    </row>
    <row r="3" spans="2:36" ht="3" hidden="1" customHeight="1" outlineLevel="1" x14ac:dyDescent="0.35">
      <c r="B3" s="1313"/>
      <c r="C3" s="1313"/>
      <c r="D3" s="1313"/>
      <c r="E3" s="1313"/>
      <c r="F3" s="1313"/>
      <c r="G3" s="1313"/>
      <c r="H3" s="1313"/>
      <c r="I3" s="1313"/>
      <c r="J3" s="1313"/>
      <c r="K3" s="1313"/>
      <c r="L3" s="1313"/>
      <c r="M3" s="1313"/>
      <c r="N3" s="1313"/>
      <c r="O3" s="1313"/>
      <c r="P3" s="1313"/>
      <c r="Q3" s="1313"/>
      <c r="R3" s="1313"/>
      <c r="S3" s="1313"/>
      <c r="T3" s="1313"/>
      <c r="U3" s="1313"/>
      <c r="V3" s="1313"/>
      <c r="W3" s="1313"/>
      <c r="X3" s="1313"/>
      <c r="Y3" s="1313"/>
      <c r="Z3" s="1313"/>
      <c r="AA3" s="1313"/>
      <c r="AB3" s="1313"/>
      <c r="AC3" s="1313"/>
    </row>
    <row r="4" spans="2:36" ht="10.4" hidden="1" customHeight="1" outlineLevel="1" x14ac:dyDescent="0.35">
      <c r="B4" s="1313"/>
      <c r="C4" s="1313"/>
      <c r="D4" s="1313"/>
      <c r="E4" s="1313"/>
      <c r="F4" s="1313"/>
      <c r="G4" s="1313"/>
      <c r="H4" s="1313"/>
      <c r="I4" s="1313"/>
      <c r="J4" s="1313"/>
      <c r="K4" s="1313"/>
      <c r="L4" s="1313"/>
      <c r="M4" s="1313"/>
      <c r="N4" s="1313"/>
      <c r="O4" s="1313"/>
      <c r="P4" s="1313"/>
      <c r="Q4" s="1313"/>
      <c r="R4" s="1313"/>
      <c r="S4" s="1313"/>
      <c r="T4" s="1313"/>
      <c r="U4" s="1313"/>
      <c r="V4" s="1313"/>
      <c r="W4" s="1313"/>
      <c r="X4" s="1313"/>
      <c r="Y4" s="1313"/>
      <c r="Z4" s="1313"/>
      <c r="AA4" s="1313"/>
      <c r="AB4" s="1313"/>
      <c r="AC4" s="1313"/>
    </row>
    <row r="5" spans="2:36" ht="14.25" hidden="1" customHeight="1" outlineLevel="1" x14ac:dyDescent="0.35">
      <c r="B5" s="1313"/>
      <c r="C5" s="1313"/>
      <c r="D5" s="1313"/>
      <c r="E5" s="1313"/>
      <c r="F5" s="1313"/>
      <c r="G5" s="1313"/>
      <c r="H5" s="1313"/>
      <c r="I5" s="1313"/>
      <c r="J5" s="1313"/>
      <c r="K5" s="1313"/>
      <c r="L5" s="1313"/>
      <c r="M5" s="1313"/>
      <c r="N5" s="1313"/>
      <c r="O5" s="1313"/>
      <c r="P5" s="1313"/>
      <c r="Q5" s="1313"/>
      <c r="R5" s="1313"/>
      <c r="S5" s="1313"/>
      <c r="T5" s="1313"/>
      <c r="U5" s="1313"/>
      <c r="V5" s="1313"/>
      <c r="W5" s="1313"/>
      <c r="X5" s="1313"/>
      <c r="Y5" s="1313"/>
      <c r="Z5" s="1313"/>
      <c r="AA5" s="1313"/>
      <c r="AB5" s="1313"/>
      <c r="AC5" s="1313"/>
    </row>
    <row r="6" spans="2:36" ht="14.25" hidden="1" customHeight="1" outlineLevel="1" x14ac:dyDescent="0.35">
      <c r="B6" s="1313"/>
      <c r="C6" s="1313"/>
      <c r="D6" s="1313"/>
      <c r="E6" s="1313"/>
      <c r="F6" s="1313"/>
      <c r="G6" s="1313"/>
      <c r="H6" s="1313"/>
      <c r="I6" s="1313"/>
      <c r="J6" s="1313"/>
      <c r="K6" s="1313"/>
      <c r="L6" s="1313"/>
      <c r="M6" s="1313"/>
      <c r="N6" s="1313"/>
      <c r="O6" s="1313"/>
      <c r="P6" s="1313"/>
      <c r="Q6" s="1313"/>
      <c r="R6" s="1313"/>
      <c r="S6" s="1313"/>
      <c r="T6" s="1313"/>
      <c r="U6" s="1313"/>
      <c r="V6" s="1313"/>
      <c r="W6" s="1313"/>
      <c r="X6" s="1313"/>
      <c r="Y6" s="1313"/>
      <c r="Z6" s="1313"/>
      <c r="AA6" s="1313"/>
      <c r="AB6" s="1313"/>
      <c r="AC6" s="1313"/>
    </row>
    <row r="7" spans="2:36" collapsed="1" x14ac:dyDescent="0.35">
      <c r="B7" s="723" t="s">
        <v>332</v>
      </c>
      <c r="C7" s="262"/>
      <c r="D7" s="262"/>
      <c r="E7" s="262"/>
      <c r="F7" s="262"/>
      <c r="G7" s="262"/>
      <c r="H7" s="263"/>
      <c r="I7" s="263"/>
      <c r="J7" s="263"/>
      <c r="K7" s="263"/>
      <c r="L7" s="263"/>
      <c r="M7" s="263"/>
      <c r="N7" s="263"/>
      <c r="O7" s="263"/>
      <c r="P7" s="263"/>
      <c r="Q7" s="263"/>
      <c r="R7" s="263"/>
      <c r="S7" s="263"/>
      <c r="T7" s="263"/>
      <c r="U7" s="263"/>
    </row>
    <row r="8" spans="2:36" ht="14.9" customHeight="1" x14ac:dyDescent="0.35">
      <c r="B8" s="683" t="s">
        <v>303</v>
      </c>
      <c r="C8" s="684"/>
      <c r="D8" s="687" t="s">
        <v>279</v>
      </c>
      <c r="E8" s="688"/>
      <c r="F8" s="688"/>
      <c r="G8" s="688"/>
      <c r="H8" s="688"/>
      <c r="I8" s="688"/>
      <c r="J8" s="688"/>
      <c r="K8" s="688"/>
      <c r="L8" s="688"/>
      <c r="M8" s="688"/>
      <c r="N8" s="688"/>
      <c r="O8" s="688"/>
      <c r="P8" s="1290"/>
      <c r="Q8" s="1290"/>
      <c r="R8" s="1290"/>
      <c r="S8" s="1290"/>
      <c r="T8" s="1290"/>
      <c r="U8" s="1290"/>
      <c r="V8" s="1281"/>
      <c r="W8" s="1317" t="s">
        <v>280</v>
      </c>
      <c r="X8" s="1304"/>
      <c r="Y8" s="1304"/>
      <c r="Z8" s="1304"/>
      <c r="AA8" s="1304"/>
      <c r="AB8" s="1304"/>
      <c r="AC8" s="1304"/>
      <c r="AD8" s="1304"/>
      <c r="AE8" s="1304"/>
      <c r="AF8" s="1304"/>
      <c r="AG8" s="1304"/>
      <c r="AH8" s="237"/>
      <c r="AI8" s="237"/>
      <c r="AJ8" s="237"/>
    </row>
    <row r="9" spans="2:36" ht="14.9" customHeight="1" x14ac:dyDescent="0.35">
      <c r="B9" s="685"/>
      <c r="C9" s="686"/>
      <c r="D9" s="215">
        <v>2018</v>
      </c>
      <c r="E9" s="1282">
        <v>2019</v>
      </c>
      <c r="F9" s="1283"/>
      <c r="G9" s="1283"/>
      <c r="H9" s="1284"/>
      <c r="I9" s="1282">
        <v>2020</v>
      </c>
      <c r="J9" s="1283"/>
      <c r="K9" s="1283"/>
      <c r="L9" s="1283"/>
      <c r="M9" s="1282">
        <v>2021</v>
      </c>
      <c r="N9" s="1283"/>
      <c r="O9" s="1283"/>
      <c r="P9" s="1283"/>
      <c r="Q9" s="1282">
        <v>2022</v>
      </c>
      <c r="R9" s="1305"/>
      <c r="S9" s="1305"/>
      <c r="T9" s="1284"/>
      <c r="U9" s="284"/>
      <c r="V9" s="284">
        <v>2023</v>
      </c>
      <c r="W9" s="552"/>
      <c r="X9" s="257"/>
      <c r="Y9" s="1268">
        <v>2024</v>
      </c>
      <c r="Z9" s="1292"/>
      <c r="AA9" s="1292"/>
      <c r="AB9" s="1270"/>
      <c r="AC9" s="1268">
        <v>2025</v>
      </c>
      <c r="AD9" s="1292"/>
      <c r="AE9" s="1292"/>
      <c r="AF9" s="1269"/>
      <c r="AG9" s="1268">
        <v>2026</v>
      </c>
      <c r="AH9" s="1292"/>
      <c r="AI9" s="1292"/>
      <c r="AJ9" s="1270"/>
    </row>
    <row r="10" spans="2:36" x14ac:dyDescent="0.35">
      <c r="B10" s="685"/>
      <c r="C10" s="686"/>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4" t="s">
        <v>281</v>
      </c>
      <c r="U10" s="213" t="s">
        <v>282</v>
      </c>
      <c r="V10" s="282" t="s">
        <v>283</v>
      </c>
      <c r="W10" s="267" t="s">
        <v>238</v>
      </c>
      <c r="X10" s="268" t="s">
        <v>281</v>
      </c>
      <c r="Y10" s="266" t="s">
        <v>282</v>
      </c>
      <c r="Z10" s="264" t="s">
        <v>283</v>
      </c>
      <c r="AA10" s="267" t="s">
        <v>238</v>
      </c>
      <c r="AB10" s="267" t="s">
        <v>281</v>
      </c>
      <c r="AC10" s="266" t="s">
        <v>282</v>
      </c>
      <c r="AD10" s="264" t="s">
        <v>283</v>
      </c>
      <c r="AE10" s="267" t="s">
        <v>238</v>
      </c>
      <c r="AF10" s="267" t="s">
        <v>281</v>
      </c>
      <c r="AG10" s="266" t="s">
        <v>282</v>
      </c>
      <c r="AH10" s="264" t="s">
        <v>283</v>
      </c>
      <c r="AI10" s="267" t="s">
        <v>238</v>
      </c>
      <c r="AJ10" s="268" t="s">
        <v>281</v>
      </c>
    </row>
    <row r="11" spans="2:36" x14ac:dyDescent="0.35">
      <c r="B11" s="1367" t="s">
        <v>465</v>
      </c>
      <c r="C11" s="1368"/>
      <c r="D11" s="655"/>
      <c r="E11" s="716"/>
      <c r="F11" s="716"/>
      <c r="G11" s="716"/>
      <c r="H11" s="308"/>
      <c r="I11" s="308"/>
      <c r="J11" s="308"/>
      <c r="K11" s="308"/>
      <c r="L11" s="308"/>
      <c r="M11" s="570"/>
      <c r="N11" s="570"/>
      <c r="O11" s="570"/>
      <c r="P11" s="308"/>
      <c r="Q11" s="308"/>
      <c r="R11" s="308"/>
      <c r="S11" s="308"/>
      <c r="T11" s="283"/>
      <c r="U11" s="308"/>
      <c r="V11" s="308"/>
      <c r="W11" s="208"/>
      <c r="X11" s="208"/>
      <c r="Y11" s="208"/>
      <c r="Z11" s="208"/>
      <c r="AA11" s="208"/>
      <c r="AB11" s="208"/>
      <c r="AC11" s="209"/>
    </row>
    <row r="12" spans="2:36" ht="17.149999999999999" customHeight="1" x14ac:dyDescent="0.35">
      <c r="B12" s="670" t="s">
        <v>466</v>
      </c>
      <c r="C12" s="239" t="s">
        <v>467</v>
      </c>
      <c r="D12" s="590">
        <f>'Haver Pivoted'!GO31</f>
        <v>2223</v>
      </c>
      <c r="E12" s="546">
        <f>'Haver Pivoted'!GP31</f>
        <v>2303.8000000000002</v>
      </c>
      <c r="F12" s="546">
        <f>'Haver Pivoted'!GQ31</f>
        <v>2321.6999999999998</v>
      </c>
      <c r="G12" s="546">
        <f>'Haver Pivoted'!GR31</f>
        <v>2337.1</v>
      </c>
      <c r="H12" s="546">
        <f>'Haver Pivoted'!GS31</f>
        <v>2349.5</v>
      </c>
      <c r="I12" s="546">
        <f>'Haver Pivoted'!GT31</f>
        <v>2414.4</v>
      </c>
      <c r="J12" s="546">
        <f>'Haver Pivoted'!GU31</f>
        <v>4654.1000000000004</v>
      </c>
      <c r="K12" s="546">
        <f>'Haver Pivoted'!GV31</f>
        <v>3504.7</v>
      </c>
      <c r="L12" s="546">
        <f>'Haver Pivoted'!GW31</f>
        <v>2888.4</v>
      </c>
      <c r="M12" s="546">
        <f>'Haver Pivoted'!GX31</f>
        <v>5138.1000000000004</v>
      </c>
      <c r="N12" s="546">
        <f>'Haver Pivoted'!GY31</f>
        <v>3397.8</v>
      </c>
      <c r="O12" s="546">
        <f>'Haver Pivoted'!GZ31</f>
        <v>3124.9</v>
      </c>
      <c r="P12" s="546">
        <f>'Haver Pivoted'!HA31</f>
        <v>2952.6</v>
      </c>
      <c r="Q12" s="546">
        <f>'Haver Pivoted'!HB31</f>
        <v>2970.9</v>
      </c>
      <c r="R12" s="546">
        <f>'Haver Pivoted'!HC31</f>
        <v>2976.2</v>
      </c>
      <c r="S12" s="554">
        <f>'Haver Pivoted'!HD31</f>
        <v>2970.4</v>
      </c>
      <c r="T12" s="554">
        <f>'Haver Pivoted'!HE31</f>
        <v>3024.4</v>
      </c>
      <c r="U12" s="554">
        <f>'Haver Pivoted'!HF31</f>
        <v>3038.4</v>
      </c>
      <c r="V12" s="554">
        <f>'Haver Pivoted'!HG31</f>
        <v>3049.1</v>
      </c>
      <c r="W12" s="554">
        <f>'Haver Pivoted'!HH31</f>
        <v>3078</v>
      </c>
      <c r="X12" s="554">
        <f>'Haver Pivoted'!HI31</f>
        <v>3095.6</v>
      </c>
      <c r="Y12" s="554">
        <f>'Haver Pivoted'!HJ31</f>
        <v>3201.1</v>
      </c>
      <c r="Z12" s="554">
        <f>'Haver Pivoted'!HK31</f>
        <v>3243.1</v>
      </c>
      <c r="AA12" s="554">
        <f>'Haver Pivoted'!HL31</f>
        <v>3283.9</v>
      </c>
      <c r="AB12" s="547">
        <f t="shared" ref="AB12:AC12" si="0">SUM(AB14:AB31)-AB30</f>
        <v>3299.2779349148532</v>
      </c>
      <c r="AC12" s="715">
        <f t="shared" si="0"/>
        <v>3354.9879211287371</v>
      </c>
    </row>
    <row r="13" spans="2:36" x14ac:dyDescent="0.35">
      <c r="B13" s="288"/>
      <c r="C13" s="239"/>
      <c r="D13" s="590"/>
      <c r="E13" s="546"/>
      <c r="F13" s="546"/>
      <c r="G13" s="546"/>
      <c r="H13" s="546"/>
      <c r="I13" s="546"/>
      <c r="J13" s="546"/>
      <c r="K13" s="546"/>
      <c r="L13" s="546"/>
      <c r="M13" s="546"/>
      <c r="N13" s="546"/>
      <c r="O13" s="546"/>
      <c r="P13" s="239"/>
      <c r="Q13" s="219"/>
      <c r="R13" s="219"/>
      <c r="S13" s="219"/>
      <c r="T13" s="219"/>
      <c r="U13" s="219"/>
      <c r="V13" s="219"/>
      <c r="W13" s="219"/>
      <c r="X13" s="329"/>
      <c r="Y13" s="329"/>
      <c r="Z13" s="329"/>
      <c r="AA13" s="329"/>
      <c r="AB13" s="329"/>
      <c r="AC13" s="429"/>
    </row>
    <row r="14" spans="2:36" x14ac:dyDescent="0.35">
      <c r="B14" s="666" t="s">
        <v>1841</v>
      </c>
      <c r="C14" s="239"/>
      <c r="D14" s="590">
        <f>'Unemployment Insurance'!D21+'Unemployment Insurance'!D20</f>
        <v>27.1</v>
      </c>
      <c r="E14" s="546">
        <f>'Unemployment Insurance'!E21+'Unemployment Insurance'!E20</f>
        <v>29.6</v>
      </c>
      <c r="F14" s="546">
        <f>'Unemployment Insurance'!F21+'Unemployment Insurance'!F20</f>
        <v>27.3</v>
      </c>
      <c r="G14" s="546">
        <f>'Unemployment Insurance'!G21+'Unemployment Insurance'!G20</f>
        <v>26.4</v>
      </c>
      <c r="H14" s="546">
        <f>'Unemployment Insurance'!H21+'Unemployment Insurance'!H20</f>
        <v>26.7</v>
      </c>
      <c r="I14" s="546">
        <f>'Unemployment Insurance'!I21+'Unemployment Insurance'!I20</f>
        <v>40.1</v>
      </c>
      <c r="J14" s="546">
        <f>'Unemployment Insurance'!J21+'Unemployment Insurance'!J20</f>
        <v>951.5</v>
      </c>
      <c r="K14" s="546">
        <f>'Unemployment Insurance'!K21+'Unemployment Insurance'!K20</f>
        <v>800</v>
      </c>
      <c r="L14" s="546">
        <f>'Unemployment Insurance'!L21+'Unemployment Insurance'!L20</f>
        <v>322.7</v>
      </c>
      <c r="M14" s="546">
        <f>'Unemployment Insurance'!M21+'Unemployment Insurance'!M20</f>
        <v>583.79999999999995</v>
      </c>
      <c r="N14" s="546">
        <f>'Unemployment Insurance'!N21+'Unemployment Insurance'!N20</f>
        <v>440.8</v>
      </c>
      <c r="O14" s="546">
        <f>'Unemployment Insurance'!O21+'Unemployment Insurance'!O20</f>
        <v>212.8</v>
      </c>
      <c r="P14" s="546">
        <f>'Unemployment Insurance'!P21+'Unemployment Insurance'!P20</f>
        <v>31.8</v>
      </c>
      <c r="Q14" s="546">
        <f>'Unemployment Insurance'!Q21+'Unemployment Insurance'!Q20</f>
        <v>24.5</v>
      </c>
      <c r="R14" s="546">
        <f>'Unemployment Insurance'!R21+'Unemployment Insurance'!R20</f>
        <v>21.7</v>
      </c>
      <c r="S14" s="546">
        <f>'Unemployment Insurance'!S21+'Unemployment Insurance'!S20</f>
        <v>23.1</v>
      </c>
      <c r="T14" s="546">
        <f>'Unemployment Insurance'!T21+'Unemployment Insurance'!T20</f>
        <v>25.9</v>
      </c>
      <c r="U14" s="546">
        <f>'Unemployment Insurance'!U21+'Unemployment Insurance'!U20</f>
        <v>30.1</v>
      </c>
      <c r="V14" s="554">
        <f t="shared" ref="V14:AA14" si="1">V15+V16</f>
        <v>30.960000000000004</v>
      </c>
      <c r="W14" s="554">
        <f t="shared" si="1"/>
        <v>30.960000000000004</v>
      </c>
      <c r="X14" s="554">
        <f t="shared" si="1"/>
        <v>35.299999999999997</v>
      </c>
      <c r="Y14" s="554">
        <f t="shared" si="1"/>
        <v>34.9</v>
      </c>
      <c r="Z14" s="554">
        <f t="shared" si="1"/>
        <v>34.9</v>
      </c>
      <c r="AA14" s="554">
        <f t="shared" si="1"/>
        <v>35.700000000000003</v>
      </c>
      <c r="AB14" s="547">
        <f>'Unemployment Insurance'!AB21+'Unemployment Insurance'!AB20</f>
        <v>35.700000000000003</v>
      </c>
      <c r="AC14" s="715">
        <f>'Unemployment Insurance'!AC21+'Unemployment Insurance'!AC20</f>
        <v>35.700000000000003</v>
      </c>
    </row>
    <row r="15" spans="2:36" x14ac:dyDescent="0.35">
      <c r="B15" s="413" t="s">
        <v>203</v>
      </c>
      <c r="C15" s="239"/>
      <c r="D15" s="590"/>
      <c r="E15" s="546"/>
      <c r="F15" s="546"/>
      <c r="G15" s="546"/>
      <c r="H15" s="546"/>
      <c r="I15" s="546"/>
      <c r="J15" s="546"/>
      <c r="K15" s="546"/>
      <c r="L15" s="546"/>
      <c r="M15" s="546"/>
      <c r="N15" s="546"/>
      <c r="O15" s="546"/>
      <c r="P15" s="546"/>
      <c r="Q15" s="546"/>
      <c r="R15" s="546"/>
      <c r="S15" s="546"/>
      <c r="T15" s="546"/>
      <c r="U15" s="546"/>
      <c r="V15" s="554">
        <f>'Unemployment Insurance'!V20</f>
        <v>0</v>
      </c>
      <c r="W15" s="554">
        <f>'Unemployment Insurance'!W20</f>
        <v>0</v>
      </c>
      <c r="X15" s="554">
        <f>'Unemployment Insurance'!X20</f>
        <v>4.632399999999997</v>
      </c>
      <c r="Y15" s="554">
        <f>'Unemployment Insurance'!Y20</f>
        <v>3.0799999999999947</v>
      </c>
      <c r="Z15" s="554">
        <f>'Unemployment Insurance'!Z20</f>
        <v>0</v>
      </c>
      <c r="AA15" s="554">
        <f>'Unemployment Insurance'!AA20</f>
        <v>0</v>
      </c>
      <c r="AB15" s="547"/>
      <c r="AC15" s="715"/>
    </row>
    <row r="16" spans="2:36" x14ac:dyDescent="0.35">
      <c r="B16" s="413" t="s">
        <v>205</v>
      </c>
      <c r="C16" s="239"/>
      <c r="D16" s="590"/>
      <c r="E16" s="546"/>
      <c r="F16" s="546"/>
      <c r="G16" s="546"/>
      <c r="H16" s="546"/>
      <c r="I16" s="546"/>
      <c r="J16" s="546"/>
      <c r="K16" s="546"/>
      <c r="L16" s="546"/>
      <c r="M16" s="546"/>
      <c r="N16" s="546"/>
      <c r="O16" s="546"/>
      <c r="P16" s="546"/>
      <c r="Q16" s="546"/>
      <c r="R16" s="546"/>
      <c r="S16" s="546"/>
      <c r="T16" s="546"/>
      <c r="U16" s="546"/>
      <c r="V16" s="554">
        <f>'Unemployment Insurance'!V21</f>
        <v>30.960000000000004</v>
      </c>
      <c r="W16" s="554">
        <f>'Unemployment Insurance'!W21</f>
        <v>30.960000000000004</v>
      </c>
      <c r="X16" s="554">
        <f>'Unemployment Insurance'!X21</f>
        <v>30.6676</v>
      </c>
      <c r="Y16" s="554">
        <f>'Unemployment Insurance'!Y21</f>
        <v>31.820000000000004</v>
      </c>
      <c r="Z16" s="554">
        <f>'Unemployment Insurance'!Z21</f>
        <v>34.9</v>
      </c>
      <c r="AA16" s="554">
        <f>'Unemployment Insurance'!AA21</f>
        <v>35.700000000000003</v>
      </c>
      <c r="AB16" s="547"/>
      <c r="AC16" s="715"/>
    </row>
    <row r="17" spans="2:102" ht="17.899999999999999" customHeight="1" x14ac:dyDescent="0.35">
      <c r="B17" s="666" t="s">
        <v>55</v>
      </c>
      <c r="C17" s="239"/>
      <c r="D17" s="590">
        <f>Medicare!D10</f>
        <v>755</v>
      </c>
      <c r="E17" s="546">
        <f>Medicare!E10</f>
        <v>773.5</v>
      </c>
      <c r="F17" s="546">
        <f>Medicare!F10</f>
        <v>788.5</v>
      </c>
      <c r="G17" s="546">
        <f>Medicare!G10</f>
        <v>798</v>
      </c>
      <c r="H17" s="546">
        <f>Medicare!H10</f>
        <v>802</v>
      </c>
      <c r="I17" s="546">
        <f>Medicare!I10</f>
        <v>801.9</v>
      </c>
      <c r="J17" s="546">
        <f>Medicare!J10</f>
        <v>814.3</v>
      </c>
      <c r="K17" s="546">
        <f>Medicare!K10</f>
        <v>826.6</v>
      </c>
      <c r="L17" s="546">
        <f>Medicare!L10</f>
        <v>838.8</v>
      </c>
      <c r="M17" s="546">
        <f>Medicare!M10</f>
        <v>854.9</v>
      </c>
      <c r="N17" s="546">
        <f>Medicare!N10</f>
        <v>871.2</v>
      </c>
      <c r="O17" s="546">
        <f>Medicare!O10</f>
        <v>887.1</v>
      </c>
      <c r="P17" s="546">
        <f>Medicare!P10</f>
        <v>902.4</v>
      </c>
      <c r="Q17" s="546">
        <f>Medicare!Q10</f>
        <v>917.6</v>
      </c>
      <c r="R17" s="546">
        <f>Medicare!R10</f>
        <v>926.6</v>
      </c>
      <c r="S17" s="546">
        <f>Medicare!S10</f>
        <v>937.4</v>
      </c>
      <c r="T17" s="546">
        <f>Medicare!T10</f>
        <v>958.5</v>
      </c>
      <c r="U17" s="546">
        <f>Medicare!U10</f>
        <v>981.1</v>
      </c>
      <c r="V17" s="546">
        <f>Medicare!V10</f>
        <v>1001.8</v>
      </c>
      <c r="W17" s="546">
        <f>Medicare!W10</f>
        <v>1019.9</v>
      </c>
      <c r="X17" s="547">
        <f>Medicare!X10</f>
        <v>1035.3</v>
      </c>
      <c r="Y17" s="547">
        <f>Medicare!Y10</f>
        <v>1049.2</v>
      </c>
      <c r="Z17" s="547">
        <f>Medicare!Z10</f>
        <v>1067.0999999999999</v>
      </c>
      <c r="AA17" s="547">
        <f>Medicare!AA10</f>
        <v>1090.2</v>
      </c>
      <c r="AB17" s="547">
        <f>Medicare!AB10</f>
        <v>1116.0159349148526</v>
      </c>
      <c r="AC17" s="715">
        <f>Medicare!AC10</f>
        <v>1130.1590311547368</v>
      </c>
    </row>
    <row r="18" spans="2:102" ht="18" customHeight="1" x14ac:dyDescent="0.35">
      <c r="B18" s="667" t="s">
        <v>468</v>
      </c>
      <c r="C18" s="239"/>
      <c r="D18" s="271"/>
      <c r="E18" s="219"/>
      <c r="F18" s="219"/>
      <c r="G18" s="219"/>
      <c r="H18" s="546">
        <f>'Rebate Checks (expired)'!H10 +'Rebate Checks (expired)'!H11</f>
        <v>0</v>
      </c>
      <c r="I18" s="546">
        <f>'Rebate Checks (expired)'!I10 +'Rebate Checks (expired)'!I11</f>
        <v>0</v>
      </c>
      <c r="J18" s="546">
        <f>'Rebate Checks (expired)'!J10 +'Rebate Checks (expired)'!J11</f>
        <v>1078.0999999999999</v>
      </c>
      <c r="K18" s="546">
        <f>'Rebate Checks (expired)'!K10 +'Rebate Checks (expired)'!K11</f>
        <v>15.6</v>
      </c>
      <c r="L18" s="546">
        <f>'Rebate Checks (expired)'!L10 +'Rebate Checks (expired)'!L11</f>
        <v>5</v>
      </c>
      <c r="M18" s="546">
        <f>'Rebate Checks (expired)'!M10 +'Rebate Checks (expired)'!M11</f>
        <v>1933.6999999999998</v>
      </c>
      <c r="N18" s="546">
        <f>'Rebate Checks (expired)'!N10 +'Rebate Checks (expired)'!N11</f>
        <v>290.10000000000002</v>
      </c>
      <c r="O18" s="546">
        <f>'Rebate Checks (expired)'!O10 +'Rebate Checks (expired)'!O11</f>
        <v>38.9</v>
      </c>
      <c r="P18" s="546">
        <f>'Rebate Checks (expired)'!P10 +'Rebate Checks (expired)'!P11</f>
        <v>14.2</v>
      </c>
      <c r="Q18" s="546">
        <f>'Rebate Checks (expired)'!Q10 +'Rebate Checks (expired)'!Q11</f>
        <v>0</v>
      </c>
      <c r="R18" s="546">
        <f>'Rebate Checks (expired)'!Q10 +'Rebate Checks (expired)'!R11</f>
        <v>0</v>
      </c>
      <c r="S18" s="546">
        <f>'Rebate Checks (expired)'!S10 +'Rebate Checks (expired)'!S11</f>
        <v>0</v>
      </c>
      <c r="T18" s="546">
        <f>'Rebate Checks (expired)'!T10 +'Rebate Checks (expired)'!T11</f>
        <v>0</v>
      </c>
      <c r="U18" s="546">
        <f>'Rebate Checks (expired)'!U10 +'Rebate Checks (expired)'!U11</f>
        <v>0</v>
      </c>
      <c r="V18" s="554">
        <f t="shared" ref="V18:AA18" si="2">V19+V20</f>
        <v>0</v>
      </c>
      <c r="W18" s="554">
        <f t="shared" si="2"/>
        <v>0</v>
      </c>
      <c r="X18" s="554">
        <f t="shared" si="2"/>
        <v>0</v>
      </c>
      <c r="Y18" s="554">
        <f t="shared" si="2"/>
        <v>0</v>
      </c>
      <c r="Z18" s="554">
        <f t="shared" si="2"/>
        <v>0</v>
      </c>
      <c r="AA18" s="554">
        <f t="shared" si="2"/>
        <v>0</v>
      </c>
      <c r="AB18" s="547">
        <f>'Rebate Checks (expired)'!AB10 +'Rebate Checks (expired)'!AB11</f>
        <v>0</v>
      </c>
      <c r="AC18" s="715">
        <f>'Rebate Checks (expired)'!AC10 +'Rebate Checks (expired)'!AC11</f>
        <v>0</v>
      </c>
    </row>
    <row r="19" spans="2:102" ht="18" customHeight="1" x14ac:dyDescent="0.35">
      <c r="B19" s="668" t="s">
        <v>1842</v>
      </c>
      <c r="C19" s="239"/>
      <c r="D19" s="271"/>
      <c r="E19" s="219"/>
      <c r="F19" s="219"/>
      <c r="G19" s="219"/>
      <c r="H19" s="546"/>
      <c r="I19" s="546"/>
      <c r="J19" s="546"/>
      <c r="K19" s="546"/>
      <c r="L19" s="546"/>
      <c r="M19" s="546"/>
      <c r="N19" s="546"/>
      <c r="O19" s="546"/>
      <c r="P19" s="546"/>
      <c r="Q19" s="546"/>
      <c r="R19" s="546"/>
      <c r="S19" s="546"/>
      <c r="T19" s="546"/>
      <c r="U19" s="546"/>
      <c r="V19" s="546">
        <v>0</v>
      </c>
      <c r="W19" s="546"/>
      <c r="X19" s="547"/>
      <c r="Y19" s="547"/>
      <c r="Z19" s="547"/>
      <c r="AA19" s="547"/>
      <c r="AB19" s="547"/>
      <c r="AC19" s="715"/>
    </row>
    <row r="20" spans="2:102" ht="18" customHeight="1" x14ac:dyDescent="0.35">
      <c r="B20" s="668" t="s">
        <v>1843</v>
      </c>
      <c r="C20" s="239"/>
      <c r="D20" s="271"/>
      <c r="E20" s="219"/>
      <c r="F20" s="219"/>
      <c r="G20" s="219"/>
      <c r="H20" s="546"/>
      <c r="I20" s="546"/>
      <c r="J20" s="546"/>
      <c r="K20" s="546"/>
      <c r="L20" s="546"/>
      <c r="M20" s="546"/>
      <c r="N20" s="546"/>
      <c r="O20" s="546"/>
      <c r="P20" s="546"/>
      <c r="Q20" s="546"/>
      <c r="R20" s="546"/>
      <c r="S20" s="546"/>
      <c r="T20" s="546"/>
      <c r="U20" s="546"/>
      <c r="V20" s="546">
        <v>0</v>
      </c>
      <c r="W20" s="546"/>
      <c r="X20" s="547"/>
      <c r="Y20" s="547"/>
      <c r="Z20" s="547"/>
      <c r="AA20" s="547"/>
      <c r="AB20" s="547"/>
      <c r="AC20" s="715"/>
    </row>
    <row r="21" spans="2:102" ht="18" customHeight="1" x14ac:dyDescent="0.35">
      <c r="B21" s="669" t="s">
        <v>49</v>
      </c>
      <c r="C21" s="239"/>
      <c r="D21" s="270">
        <f>'Provider Relief (expired)'!D11</f>
        <v>0</v>
      </c>
      <c r="E21" s="231">
        <f>'Provider Relief (expired)'!E11</f>
        <v>0</v>
      </c>
      <c r="F21" s="231">
        <f>'Provider Relief (expired)'!F11</f>
        <v>0</v>
      </c>
      <c r="G21" s="231">
        <f>'Provider Relief (expired)'!G11</f>
        <v>0</v>
      </c>
      <c r="H21" s="231">
        <f>'Provider Relief (expired)'!H11</f>
        <v>0</v>
      </c>
      <c r="I21" s="231">
        <f>'Provider Relief (expired)'!I11</f>
        <v>0</v>
      </c>
      <c r="J21" s="231">
        <f>'Provider Relief (expired)'!J11</f>
        <v>160.9</v>
      </c>
      <c r="K21" s="231">
        <f>'Provider Relief (expired)'!K11</f>
        <v>58.4</v>
      </c>
      <c r="L21" s="231">
        <f>'Provider Relief (expired)'!L11</f>
        <v>34.5</v>
      </c>
      <c r="M21" s="231">
        <f>'Provider Relief (expired)'!M11</f>
        <v>21.4</v>
      </c>
      <c r="N21" s="231">
        <f>'Provider Relief (expired)'!N11</f>
        <v>13.3</v>
      </c>
      <c r="O21" s="231">
        <f>'Provider Relief (expired)'!O11</f>
        <v>18.7</v>
      </c>
      <c r="P21" s="231">
        <f>'Provider Relief (expired)'!P11</f>
        <v>32.200000000000003</v>
      </c>
      <c r="Q21" s="231">
        <f>'Provider Relief (expired)'!Q11</f>
        <v>26.9</v>
      </c>
      <c r="R21" s="231">
        <f>'Provider Relief (expired)'!R11</f>
        <v>20</v>
      </c>
      <c r="S21" s="231">
        <f>'Provider Relief (expired)'!S11</f>
        <v>8.1</v>
      </c>
      <c r="T21" s="231">
        <f>'Provider Relief (expired)'!T11</f>
        <v>4.9000000000000004</v>
      </c>
      <c r="U21" s="231">
        <v>0</v>
      </c>
      <c r="V21" s="546">
        <v>0</v>
      </c>
      <c r="W21" s="546">
        <v>0</v>
      </c>
      <c r="X21" s="547">
        <v>0</v>
      </c>
      <c r="Y21" s="547">
        <v>0</v>
      </c>
      <c r="Z21" s="547">
        <v>0</v>
      </c>
      <c r="AA21" s="547">
        <v>0</v>
      </c>
      <c r="AB21" s="547">
        <v>0</v>
      </c>
      <c r="AC21" s="547">
        <v>0</v>
      </c>
      <c r="AD21" s="547">
        <v>0</v>
      </c>
      <c r="AE21" s="547">
        <v>0</v>
      </c>
      <c r="AF21" s="547">
        <v>0</v>
      </c>
      <c r="AG21" s="547">
        <v>0</v>
      </c>
      <c r="AH21" s="547">
        <v>0</v>
      </c>
      <c r="AI21" s="547">
        <v>0</v>
      </c>
      <c r="AJ21" s="547">
        <v>0</v>
      </c>
    </row>
    <row r="22" spans="2:102" ht="18" customHeight="1" x14ac:dyDescent="0.35">
      <c r="B22" s="288" t="s">
        <v>1844</v>
      </c>
      <c r="C22" s="239"/>
      <c r="D22" s="270"/>
      <c r="E22" s="231"/>
      <c r="F22" s="231"/>
      <c r="G22" s="231"/>
      <c r="H22" s="231"/>
      <c r="I22" s="231"/>
      <c r="J22" s="231"/>
      <c r="K22" s="231"/>
      <c r="L22" s="231"/>
      <c r="M22" s="231"/>
      <c r="N22" s="231"/>
      <c r="O22" s="231"/>
      <c r="P22" s="231"/>
      <c r="Q22" s="231"/>
      <c r="R22" s="231"/>
      <c r="S22" s="231"/>
      <c r="T22" s="231"/>
      <c r="U22" s="231"/>
      <c r="V22" s="546"/>
      <c r="W22" s="546"/>
      <c r="X22" s="547"/>
      <c r="Y22" s="547"/>
      <c r="Z22" s="547"/>
      <c r="AA22" s="547"/>
      <c r="AB22" s="547"/>
      <c r="AC22" s="715"/>
    </row>
    <row r="23" spans="2:102" ht="18" customHeight="1" x14ac:dyDescent="0.35">
      <c r="B23" s="288" t="s">
        <v>1845</v>
      </c>
      <c r="C23" s="239"/>
      <c r="D23" s="270"/>
      <c r="E23" s="231"/>
      <c r="F23" s="231"/>
      <c r="G23" s="231"/>
      <c r="H23" s="231"/>
      <c r="I23" s="231"/>
      <c r="J23" s="231"/>
      <c r="K23" s="231"/>
      <c r="L23" s="231"/>
      <c r="M23" s="231"/>
      <c r="N23" s="231"/>
      <c r="O23" s="231"/>
      <c r="P23" s="231"/>
      <c r="Q23" s="231"/>
      <c r="R23" s="231"/>
      <c r="S23" s="231"/>
      <c r="T23" s="231"/>
      <c r="U23" s="231"/>
      <c r="V23" s="546"/>
      <c r="W23" s="546"/>
      <c r="X23" s="547"/>
      <c r="Y23" s="547"/>
      <c r="Z23" s="547"/>
      <c r="AA23" s="547"/>
      <c r="AB23" s="547"/>
      <c r="AC23" s="715"/>
    </row>
    <row r="24" spans="2:102" ht="20.149999999999999" customHeight="1" x14ac:dyDescent="0.35">
      <c r="B24" s="265" t="s">
        <v>471</v>
      </c>
      <c r="C24" s="260"/>
      <c r="D24" s="717"/>
      <c r="E24" s="630"/>
      <c r="F24" s="630"/>
      <c r="G24" s="630"/>
      <c r="H24" s="549"/>
      <c r="I24" s="549"/>
      <c r="J24" s="549"/>
      <c r="K24" s="549"/>
      <c r="L24" s="549"/>
      <c r="M24" s="549">
        <f>'ARP Quarterly'!C5</f>
        <v>0</v>
      </c>
      <c r="N24" s="549">
        <f>'ARP Quarterly'!D5</f>
        <v>33.921840000000024</v>
      </c>
      <c r="O24" s="549">
        <f>'ARP Quarterly'!E5</f>
        <v>44.966160000000031</v>
      </c>
      <c r="P24" s="549">
        <f>'ARP Quarterly'!F5</f>
        <v>52.756999999999998</v>
      </c>
      <c r="Q24" s="549">
        <f>'ARP Quarterly'!G5</f>
        <v>52.756999999999998</v>
      </c>
      <c r="R24" s="549">
        <f>'ARP Quarterly'!H5</f>
        <v>52.756999999999998</v>
      </c>
      <c r="S24" s="549">
        <f>'ARP Quarterly'!I5</f>
        <v>52.756999999999998</v>
      </c>
      <c r="T24" s="549">
        <v>30</v>
      </c>
      <c r="U24" s="549">
        <f>'ARP Quarterly'!K5</f>
        <v>12</v>
      </c>
      <c r="V24" s="549">
        <f>'ARP Quarterly'!L5</f>
        <v>12</v>
      </c>
      <c r="W24" s="549">
        <f>'ARP Quarterly'!M5</f>
        <v>12</v>
      </c>
      <c r="X24" s="553">
        <f>'ARP Quarterly'!N5</f>
        <v>4.2219999999999995</v>
      </c>
      <c r="Y24" s="553">
        <f>'ARP Quarterly'!O5</f>
        <v>4.2219999999999995</v>
      </c>
      <c r="Z24" s="553">
        <f>'ARP Quarterly'!P5</f>
        <v>4.2219999999999995</v>
      </c>
      <c r="AA24" s="553">
        <f>'ARP Quarterly'!Q5</f>
        <v>4.2219999999999995</v>
      </c>
      <c r="AB24" s="553">
        <f>'ARP Quarterly'!R5</f>
        <v>2.3719999999999999</v>
      </c>
      <c r="AC24" s="553">
        <f>'ARP Quarterly'!S5</f>
        <v>2.3719999999999999</v>
      </c>
      <c r="AD24" s="553">
        <f>'ARP Quarterly'!T5</f>
        <v>2.3719999999999999</v>
      </c>
      <c r="AE24" s="553">
        <f>'ARP Quarterly'!U5</f>
        <v>2.3719999999999999</v>
      </c>
      <c r="AF24" s="553">
        <f>'ARP Quarterly'!V5</f>
        <v>0.49</v>
      </c>
      <c r="AG24" s="501">
        <v>0</v>
      </c>
      <c r="AH24" s="501">
        <v>0</v>
      </c>
      <c r="AI24" s="501">
        <v>0</v>
      </c>
      <c r="AJ24" s="501">
        <v>0</v>
      </c>
    </row>
    <row r="25" spans="2:102" ht="22.4" customHeight="1" x14ac:dyDescent="0.35">
      <c r="B25" s="246" t="s">
        <v>218</v>
      </c>
      <c r="C25" s="674"/>
      <c r="D25" s="270"/>
      <c r="E25" s="231"/>
      <c r="F25" s="231"/>
      <c r="G25" s="231"/>
      <c r="H25" s="231"/>
      <c r="I25" s="231"/>
      <c r="J25" s="231"/>
      <c r="K25" s="231"/>
      <c r="L25" s="231"/>
      <c r="M25" s="546">
        <f>'ARP Quarterly'!C4</f>
        <v>0</v>
      </c>
      <c r="N25" s="546">
        <f>'ARP Quarterly'!D4</f>
        <v>0</v>
      </c>
      <c r="O25" s="546">
        <f>'ARP Quarterly'!E4</f>
        <v>3.1040000000000418</v>
      </c>
      <c r="P25" s="546">
        <f>'ARP Quarterly'!F4</f>
        <v>19.719000000000005</v>
      </c>
      <c r="Q25" s="546">
        <f>'ARP Quarterly'!G4</f>
        <v>19.719000000000005</v>
      </c>
      <c r="R25" s="546">
        <f>'ARP Quarterly'!H4</f>
        <v>19.719000000000005</v>
      </c>
      <c r="S25" s="546">
        <f>'ARP Quarterly'!I4</f>
        <v>19.719000000000005</v>
      </c>
      <c r="T25" s="546">
        <f>'ARP Quarterly'!J4</f>
        <v>1.4159999999999999</v>
      </c>
      <c r="U25" s="546">
        <f>'ARP Quarterly'!K4</f>
        <v>1.4159999999999999</v>
      </c>
      <c r="V25" s="546">
        <f>'ARP Quarterly'!L4</f>
        <v>1.4159999999999999</v>
      </c>
      <c r="W25" s="546">
        <f>'ARP Quarterly'!M4</f>
        <v>1.4159999999999999</v>
      </c>
      <c r="X25" s="547">
        <f>'ARP Quarterly'!N4</f>
        <v>1.4790000000000001</v>
      </c>
      <c r="Y25" s="547">
        <f>'ARP Quarterly'!O4</f>
        <v>1.4790000000000001</v>
      </c>
      <c r="Z25" s="547">
        <f>'ARP Quarterly'!P4</f>
        <v>1.4790000000000001</v>
      </c>
      <c r="AA25" s="547">
        <f>'ARP Quarterly'!Q4</f>
        <v>1.4790000000000001</v>
      </c>
      <c r="AB25" s="547">
        <f>'ARP Quarterly'!R4</f>
        <v>1.63</v>
      </c>
      <c r="AC25" s="547">
        <f>'ARP Quarterly'!S4</f>
        <v>1.63</v>
      </c>
      <c r="AD25" s="547">
        <f>'ARP Quarterly'!T4</f>
        <v>1.63</v>
      </c>
      <c r="AE25" s="547">
        <f>'ARP Quarterly'!U4</f>
        <v>1.63</v>
      </c>
      <c r="AF25" s="547">
        <f>'ARP Quarterly'!V4</f>
        <v>1.671</v>
      </c>
      <c r="AG25" s="672">
        <v>0</v>
      </c>
      <c r="AH25" s="672">
        <v>0</v>
      </c>
      <c r="AI25" s="672">
        <v>0</v>
      </c>
      <c r="AJ25" s="672">
        <v>0</v>
      </c>
      <c r="AK25" s="674"/>
      <c r="AL25" s="674"/>
      <c r="AM25" s="674"/>
      <c r="AN25" s="674"/>
      <c r="AO25" s="674"/>
      <c r="AP25" s="674"/>
      <c r="AQ25" s="674"/>
      <c r="AR25" s="674"/>
      <c r="AS25" s="674"/>
      <c r="AT25" s="674"/>
      <c r="AU25" s="674"/>
      <c r="AV25" s="674"/>
      <c r="AW25" s="674"/>
      <c r="AX25" s="674"/>
      <c r="AY25" s="674"/>
      <c r="AZ25" s="674"/>
      <c r="BA25" s="674"/>
      <c r="BB25" s="674"/>
      <c r="BC25" s="674"/>
      <c r="BD25" s="674"/>
      <c r="BE25" s="674"/>
      <c r="BF25" s="674"/>
      <c r="BG25" s="674"/>
      <c r="BH25" s="674"/>
      <c r="BI25" s="674"/>
      <c r="BJ25" s="674"/>
      <c r="BK25" s="674"/>
      <c r="BL25" s="674"/>
      <c r="BM25" s="674"/>
      <c r="BN25" s="674"/>
      <c r="BO25" s="674"/>
      <c r="BP25" s="674"/>
      <c r="BQ25" s="674"/>
      <c r="BR25" s="674"/>
      <c r="BS25" s="674"/>
      <c r="BT25" s="674"/>
      <c r="BU25" s="674"/>
      <c r="BV25" s="674"/>
      <c r="BW25" s="674"/>
      <c r="BX25" s="674"/>
      <c r="BY25" s="674"/>
      <c r="BZ25" s="674"/>
      <c r="CA25" s="674"/>
      <c r="CB25" s="674"/>
      <c r="CC25" s="674"/>
      <c r="CD25" s="674"/>
      <c r="CE25" s="674"/>
      <c r="CF25" s="674"/>
      <c r="CG25" s="674"/>
      <c r="CH25" s="674"/>
      <c r="CI25" s="674"/>
      <c r="CJ25" s="674"/>
      <c r="CK25" s="674"/>
      <c r="CL25" s="674"/>
      <c r="CM25" s="674"/>
      <c r="CN25" s="674"/>
      <c r="CO25" s="674"/>
      <c r="CP25" s="674"/>
      <c r="CQ25" s="674"/>
      <c r="CR25" s="674"/>
      <c r="CS25" s="674"/>
      <c r="CT25" s="674"/>
      <c r="CU25" s="674"/>
      <c r="CV25" s="674"/>
      <c r="CW25" s="674"/>
      <c r="CX25" s="674"/>
    </row>
    <row r="26" spans="2:102" ht="36.65" customHeight="1" x14ac:dyDescent="0.35">
      <c r="B26" s="246" t="s">
        <v>1432</v>
      </c>
      <c r="C26" s="239"/>
      <c r="D26" s="271">
        <f>D50</f>
        <v>0</v>
      </c>
      <c r="E26" s="219">
        <f t="shared" ref="E26:AF26" si="3">E50</f>
        <v>0</v>
      </c>
      <c r="F26" s="219">
        <f t="shared" si="3"/>
        <v>0</v>
      </c>
      <c r="G26" s="219">
        <f t="shared" si="3"/>
        <v>0</v>
      </c>
      <c r="H26" s="219">
        <f t="shared" si="3"/>
        <v>0</v>
      </c>
      <c r="I26" s="546">
        <f t="shared" si="3"/>
        <v>6.9120000000000061</v>
      </c>
      <c r="J26" s="546">
        <f t="shared" si="3"/>
        <v>50.955000000000005</v>
      </c>
      <c r="K26" s="546">
        <f t="shared" si="3"/>
        <v>51.173999999999999</v>
      </c>
      <c r="L26" s="546">
        <f t="shared" si="3"/>
        <v>51.893999999999998</v>
      </c>
      <c r="M26" s="546">
        <f t="shared" si="3"/>
        <v>91.075000000000017</v>
      </c>
      <c r="N26" s="546">
        <f t="shared" si="3"/>
        <v>100.63400000000001</v>
      </c>
      <c r="O26" s="546">
        <f t="shared" si="3"/>
        <v>93.89100000000002</v>
      </c>
      <c r="P26" s="546">
        <f t="shared" si="3"/>
        <v>100.22800000000001</v>
      </c>
      <c r="Q26" s="546">
        <f t="shared" si="3"/>
        <v>76.838999999999999</v>
      </c>
      <c r="R26" s="546">
        <f t="shared" si="3"/>
        <v>73.637</v>
      </c>
      <c r="S26" s="546">
        <f t="shared" si="3"/>
        <v>70.649000000000001</v>
      </c>
      <c r="T26" s="546">
        <f t="shared" si="3"/>
        <v>91.718000000000018</v>
      </c>
      <c r="U26" s="546">
        <f t="shared" si="3"/>
        <v>83.695999999999998</v>
      </c>
      <c r="V26" s="546">
        <f>V50</f>
        <v>51.979000000000006</v>
      </c>
      <c r="W26" s="546">
        <f>W50</f>
        <v>51.58400000000001</v>
      </c>
      <c r="X26" s="547">
        <f t="shared" si="3"/>
        <v>38.777999999999999</v>
      </c>
      <c r="Y26" s="547">
        <f t="shared" si="3"/>
        <v>37.295999999999999</v>
      </c>
      <c r="Z26" s="547">
        <f t="shared" si="3"/>
        <v>41.408000000000008</v>
      </c>
      <c r="AA26" s="547">
        <f t="shared" si="3"/>
        <v>48.199000000000005</v>
      </c>
      <c r="AB26" s="547">
        <f t="shared" si="3"/>
        <v>48.199000000000005</v>
      </c>
      <c r="AC26" s="547">
        <f t="shared" si="3"/>
        <v>48.199000000000005</v>
      </c>
      <c r="AD26" s="547">
        <f t="shared" si="3"/>
        <v>48.199000000000005</v>
      </c>
      <c r="AE26" s="547">
        <f t="shared" si="3"/>
        <v>48.199000000000005</v>
      </c>
      <c r="AF26" s="547">
        <f t="shared" si="3"/>
        <v>48.199000000000005</v>
      </c>
      <c r="AG26" s="547">
        <f>AG50</f>
        <v>48.199000000000005</v>
      </c>
      <c r="AH26" s="547">
        <f>AH50</f>
        <v>48.199000000000005</v>
      </c>
      <c r="AI26" s="547">
        <f>AI50</f>
        <v>48.199000000000005</v>
      </c>
      <c r="AJ26" s="547">
        <f>AJ50</f>
        <v>48.199000000000005</v>
      </c>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c r="BQ26" s="239"/>
      <c r="BR26" s="239"/>
      <c r="BS26" s="239"/>
      <c r="BT26" s="239"/>
      <c r="BU26" s="239"/>
      <c r="BV26" s="239"/>
      <c r="BW26" s="239"/>
      <c r="BX26" s="239"/>
      <c r="BY26" s="239"/>
      <c r="BZ26" s="239"/>
      <c r="CA26" s="239"/>
      <c r="CB26" s="239"/>
      <c r="CC26" s="239"/>
      <c r="CD26" s="239"/>
      <c r="CE26" s="239"/>
      <c r="CF26" s="239"/>
      <c r="CG26" s="239"/>
      <c r="CH26" s="239"/>
      <c r="CI26" s="239"/>
      <c r="CJ26" s="239"/>
      <c r="CK26" s="239"/>
      <c r="CL26" s="239"/>
      <c r="CM26" s="239"/>
      <c r="CN26" s="239"/>
      <c r="CO26" s="239"/>
      <c r="CP26" s="239"/>
      <c r="CQ26" s="239"/>
      <c r="CR26" s="239"/>
      <c r="CS26" s="239"/>
      <c r="CT26" s="239"/>
      <c r="CU26" s="239"/>
      <c r="CV26" s="239"/>
      <c r="CW26" s="239"/>
    </row>
    <row r="27" spans="2:102" ht="15.65" customHeight="1" x14ac:dyDescent="0.35">
      <c r="B27" s="246" t="s">
        <v>797</v>
      </c>
      <c r="C27" s="239" t="s">
        <v>824</v>
      </c>
      <c r="D27" s="270">
        <v>30</v>
      </c>
      <c r="E27" s="231">
        <v>30</v>
      </c>
      <c r="F27" s="231">
        <v>30</v>
      </c>
      <c r="G27" s="231">
        <v>30</v>
      </c>
      <c r="H27" s="231">
        <v>30</v>
      </c>
      <c r="I27" s="231">
        <v>30</v>
      </c>
      <c r="J27" s="231">
        <v>30</v>
      </c>
      <c r="K27" s="227">
        <v>30.2</v>
      </c>
      <c r="L27" s="227">
        <v>30.2</v>
      </c>
      <c r="M27" s="227">
        <f>'Haver Pivoted'!GX89</f>
        <v>34.4</v>
      </c>
      <c r="N27" s="227">
        <f>'Haver Pivoted'!GY89</f>
        <v>34.4</v>
      </c>
      <c r="O27" s="227">
        <f>'Haver Pivoted'!GZ89</f>
        <v>218.933333333333</v>
      </c>
      <c r="P27" s="227">
        <f>'Haver Pivoted'!HA89</f>
        <v>223.13333333333301</v>
      </c>
      <c r="Q27" s="227">
        <f>'Haver Pivoted'!HB89</f>
        <v>94.3</v>
      </c>
      <c r="R27" s="227">
        <f>'Haver Pivoted'!HC89</f>
        <v>94.3</v>
      </c>
      <c r="S27" s="441">
        <f>'Haver Pivoted'!HD89</f>
        <v>94.3</v>
      </c>
      <c r="T27" s="441">
        <f>'Haver Pivoted'!HE89</f>
        <v>94.3</v>
      </c>
      <c r="U27" s="547">
        <v>34</v>
      </c>
      <c r="V27" s="546">
        <v>34</v>
      </c>
      <c r="W27" s="546">
        <v>34</v>
      </c>
      <c r="X27" s="547">
        <v>34</v>
      </c>
      <c r="Y27" s="547">
        <v>34</v>
      </c>
      <c r="Z27" s="547">
        <v>34</v>
      </c>
      <c r="AA27" s="547">
        <v>34</v>
      </c>
      <c r="AB27" s="547">
        <v>34</v>
      </c>
      <c r="AC27" s="547">
        <v>34</v>
      </c>
      <c r="AD27" s="547">
        <v>34</v>
      </c>
      <c r="AE27" s="547">
        <v>34</v>
      </c>
      <c r="AF27" s="547">
        <v>34</v>
      </c>
      <c r="AG27" s="547">
        <v>34</v>
      </c>
      <c r="AH27" s="547">
        <v>34</v>
      </c>
      <c r="AI27" s="547">
        <v>35</v>
      </c>
      <c r="AJ27" s="547">
        <v>36</v>
      </c>
    </row>
    <row r="28" spans="2:102" ht="21.65" customHeight="1" x14ac:dyDescent="0.35">
      <c r="B28" s="246" t="s">
        <v>469</v>
      </c>
      <c r="C28" s="239"/>
      <c r="D28" s="271"/>
      <c r="E28" s="219"/>
      <c r="F28" s="219"/>
      <c r="G28" s="219"/>
      <c r="H28" s="546"/>
      <c r="I28" s="546"/>
      <c r="J28" s="546">
        <f>'PPP (expired)'!J53</f>
        <v>57.2</v>
      </c>
      <c r="K28" s="546">
        <f>'PPP (expired)'!K53</f>
        <v>81.2</v>
      </c>
      <c r="L28" s="546">
        <f>'PPP (expired)'!L53</f>
        <v>24.4</v>
      </c>
      <c r="M28" s="546">
        <f>'PPP (expired)'!M53</f>
        <v>11.7</v>
      </c>
      <c r="N28" s="546">
        <f>'PPP (expired)'!N53</f>
        <v>28.5</v>
      </c>
      <c r="O28" s="546">
        <f>'PPP (expired)'!O53</f>
        <v>18.8</v>
      </c>
      <c r="P28" s="546">
        <f>'PPP (expired)'!P53</f>
        <v>1.6</v>
      </c>
      <c r="Q28" s="546">
        <f>'PPP (expired)'!Q53</f>
        <v>0</v>
      </c>
      <c r="R28" s="546">
        <f>'PPP (expired)'!Q61</f>
        <v>0</v>
      </c>
      <c r="S28" s="546">
        <f>'PPP (expired)'!S53</f>
        <v>0</v>
      </c>
      <c r="T28" s="546">
        <f>'PPP (expired)'!T53</f>
        <v>0</v>
      </c>
      <c r="U28" s="546">
        <f>'PPP (expired)'!U53</f>
        <v>0</v>
      </c>
      <c r="V28" s="546">
        <f>'PPP (expired)'!V53</f>
        <v>0</v>
      </c>
      <c r="W28" s="546">
        <f>'PPP (expired)'!W53</f>
        <v>0</v>
      </c>
      <c r="X28" s="547">
        <f>'PPP (expired)'!X53</f>
        <v>0</v>
      </c>
      <c r="Y28" s="547">
        <f>'PPP (expired)'!Y53</f>
        <v>0</v>
      </c>
      <c r="Z28" s="547">
        <f>'PPP (expired)'!Z53</f>
        <v>0</v>
      </c>
      <c r="AA28" s="547">
        <f>'PPP (expired)'!AA53</f>
        <v>0</v>
      </c>
      <c r="AB28" s="547">
        <f>'PPP (expired)'!AB53</f>
        <v>0</v>
      </c>
      <c r="AC28" s="547">
        <f>'PPP (expired)'!AC53</f>
        <v>0</v>
      </c>
      <c r="AD28" s="547">
        <f>'PPP (expired)'!AD53</f>
        <v>0</v>
      </c>
      <c r="AE28" s="547">
        <f>'PPP (expired)'!AE53</f>
        <v>0</v>
      </c>
      <c r="AF28" s="547">
        <f>'PPP (expired)'!AF53</f>
        <v>0</v>
      </c>
      <c r="AG28" s="547">
        <f>'PPP (expired)'!AG53</f>
        <v>0</v>
      </c>
      <c r="AH28" s="547">
        <f>'PPP (expired)'!AH53</f>
        <v>0</v>
      </c>
      <c r="AI28" s="547">
        <f>'PPP (expired)'!AI53</f>
        <v>0</v>
      </c>
      <c r="AJ28" s="547">
        <f>'PPP (expired)'!AJ53</f>
        <v>0</v>
      </c>
    </row>
    <row r="29" spans="2:102" ht="21.65" customHeight="1" x14ac:dyDescent="0.35">
      <c r="B29" s="288" t="s">
        <v>798</v>
      </c>
      <c r="C29" s="239"/>
      <c r="D29" s="590">
        <f t="shared" ref="D29:AE29" si="4">D74</f>
        <v>0</v>
      </c>
      <c r="E29" s="546">
        <f t="shared" si="4"/>
        <v>0</v>
      </c>
      <c r="F29" s="546">
        <f t="shared" si="4"/>
        <v>0</v>
      </c>
      <c r="G29" s="546">
        <f t="shared" si="4"/>
        <v>0</v>
      </c>
      <c r="H29" s="546">
        <f t="shared" si="4"/>
        <v>0</v>
      </c>
      <c r="I29" s="546">
        <f t="shared" si="4"/>
        <v>-6.9120000000000346</v>
      </c>
      <c r="J29" s="546">
        <f t="shared" si="4"/>
        <v>-37.9549999999997</v>
      </c>
      <c r="K29" s="546">
        <f t="shared" si="4"/>
        <v>85.725999999999658</v>
      </c>
      <c r="L29" s="546">
        <f t="shared" si="4"/>
        <v>18.405999999999722</v>
      </c>
      <c r="M29" s="546">
        <f t="shared" si="4"/>
        <v>20.282000000000153</v>
      </c>
      <c r="N29" s="546">
        <f t="shared" si="4"/>
        <v>-8.5988400000003367</v>
      </c>
      <c r="O29" s="546">
        <f t="shared" si="4"/>
        <v>-12.537493333333487</v>
      </c>
      <c r="P29" s="546">
        <f t="shared" si="4"/>
        <v>-32.38033333333351</v>
      </c>
      <c r="Q29" s="546">
        <f t="shared" si="4"/>
        <v>72.734879999999521</v>
      </c>
      <c r="R29" s="546">
        <f t="shared" si="4"/>
        <v>75.236879999999019</v>
      </c>
      <c r="S29" s="546">
        <f t="shared" si="4"/>
        <v>66.046879999999419</v>
      </c>
      <c r="T29" s="546">
        <f t="shared" si="4"/>
        <v>90.12587999999937</v>
      </c>
      <c r="U29" s="546">
        <f t="shared" si="4"/>
        <v>55.219026999999414</v>
      </c>
      <c r="V29" s="546">
        <f>V74</f>
        <v>69.376026999999112</v>
      </c>
      <c r="W29" s="546">
        <f t="shared" si="4"/>
        <v>73.871026999999231</v>
      </c>
      <c r="X29" s="547">
        <f t="shared" si="4"/>
        <v>92.003026999999292</v>
      </c>
      <c r="Y29" s="547">
        <f t="shared" si="4"/>
        <v>133.13552299999901</v>
      </c>
      <c r="Z29" s="547">
        <f t="shared" si="4"/>
        <v>146.42352299999902</v>
      </c>
      <c r="AA29" s="547">
        <f t="shared" si="4"/>
        <v>149.83252299999913</v>
      </c>
      <c r="AB29" s="547">
        <f t="shared" si="4"/>
        <v>149.83252299999913</v>
      </c>
      <c r="AC29" s="547">
        <f t="shared" si="4"/>
        <v>149.83252299999913</v>
      </c>
      <c r="AD29" s="547">
        <f t="shared" si="4"/>
        <v>149.83252299999913</v>
      </c>
      <c r="AE29" s="547">
        <f t="shared" si="4"/>
        <v>149.83252299999913</v>
      </c>
      <c r="AF29" s="547">
        <f>AF74</f>
        <v>149.83252299999913</v>
      </c>
      <c r="AG29" s="547">
        <f>AG74</f>
        <v>149.83252299999913</v>
      </c>
      <c r="AH29" s="547">
        <f>AH74</f>
        <v>149.83252299999913</v>
      </c>
      <c r="AI29" s="547">
        <f t="shared" ref="AI29:AJ29" si="5">AI74</f>
        <v>149.83252299999913</v>
      </c>
      <c r="AJ29" s="547">
        <f t="shared" si="5"/>
        <v>149.83252299999913</v>
      </c>
    </row>
    <row r="30" spans="2:102" ht="21" customHeight="1" x14ac:dyDescent="0.35">
      <c r="B30" s="265" t="s">
        <v>795</v>
      </c>
      <c r="C30" s="260"/>
      <c r="D30" s="717">
        <f t="shared" ref="D30:W30" si="6">D25+D21</f>
        <v>0</v>
      </c>
      <c r="E30" s="630">
        <f t="shared" si="6"/>
        <v>0</v>
      </c>
      <c r="F30" s="630">
        <f t="shared" si="6"/>
        <v>0</v>
      </c>
      <c r="G30" s="630">
        <f t="shared" si="6"/>
        <v>0</v>
      </c>
      <c r="H30" s="630">
        <f t="shared" si="6"/>
        <v>0</v>
      </c>
      <c r="I30" s="630">
        <f t="shared" si="6"/>
        <v>0</v>
      </c>
      <c r="J30" s="630">
        <f t="shared" si="6"/>
        <v>160.9</v>
      </c>
      <c r="K30" s="630">
        <f t="shared" si="6"/>
        <v>58.4</v>
      </c>
      <c r="L30" s="630">
        <f t="shared" si="6"/>
        <v>34.5</v>
      </c>
      <c r="M30" s="630">
        <f t="shared" si="6"/>
        <v>21.4</v>
      </c>
      <c r="N30" s="630">
        <f t="shared" si="6"/>
        <v>13.3</v>
      </c>
      <c r="O30" s="630">
        <f t="shared" si="6"/>
        <v>21.804000000000041</v>
      </c>
      <c r="P30" s="549">
        <f t="shared" si="6"/>
        <v>51.919000000000011</v>
      </c>
      <c r="Q30" s="630">
        <f t="shared" si="6"/>
        <v>46.619</v>
      </c>
      <c r="R30" s="630">
        <f t="shared" si="6"/>
        <v>39.719000000000008</v>
      </c>
      <c r="S30" s="630">
        <f t="shared" si="6"/>
        <v>27.819000000000003</v>
      </c>
      <c r="T30" s="549">
        <f t="shared" si="6"/>
        <v>6.3160000000000007</v>
      </c>
      <c r="U30" s="549">
        <f t="shared" si="6"/>
        <v>1.4159999999999999</v>
      </c>
      <c r="V30" s="549">
        <f t="shared" si="6"/>
        <v>1.4159999999999999</v>
      </c>
      <c r="W30" s="549">
        <f t="shared" si="6"/>
        <v>1.4159999999999999</v>
      </c>
      <c r="X30" s="553">
        <f t="shared" ref="X30:AB30" si="7">X25+X21</f>
        <v>1.4790000000000001</v>
      </c>
      <c r="Y30" s="553">
        <f t="shared" si="7"/>
        <v>1.4790000000000001</v>
      </c>
      <c r="Z30" s="553">
        <f t="shared" si="7"/>
        <v>1.4790000000000001</v>
      </c>
      <c r="AA30" s="553">
        <f t="shared" si="7"/>
        <v>1.4790000000000001</v>
      </c>
      <c r="AB30" s="553">
        <f t="shared" si="7"/>
        <v>1.63</v>
      </c>
      <c r="AC30" s="553">
        <f>AC25+AC21</f>
        <v>1.63</v>
      </c>
      <c r="AD30" s="553">
        <f t="shared" ref="AD30:AE30" si="8">AD25+AD21</f>
        <v>1.63</v>
      </c>
      <c r="AE30" s="553">
        <f t="shared" si="8"/>
        <v>1.63</v>
      </c>
      <c r="AF30" s="553">
        <f>AF25+AF21</f>
        <v>1.671</v>
      </c>
      <c r="AG30" s="553">
        <f>AG25+AG21</f>
        <v>0</v>
      </c>
      <c r="AH30" s="553">
        <f>AH25+AH21</f>
        <v>0</v>
      </c>
      <c r="AI30" s="553">
        <f t="shared" ref="AI30:AJ30" si="9">AI25+AI21</f>
        <v>0</v>
      </c>
      <c r="AJ30" s="553">
        <f t="shared" si="9"/>
        <v>0</v>
      </c>
    </row>
    <row r="31" spans="2:102" ht="44.9" customHeight="1" x14ac:dyDescent="0.35">
      <c r="B31" s="246" t="s">
        <v>802</v>
      </c>
      <c r="C31" s="239"/>
      <c r="D31" s="590">
        <f t="shared" ref="D31:AE31" si="10">D66</f>
        <v>1410.9</v>
      </c>
      <c r="E31" s="546">
        <f t="shared" si="10"/>
        <v>1470.7000000000003</v>
      </c>
      <c r="F31" s="546">
        <f t="shared" si="10"/>
        <v>1475.8999999999996</v>
      </c>
      <c r="G31" s="546">
        <f t="shared" si="10"/>
        <v>1482.6999999999998</v>
      </c>
      <c r="H31" s="546">
        <f t="shared" si="10"/>
        <v>1490.8000000000002</v>
      </c>
      <c r="I31" s="546">
        <f t="shared" si="10"/>
        <v>1542.4</v>
      </c>
      <c r="J31" s="546">
        <f t="shared" si="10"/>
        <v>1549.1000000000001</v>
      </c>
      <c r="K31" s="546">
        <f t="shared" si="10"/>
        <v>1555.8000000000002</v>
      </c>
      <c r="L31" s="546">
        <f t="shared" si="10"/>
        <v>1562.5000000000002</v>
      </c>
      <c r="M31" s="546">
        <f t="shared" si="10"/>
        <v>1586.8430000000003</v>
      </c>
      <c r="N31" s="546">
        <f t="shared" si="10"/>
        <v>1593.5430000000003</v>
      </c>
      <c r="O31" s="546">
        <f t="shared" si="10"/>
        <v>1600.2430000000004</v>
      </c>
      <c r="P31" s="546">
        <f t="shared" si="10"/>
        <v>1606.9430000000004</v>
      </c>
      <c r="Q31" s="546">
        <f t="shared" si="10"/>
        <v>1685.5501200000006</v>
      </c>
      <c r="R31" s="546">
        <f t="shared" si="10"/>
        <v>1692.2501200000006</v>
      </c>
      <c r="S31" s="546">
        <f t="shared" si="10"/>
        <v>1698.9501200000007</v>
      </c>
      <c r="T31" s="546">
        <f t="shared" si="10"/>
        <v>1705.6501200000007</v>
      </c>
      <c r="U31" s="546">
        <f t="shared" si="10"/>
        <v>1818.9789730000007</v>
      </c>
      <c r="V31" s="546">
        <f t="shared" si="10"/>
        <v>1825.6789730000007</v>
      </c>
      <c r="W31" s="546">
        <f t="shared" si="10"/>
        <v>1832.3789730000008</v>
      </c>
      <c r="X31" s="547">
        <f t="shared" si="10"/>
        <v>1839.0789730000008</v>
      </c>
      <c r="Y31" s="547">
        <f t="shared" si="10"/>
        <v>1891.4284770000008</v>
      </c>
      <c r="Z31" s="547">
        <f t="shared" si="10"/>
        <v>1898.1284770000009</v>
      </c>
      <c r="AA31" s="547">
        <f t="shared" si="10"/>
        <v>1904.8284770000009</v>
      </c>
      <c r="AB31" s="547">
        <f t="shared" si="10"/>
        <v>1911.528477000001</v>
      </c>
      <c r="AC31" s="547">
        <f t="shared" si="10"/>
        <v>1953.0953669740009</v>
      </c>
      <c r="AD31" s="547">
        <f t="shared" si="10"/>
        <v>1959.7953669740009</v>
      </c>
      <c r="AE31" s="547">
        <f t="shared" si="10"/>
        <v>1966.4953669740009</v>
      </c>
      <c r="AF31" s="547">
        <f>AF66</f>
        <v>1973.195366974001</v>
      </c>
      <c r="AG31" s="547">
        <f>AG66</f>
        <v>2016.9680004174029</v>
      </c>
      <c r="AH31" s="547">
        <f>AH66</f>
        <v>2023.6680004174029</v>
      </c>
      <c r="AI31" s="547">
        <f t="shared" ref="AI31:AJ31" si="11">AI66</f>
        <v>2030.368000417403</v>
      </c>
      <c r="AJ31" s="547">
        <f t="shared" si="11"/>
        <v>2037.068000417403</v>
      </c>
    </row>
    <row r="32" spans="2:102" ht="44.9" customHeight="1" x14ac:dyDescent="0.35">
      <c r="B32" s="423" t="s">
        <v>1184</v>
      </c>
      <c r="D32" s="590"/>
      <c r="E32" s="546"/>
      <c r="F32" s="546"/>
      <c r="G32" s="546"/>
      <c r="H32" s="546"/>
      <c r="I32" s="546"/>
      <c r="J32" s="546"/>
      <c r="K32" s="546"/>
      <c r="L32" s="546"/>
      <c r="M32" s="546"/>
      <c r="N32" s="546"/>
      <c r="O32" s="546"/>
      <c r="P32" s="546"/>
      <c r="Q32" s="546"/>
      <c r="R32" s="546"/>
      <c r="S32" s="662">
        <f>'IRA and CHIPS'!E191</f>
        <v>-0.622</v>
      </c>
      <c r="T32" s="662">
        <f>'IRA and CHIPS'!F191</f>
        <v>21.89</v>
      </c>
      <c r="U32" s="662">
        <f>'IRA and CHIPS'!G191</f>
        <v>21.89</v>
      </c>
      <c r="V32" s="662">
        <f>'IRA and CHIPS'!H191</f>
        <v>21.89</v>
      </c>
      <c r="W32" s="662">
        <f>'IRA and CHIPS'!I191</f>
        <v>21.89</v>
      </c>
      <c r="X32" s="673">
        <f>'IRA and CHIPS'!J191</f>
        <v>15.439</v>
      </c>
      <c r="Y32" s="673">
        <f>'IRA and CHIPS'!K191</f>
        <v>15.439</v>
      </c>
      <c r="Z32" s="673">
        <f>'IRA and CHIPS'!L191</f>
        <v>15.439</v>
      </c>
      <c r="AA32" s="673">
        <f>'IRA and CHIPS'!M191</f>
        <v>15.439</v>
      </c>
      <c r="AB32" s="673">
        <f>'IRA and CHIPS'!N191</f>
        <v>16.966999999999999</v>
      </c>
      <c r="AC32" s="673">
        <f>'IRA and CHIPS'!O191</f>
        <v>16.966999999999999</v>
      </c>
      <c r="AD32" s="673">
        <f>'IRA and CHIPS'!P191</f>
        <v>16.966999999999999</v>
      </c>
      <c r="AE32" s="673">
        <f>'IRA and CHIPS'!Q191</f>
        <v>16.966999999999999</v>
      </c>
      <c r="AF32" s="673">
        <f>'IRA and CHIPS'!R191</f>
        <v>0.72799999999999998</v>
      </c>
      <c r="AG32" s="673">
        <f>'IRA and CHIPS'!S191</f>
        <v>0.72799999999999998</v>
      </c>
      <c r="AH32" s="673">
        <f>0</f>
        <v>0</v>
      </c>
      <c r="AI32" s="673">
        <f>0</f>
        <v>0</v>
      </c>
      <c r="AJ32" s="673">
        <f>0</f>
        <v>0</v>
      </c>
    </row>
    <row r="33" spans="2:36" ht="31.4" customHeight="1" x14ac:dyDescent="0.35">
      <c r="B33" s="578" t="s">
        <v>799</v>
      </c>
      <c r="C33" s="260"/>
      <c r="D33" s="549">
        <f t="shared" ref="D33:R33" si="12">D31+SUM(D26:D29)+D32</f>
        <v>1440.9</v>
      </c>
      <c r="E33" s="549">
        <f t="shared" si="12"/>
        <v>1500.7000000000003</v>
      </c>
      <c r="F33" s="549">
        <f t="shared" si="12"/>
        <v>1505.8999999999996</v>
      </c>
      <c r="G33" s="549">
        <f t="shared" si="12"/>
        <v>1512.6999999999998</v>
      </c>
      <c r="H33" s="549">
        <f t="shared" si="12"/>
        <v>1520.8000000000002</v>
      </c>
      <c r="I33" s="549">
        <f t="shared" si="12"/>
        <v>1572.4</v>
      </c>
      <c r="J33" s="549">
        <f t="shared" si="12"/>
        <v>1649.3000000000004</v>
      </c>
      <c r="K33" s="549">
        <f t="shared" si="12"/>
        <v>1804.1</v>
      </c>
      <c r="L33" s="549">
        <f t="shared" si="12"/>
        <v>1687.3999999999999</v>
      </c>
      <c r="M33" s="549">
        <f t="shared" si="12"/>
        <v>1744.3000000000004</v>
      </c>
      <c r="N33" s="549">
        <f t="shared" si="12"/>
        <v>1748.4781600000001</v>
      </c>
      <c r="O33" s="549">
        <f t="shared" si="12"/>
        <v>1919.3298399999999</v>
      </c>
      <c r="P33" s="549">
        <f t="shared" si="12"/>
        <v>1899.5239999999999</v>
      </c>
      <c r="Q33" s="549">
        <f t="shared" si="12"/>
        <v>1929.424</v>
      </c>
      <c r="R33" s="549">
        <f t="shared" si="12"/>
        <v>1935.4239999999995</v>
      </c>
      <c r="S33" s="549">
        <f>S31+SUM(S26:S29)+S32</f>
        <v>1929.3240000000001</v>
      </c>
      <c r="T33" s="689">
        <f>T31+SUM(T26:T29)+T32</f>
        <v>2003.6840000000002</v>
      </c>
      <c r="U33" s="689">
        <f>U31+SUM(U26:U29)+U32</f>
        <v>2013.7840000000001</v>
      </c>
      <c r="V33" s="549">
        <f>V31+SUM(V26:V29)+V32</f>
        <v>2002.924</v>
      </c>
      <c r="W33" s="549">
        <f>W31+SUM(W26:W29)+W32</f>
        <v>2013.7240000000002</v>
      </c>
      <c r="X33" s="553">
        <f t="shared" ref="X33" si="13">X31+SUM(X26:X29)+X32</f>
        <v>2019.2990000000002</v>
      </c>
      <c r="Y33" s="553">
        <f>Y31+SUM(Y26:Y29)+Y32</f>
        <v>2111.2989999999995</v>
      </c>
      <c r="Z33" s="553">
        <f t="shared" ref="Z33" si="14">Z31+SUM(Z26:Z29)+Z32</f>
        <v>2135.3989999999999</v>
      </c>
      <c r="AA33" s="553">
        <f t="shared" ref="AA33" si="15">AA31+SUM(AA26:AA29)+AA32</f>
        <v>2152.299</v>
      </c>
      <c r="AB33" s="553">
        <f t="shared" ref="AB33" si="16">AB31+SUM(AB26:AB29)+AB32</f>
        <v>2160.527</v>
      </c>
      <c r="AC33" s="553">
        <f>AC31+SUM(AC26:AC29)+AC32</f>
        <v>2202.0938899739999</v>
      </c>
      <c r="AD33" s="553">
        <f t="shared" ref="AD33:AE33" si="17">AD31+SUM(AD26:AD29)+AD32</f>
        <v>2208.7938899740002</v>
      </c>
      <c r="AE33" s="553">
        <f t="shared" si="17"/>
        <v>2215.493889974</v>
      </c>
      <c r="AF33" s="553">
        <f>AF31+SUM(AF26:AF29)+AF32</f>
        <v>2205.9548899740003</v>
      </c>
      <c r="AG33" s="553">
        <f>AG31+SUM(AG26:AG29)+AG32</f>
        <v>2249.7275234174022</v>
      </c>
      <c r="AH33" s="553">
        <f>AH31+SUM(AH26:AH29)+AH32</f>
        <v>2255.6995234174019</v>
      </c>
      <c r="AI33" s="553">
        <f>AI31+SUM(AI26:AI29)+AI32</f>
        <v>2263.3995234174022</v>
      </c>
      <c r="AJ33" s="553">
        <f t="shared" ref="AJ33" si="18">AJ31+SUM(AJ26:AJ29)+AJ32</f>
        <v>2271.099523417402</v>
      </c>
    </row>
    <row r="34" spans="2:36" ht="31.4" customHeight="1" x14ac:dyDescent="0.35">
      <c r="B34" s="578"/>
      <c r="C34" s="260"/>
      <c r="D34" s="549"/>
      <c r="E34" s="549"/>
      <c r="F34" s="549"/>
      <c r="G34" s="549"/>
      <c r="H34" s="549"/>
      <c r="I34" s="549"/>
      <c r="J34" s="549"/>
      <c r="K34" s="549"/>
      <c r="L34" s="549"/>
      <c r="M34" s="549"/>
      <c r="N34" s="549"/>
      <c r="O34" s="549"/>
      <c r="P34" s="549"/>
      <c r="Q34" s="549"/>
      <c r="R34" s="549"/>
      <c r="S34" s="549"/>
      <c r="T34" s="549"/>
      <c r="U34" s="549"/>
      <c r="V34" s="549"/>
      <c r="W34" s="549"/>
      <c r="X34" s="553"/>
      <c r="Y34" s="553"/>
      <c r="Z34" s="553"/>
      <c r="AA34" s="553"/>
      <c r="AB34" s="553"/>
      <c r="AC34" s="553"/>
    </row>
    <row r="35" spans="2:36" ht="31.4" customHeight="1" x14ac:dyDescent="0.35">
      <c r="B35" s="1367" t="s">
        <v>472</v>
      </c>
      <c r="C35" s="1368"/>
      <c r="D35" s="573"/>
      <c r="E35" s="574"/>
      <c r="F35" s="574"/>
      <c r="G35" s="574"/>
      <c r="H35" s="574"/>
      <c r="I35" s="574"/>
      <c r="J35" s="574"/>
      <c r="K35" s="574"/>
      <c r="L35" s="574"/>
      <c r="M35" s="574"/>
      <c r="N35" s="574"/>
      <c r="O35" s="574"/>
      <c r="P35" s="574"/>
      <c r="Q35" s="574"/>
      <c r="R35" s="574"/>
      <c r="S35" s="574"/>
      <c r="T35" s="549"/>
      <c r="U35" s="574"/>
      <c r="V35" s="549"/>
      <c r="W35" s="549"/>
      <c r="X35" s="553"/>
      <c r="Y35" s="553"/>
      <c r="Z35" s="553"/>
      <c r="AA35" s="553"/>
      <c r="AB35" s="553"/>
      <c r="AC35" s="682"/>
    </row>
    <row r="36" spans="2:36" x14ac:dyDescent="0.35">
      <c r="B36" s="288" t="s">
        <v>804</v>
      </c>
      <c r="C36" s="239" t="s">
        <v>473</v>
      </c>
      <c r="D36" s="271">
        <f>'Haver Pivoted'!GO37</f>
        <v>733.6</v>
      </c>
      <c r="E36" s="219">
        <f>'Haver Pivoted'!GP37</f>
        <v>744.3</v>
      </c>
      <c r="F36" s="219">
        <f>'Haver Pivoted'!GQ37</f>
        <v>762.3</v>
      </c>
      <c r="G36" s="219">
        <f>'Haver Pivoted'!GR37</f>
        <v>772.2</v>
      </c>
      <c r="H36" s="219">
        <f>'Haver Pivoted'!GS37</f>
        <v>772.1</v>
      </c>
      <c r="I36" s="219">
        <f>'Haver Pivoted'!GT37</f>
        <v>760.8</v>
      </c>
      <c r="J36" s="219">
        <f>'Haver Pivoted'!GU37</f>
        <v>811.3</v>
      </c>
      <c r="K36" s="219">
        <f>'Haver Pivoted'!GV37</f>
        <v>850.3</v>
      </c>
      <c r="L36" s="219">
        <f>'Haver Pivoted'!GW37</f>
        <v>840.3</v>
      </c>
      <c r="M36" s="219">
        <f>'Haver Pivoted'!GX37</f>
        <v>869.7</v>
      </c>
      <c r="N36" s="219">
        <f>'Haver Pivoted'!GY37</f>
        <v>913.8</v>
      </c>
      <c r="O36" s="219">
        <f>'Haver Pivoted'!GZ37</f>
        <v>923.8</v>
      </c>
      <c r="P36" s="219">
        <f>'Haver Pivoted'!HA37</f>
        <v>923.5</v>
      </c>
      <c r="Q36" s="219">
        <f>'Haver Pivoted'!HB37</f>
        <v>973.6</v>
      </c>
      <c r="R36" s="219">
        <f>'Haver Pivoted'!HC37</f>
        <v>1010.5</v>
      </c>
      <c r="S36" s="629">
        <f>'Haver Pivoted'!HD37</f>
        <v>1032.5999999999999</v>
      </c>
      <c r="T36" s="629">
        <f>'Haver Pivoted'!HE37</f>
        <v>1096.5999999999999</v>
      </c>
      <c r="U36" s="629">
        <f>'Haver Pivoted'!HF37</f>
        <v>1083.2</v>
      </c>
      <c r="V36" s="661">
        <f>'Haver Pivoted'!HG37</f>
        <v>1111.0999999999999</v>
      </c>
      <c r="W36" s="661">
        <f>'Haver Pivoted'!HH37</f>
        <v>1069.4000000000001</v>
      </c>
      <c r="X36" s="661">
        <f>'Haver Pivoted'!HI37</f>
        <v>1061</v>
      </c>
      <c r="Y36" s="661">
        <f>'Haver Pivoted'!HJ37</f>
        <v>1113.5</v>
      </c>
      <c r="Z36" s="661">
        <f>'Haver Pivoted'!HK37</f>
        <v>1136.9000000000001</v>
      </c>
      <c r="AA36" s="661">
        <f>'Haver Pivoted'!HL37</f>
        <v>1141</v>
      </c>
      <c r="AB36" s="657"/>
      <c r="AC36" s="728"/>
    </row>
    <row r="37" spans="2:36" x14ac:dyDescent="0.35">
      <c r="B37" s="548" t="s">
        <v>209</v>
      </c>
      <c r="C37" s="239"/>
      <c r="D37" s="590">
        <f>Medicaid!D27</f>
        <v>589.5</v>
      </c>
      <c r="E37" s="546">
        <f>Medicaid!E27</f>
        <v>598.70000000000005</v>
      </c>
      <c r="F37" s="546">
        <f>Medicaid!F27</f>
        <v>614.4</v>
      </c>
      <c r="G37" s="546">
        <f>Medicaid!G27</f>
        <v>622.4</v>
      </c>
      <c r="H37" s="546">
        <f>Medicaid!H27</f>
        <v>620.6</v>
      </c>
      <c r="I37" s="546">
        <f>Medicaid!I27</f>
        <v>606.5</v>
      </c>
      <c r="J37" s="546">
        <f>Medicaid!J27</f>
        <v>654.6</v>
      </c>
      <c r="K37" s="546">
        <f>Medicaid!K27</f>
        <v>690.8</v>
      </c>
      <c r="L37" s="546">
        <f>Medicaid!L27</f>
        <v>678.6</v>
      </c>
      <c r="M37" s="546">
        <f>Medicaid!M27</f>
        <v>704.9</v>
      </c>
      <c r="N37" s="546">
        <f>Medicaid!N27</f>
        <v>745.6</v>
      </c>
      <c r="O37" s="546">
        <f>Medicaid!O27</f>
        <v>749.2</v>
      </c>
      <c r="P37" s="546">
        <f>Medicaid!P27</f>
        <v>746.3</v>
      </c>
      <c r="Q37" s="546">
        <f>Medicaid!Q27</f>
        <v>791.9</v>
      </c>
      <c r="R37" s="546">
        <f>Medicaid!R27</f>
        <v>819.2</v>
      </c>
      <c r="S37" s="629">
        <f>Medicaid!S27</f>
        <v>819</v>
      </c>
      <c r="T37" s="546">
        <f>Medicaid!T27</f>
        <v>827.5</v>
      </c>
      <c r="U37" s="546">
        <f>Medicaid!U27</f>
        <v>877.6</v>
      </c>
      <c r="V37" s="546">
        <f>Medicaid!V27</f>
        <v>911.6</v>
      </c>
      <c r="W37" s="546">
        <f>Medicaid!W27</f>
        <v>867.2</v>
      </c>
      <c r="X37" s="547">
        <f>Medicaid!X27</f>
        <v>856.2</v>
      </c>
      <c r="Y37" s="547">
        <f>Medicaid!Y27</f>
        <v>904.8</v>
      </c>
      <c r="Z37" s="547">
        <f>Medicaid!Z27</f>
        <v>924.7</v>
      </c>
      <c r="AA37" s="547">
        <f>Medicaid!AA27</f>
        <v>919.4</v>
      </c>
      <c r="AB37" s="547">
        <f>Medicaid!AB27</f>
        <v>927.68973287497272</v>
      </c>
      <c r="AC37" s="715">
        <f>Medicaid!AC27</f>
        <v>928.99109457419343</v>
      </c>
    </row>
    <row r="38" spans="2:36" ht="14.9" customHeight="1" x14ac:dyDescent="0.35">
      <c r="B38" s="578" t="s">
        <v>805</v>
      </c>
      <c r="C38" s="260"/>
      <c r="D38" s="589">
        <f>D36-D37</f>
        <v>144.10000000000002</v>
      </c>
      <c r="E38" s="549">
        <f t="shared" ref="E38:O38" si="19">E36-E37</f>
        <v>145.59999999999991</v>
      </c>
      <c r="F38" s="549">
        <f t="shared" si="19"/>
        <v>147.89999999999998</v>
      </c>
      <c r="G38" s="549">
        <f t="shared" si="19"/>
        <v>149.80000000000007</v>
      </c>
      <c r="H38" s="549">
        <f t="shared" si="19"/>
        <v>151.5</v>
      </c>
      <c r="I38" s="549">
        <f t="shared" si="19"/>
        <v>154.29999999999995</v>
      </c>
      <c r="J38" s="549">
        <f t="shared" si="19"/>
        <v>156.69999999999993</v>
      </c>
      <c r="K38" s="549">
        <f t="shared" si="19"/>
        <v>159.5</v>
      </c>
      <c r="L38" s="549">
        <f t="shared" si="19"/>
        <v>161.69999999999993</v>
      </c>
      <c r="M38" s="549">
        <f t="shared" si="19"/>
        <v>164.80000000000007</v>
      </c>
      <c r="N38" s="549">
        <f t="shared" si="19"/>
        <v>168.19999999999993</v>
      </c>
      <c r="O38" s="549">
        <f t="shared" si="19"/>
        <v>174.59999999999991</v>
      </c>
      <c r="P38" s="549">
        <f>P36-P37</f>
        <v>177.20000000000005</v>
      </c>
      <c r="Q38" s="549">
        <f>Q36-Q37</f>
        <v>181.70000000000005</v>
      </c>
      <c r="R38" s="549">
        <f>R36-R37</f>
        <v>191.29999999999995</v>
      </c>
      <c r="S38" s="629">
        <f>S36-S37</f>
        <v>213.59999999999991</v>
      </c>
      <c r="T38" s="629">
        <f>T36-T37</f>
        <v>269.09999999999991</v>
      </c>
      <c r="U38" s="549">
        <f>T38*(1+AVERAGE($F$40:$I$40))+U39</f>
        <v>203.03380700109631</v>
      </c>
      <c r="V38" s="549">
        <f>U38*(1+AVERAGE($F$40:$I$40))+V39</f>
        <v>206.0018330562437</v>
      </c>
      <c r="W38" s="549">
        <f t="shared" ref="W38:AA38" si="20">V38*(1+AVERAGE($F$40:$I$40))</f>
        <v>209.01324685451698</v>
      </c>
      <c r="X38" s="553">
        <f>W38*(1+AVERAGE($F$40:$I$40))</f>
        <v>212.06868265458453</v>
      </c>
      <c r="Y38" s="553">
        <f t="shared" si="20"/>
        <v>215.16878398695127</v>
      </c>
      <c r="Z38" s="553">
        <f t="shared" si="20"/>
        <v>218.31420378949775</v>
      </c>
      <c r="AA38" s="553">
        <f t="shared" si="20"/>
        <v>221.50560454500092</v>
      </c>
      <c r="AB38" s="553">
        <f>AA38*(1+AVERAGE($F$40:$I$40))</f>
        <v>224.74365842066501</v>
      </c>
      <c r="AC38" s="553">
        <f t="shared" ref="AC38:AH38" si="21">AB38*(1+AVERAGE($F$40:$I$40))</f>
        <v>228.02904740969223</v>
      </c>
      <c r="AD38" s="553">
        <f t="shared" si="21"/>
        <v>231.36246347492295</v>
      </c>
      <c r="AE38" s="553">
        <f t="shared" si="21"/>
        <v>234.7446086945757</v>
      </c>
      <c r="AF38" s="553">
        <f t="shared" si="21"/>
        <v>238.17619541011769</v>
      </c>
      <c r="AG38" s="553">
        <f t="shared" si="21"/>
        <v>241.65794637629688</v>
      </c>
      <c r="AH38" s="553">
        <f t="shared" si="21"/>
        <v>245.19059491336728</v>
      </c>
      <c r="AI38" s="553">
        <f t="shared" ref="AI38" si="22">AH38*(1+AVERAGE($F$40:$I$40))</f>
        <v>248.77488506153966</v>
      </c>
      <c r="AJ38" s="553">
        <f t="shared" ref="AJ38" si="23">AI38*(1+AVERAGE($F$40:$I$40))</f>
        <v>252.41157173768991</v>
      </c>
    </row>
    <row r="39" spans="2:36" ht="14.9" customHeight="1" x14ac:dyDescent="0.35">
      <c r="B39" s="578" t="s">
        <v>1694</v>
      </c>
      <c r="C39" s="260"/>
      <c r="D39" s="589"/>
      <c r="E39" s="549"/>
      <c r="F39" s="549"/>
      <c r="G39" s="549"/>
      <c r="H39" s="549"/>
      <c r="I39" s="549"/>
      <c r="J39" s="549"/>
      <c r="K39" s="549"/>
      <c r="L39" s="549"/>
      <c r="M39" s="549"/>
      <c r="N39" s="549"/>
      <c r="O39" s="549"/>
      <c r="P39" s="549"/>
      <c r="Q39" s="549"/>
      <c r="R39" s="549"/>
      <c r="S39" s="629"/>
      <c r="T39" s="549"/>
      <c r="U39" s="549">
        <v>-70</v>
      </c>
      <c r="V39" s="549"/>
      <c r="W39" s="549"/>
      <c r="X39" s="553"/>
      <c r="Y39" s="553"/>
      <c r="Z39" s="553"/>
      <c r="AA39" s="553"/>
      <c r="AB39" s="553"/>
      <c r="AC39" s="682"/>
    </row>
    <row r="40" spans="2:36" x14ac:dyDescent="0.35">
      <c r="B40" s="709" t="s">
        <v>806</v>
      </c>
      <c r="C40" s="357"/>
      <c r="D40" s="591"/>
      <c r="E40" s="577">
        <f>E38/D38-1</f>
        <v>1.0409437890353201E-2</v>
      </c>
      <c r="F40" s="577">
        <f t="shared" ref="F40:N40" si="24">F38/E38-1</f>
        <v>1.5796703296703685E-2</v>
      </c>
      <c r="G40" s="577">
        <f t="shared" si="24"/>
        <v>1.2846517917512346E-2</v>
      </c>
      <c r="H40" s="577">
        <f t="shared" si="24"/>
        <v>1.1348464619492127E-2</v>
      </c>
      <c r="I40" s="577">
        <f t="shared" si="24"/>
        <v>1.8481848184818128E-2</v>
      </c>
      <c r="J40" s="577">
        <f t="shared" si="24"/>
        <v>1.5554115359688758E-2</v>
      </c>
      <c r="K40" s="577">
        <f t="shared" si="24"/>
        <v>1.7868538608807105E-2</v>
      </c>
      <c r="L40" s="577">
        <f t="shared" si="24"/>
        <v>1.3793103448275446E-2</v>
      </c>
      <c r="M40" s="577">
        <f t="shared" si="24"/>
        <v>1.9171304885591489E-2</v>
      </c>
      <c r="N40" s="577">
        <f t="shared" si="24"/>
        <v>2.0631067961164318E-2</v>
      </c>
      <c r="O40" s="577">
        <f>O38/N38-1</f>
        <v>3.8049940546967864E-2</v>
      </c>
      <c r="P40" s="577">
        <f t="shared" ref="P40:S40" si="25">P38/O38-1</f>
        <v>1.4891179839634283E-2</v>
      </c>
      <c r="Q40" s="577">
        <f t="shared" si="25"/>
        <v>2.5395033860045046E-2</v>
      </c>
      <c r="R40" s="577">
        <f t="shared" si="25"/>
        <v>5.2834342322509054E-2</v>
      </c>
      <c r="S40" s="649">
        <f t="shared" si="25"/>
        <v>0.11657083115525335</v>
      </c>
      <c r="T40" s="551"/>
      <c r="U40" s="551"/>
      <c r="V40" s="551"/>
      <c r="W40" s="551"/>
      <c r="X40" s="585"/>
      <c r="Y40" s="585"/>
      <c r="Z40" s="585"/>
      <c r="AA40" s="585"/>
      <c r="AB40" s="585"/>
      <c r="AC40" s="681"/>
    </row>
    <row r="44" spans="2:36" x14ac:dyDescent="0.35">
      <c r="P44" s="482"/>
      <c r="Q44" s="482"/>
    </row>
    <row r="45" spans="2:36" x14ac:dyDescent="0.35">
      <c r="B45" s="512" t="s">
        <v>351</v>
      </c>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row>
    <row r="46" spans="2:36" ht="45.75" customHeight="1" x14ac:dyDescent="0.35">
      <c r="B46" s="1369" t="s">
        <v>476</v>
      </c>
      <c r="C46" s="1369"/>
      <c r="D46" s="1369"/>
      <c r="E46" s="1369"/>
      <c r="F46" s="1369"/>
      <c r="G46" s="1369"/>
      <c r="H46" s="1369"/>
      <c r="I46" s="1369"/>
      <c r="J46" s="1369"/>
      <c r="K46" s="1369"/>
      <c r="L46" s="1369"/>
      <c r="M46" s="1369"/>
      <c r="N46" s="1369"/>
      <c r="O46" s="1369"/>
      <c r="P46" s="1369"/>
      <c r="Q46" s="1369"/>
      <c r="R46" s="1369"/>
      <c r="S46" s="1369"/>
      <c r="T46" s="1369"/>
      <c r="U46" s="1369"/>
      <c r="V46" s="1369"/>
      <c r="W46" s="1369"/>
      <c r="X46" s="1369"/>
      <c r="Y46" s="1369"/>
      <c r="Z46" s="1369"/>
      <c r="AA46" s="1369"/>
      <c r="AB46" s="1369"/>
      <c r="AC46" s="1369"/>
    </row>
    <row r="47" spans="2:36" ht="14.9" customHeight="1" x14ac:dyDescent="0.35">
      <c r="B47" s="1278" t="s">
        <v>477</v>
      </c>
      <c r="C47" s="1279"/>
      <c r="D47" s="1338" t="s">
        <v>279</v>
      </c>
      <c r="E47" s="1339"/>
      <c r="F47" s="1339"/>
      <c r="G47" s="1339"/>
      <c r="H47" s="1339"/>
      <c r="I47" s="1339"/>
      <c r="J47" s="1339"/>
      <c r="K47" s="1339"/>
      <c r="L47" s="1339"/>
      <c r="M47" s="1339"/>
      <c r="N47" s="1339"/>
      <c r="O47" s="1339"/>
      <c r="P47" s="1339"/>
      <c r="Q47" s="1339"/>
      <c r="R47" s="1339"/>
      <c r="S47" s="1339"/>
      <c r="T47" s="1339"/>
      <c r="U47" s="1339"/>
      <c r="V47" s="1370"/>
      <c r="W47" s="1302" t="s">
        <v>280</v>
      </c>
      <c r="X47" s="1303"/>
      <c r="Y47" s="1303"/>
      <c r="Z47" s="1303"/>
      <c r="AA47" s="1303"/>
      <c r="AB47" s="1303"/>
      <c r="AC47" s="1303"/>
      <c r="AD47" s="1303"/>
      <c r="AE47" s="1303"/>
      <c r="AF47" s="1303"/>
      <c r="AG47" s="1304"/>
      <c r="AH47" s="237"/>
      <c r="AI47" s="237"/>
      <c r="AJ47" s="237"/>
    </row>
    <row r="48" spans="2:36" x14ac:dyDescent="0.35">
      <c r="B48" s="1278"/>
      <c r="C48" s="1279"/>
      <c r="D48" s="215">
        <v>2018</v>
      </c>
      <c r="E48" s="1282">
        <v>2019</v>
      </c>
      <c r="F48" s="1283"/>
      <c r="G48" s="1283"/>
      <c r="H48" s="1284"/>
      <c r="I48" s="1282">
        <v>2020</v>
      </c>
      <c r="J48" s="1283"/>
      <c r="K48" s="1283"/>
      <c r="L48" s="1283"/>
      <c r="M48" s="1282">
        <v>2021</v>
      </c>
      <c r="N48" s="1283"/>
      <c r="O48" s="1283"/>
      <c r="P48" s="1283"/>
      <c r="Q48" s="1282">
        <v>2022</v>
      </c>
      <c r="R48" s="1305"/>
      <c r="S48" s="1305"/>
      <c r="T48" s="1284"/>
      <c r="U48" s="284"/>
      <c r="V48" s="556">
        <v>2023</v>
      </c>
      <c r="W48" s="552"/>
      <c r="X48" s="257"/>
      <c r="Y48" s="1268">
        <v>2024</v>
      </c>
      <c r="Z48" s="1292"/>
      <c r="AA48" s="1292"/>
      <c r="AB48" s="1270"/>
      <c r="AC48" s="1268">
        <v>2025</v>
      </c>
      <c r="AD48" s="1292"/>
      <c r="AE48" s="1292"/>
      <c r="AF48" s="1270"/>
      <c r="AG48" s="1268">
        <v>2026</v>
      </c>
      <c r="AH48" s="1292"/>
      <c r="AI48" s="1292"/>
      <c r="AJ48" s="1270"/>
    </row>
    <row r="49" spans="2:36" x14ac:dyDescent="0.35">
      <c r="B49" s="1280"/>
      <c r="C49" s="1281"/>
      <c r="D49" s="212" t="s">
        <v>281</v>
      </c>
      <c r="E49" s="212" t="s">
        <v>282</v>
      </c>
      <c r="F49" s="213" t="s">
        <v>283</v>
      </c>
      <c r="G49" s="213" t="s">
        <v>238</v>
      </c>
      <c r="H49" s="214" t="s">
        <v>281</v>
      </c>
      <c r="I49" s="213" t="s">
        <v>282</v>
      </c>
      <c r="J49" s="213" t="s">
        <v>283</v>
      </c>
      <c r="K49" s="213" t="s">
        <v>238</v>
      </c>
      <c r="L49" s="213" t="s">
        <v>281</v>
      </c>
      <c r="M49" s="212" t="s">
        <v>282</v>
      </c>
      <c r="N49" s="213" t="s">
        <v>283</v>
      </c>
      <c r="O49" s="213" t="s">
        <v>238</v>
      </c>
      <c r="P49" s="213" t="s">
        <v>281</v>
      </c>
      <c r="Q49" s="212" t="s">
        <v>282</v>
      </c>
      <c r="R49" s="213" t="s">
        <v>283</v>
      </c>
      <c r="S49" s="213" t="s">
        <v>238</v>
      </c>
      <c r="T49" s="214" t="s">
        <v>281</v>
      </c>
      <c r="U49" s="213" t="s">
        <v>282</v>
      </c>
      <c r="V49" s="282" t="s">
        <v>283</v>
      </c>
      <c r="W49" s="267" t="s">
        <v>238</v>
      </c>
      <c r="X49" s="268" t="s">
        <v>281</v>
      </c>
      <c r="Y49" s="266" t="s">
        <v>282</v>
      </c>
      <c r="Z49" s="264" t="s">
        <v>283</v>
      </c>
      <c r="AA49" s="267" t="s">
        <v>238</v>
      </c>
      <c r="AB49" s="267" t="s">
        <v>281</v>
      </c>
      <c r="AC49" s="266" t="s">
        <v>282</v>
      </c>
      <c r="AD49" s="264" t="s">
        <v>283</v>
      </c>
      <c r="AE49" s="267" t="s">
        <v>238</v>
      </c>
      <c r="AF49" s="267" t="s">
        <v>281</v>
      </c>
      <c r="AG49" s="266" t="s">
        <v>282</v>
      </c>
      <c r="AH49" s="264" t="s">
        <v>283</v>
      </c>
      <c r="AI49" s="267" t="s">
        <v>238</v>
      </c>
      <c r="AJ49" s="268" t="s">
        <v>281</v>
      </c>
    </row>
    <row r="50" spans="2:36" x14ac:dyDescent="0.35">
      <c r="B50" s="548" t="s">
        <v>1433</v>
      </c>
      <c r="D50" s="250"/>
      <c r="E50" s="308"/>
      <c r="F50" s="308"/>
      <c r="G50" s="308"/>
      <c r="H50" s="308"/>
      <c r="I50" s="570">
        <f>(I51-AVERAGE($E51:$H51))</f>
        <v>6.9120000000000061</v>
      </c>
      <c r="J50" s="570">
        <f t="shared" ref="J50:N50" si="26">(J51-AVERAGE($E51:$H51))</f>
        <v>50.955000000000005</v>
      </c>
      <c r="K50" s="570">
        <f t="shared" si="26"/>
        <v>51.173999999999999</v>
      </c>
      <c r="L50" s="570">
        <f t="shared" si="26"/>
        <v>51.893999999999998</v>
      </c>
      <c r="M50" s="570">
        <f t="shared" si="26"/>
        <v>91.075000000000017</v>
      </c>
      <c r="N50" s="570">
        <f t="shared" si="26"/>
        <v>100.63400000000001</v>
      </c>
      <c r="O50" s="570">
        <f t="shared" ref="O50:U50" si="27">(O51-AVERAGE($E51:$H51))</f>
        <v>93.89100000000002</v>
      </c>
      <c r="P50" s="570">
        <f t="shared" si="27"/>
        <v>100.22800000000001</v>
      </c>
      <c r="Q50" s="570">
        <f t="shared" si="27"/>
        <v>76.838999999999999</v>
      </c>
      <c r="R50" s="570">
        <f t="shared" si="27"/>
        <v>73.637</v>
      </c>
      <c r="S50" s="571">
        <f t="shared" si="27"/>
        <v>70.649000000000001</v>
      </c>
      <c r="T50" s="558">
        <f t="shared" si="27"/>
        <v>91.718000000000018</v>
      </c>
      <c r="U50" s="571">
        <f t="shared" si="27"/>
        <v>83.695999999999998</v>
      </c>
      <c r="V50" s="571">
        <f t="shared" ref="V50:AA50" si="28">(V51-AVERAGE($E51:$H51))</f>
        <v>51.979000000000006</v>
      </c>
      <c r="W50" s="571">
        <f t="shared" si="28"/>
        <v>51.58400000000001</v>
      </c>
      <c r="X50" s="571">
        <f t="shared" si="28"/>
        <v>38.777999999999999</v>
      </c>
      <c r="Y50" s="571">
        <f t="shared" si="28"/>
        <v>37.295999999999999</v>
      </c>
      <c r="Z50" s="571">
        <f t="shared" si="28"/>
        <v>41.408000000000008</v>
      </c>
      <c r="AA50" s="571">
        <f t="shared" si="28"/>
        <v>48.199000000000005</v>
      </c>
      <c r="AB50" s="718">
        <f t="shared" ref="AB50:AC50" si="29">AA50</f>
        <v>48.199000000000005</v>
      </c>
      <c r="AC50" s="679">
        <f t="shared" si="29"/>
        <v>48.199000000000005</v>
      </c>
      <c r="AD50" s="718">
        <f t="shared" ref="AD50" si="30">AC50</f>
        <v>48.199000000000005</v>
      </c>
      <c r="AE50" s="718">
        <f t="shared" ref="AE50" si="31">AD50</f>
        <v>48.199000000000005</v>
      </c>
      <c r="AF50" s="718">
        <f t="shared" ref="AF50" si="32">AE50</f>
        <v>48.199000000000005</v>
      </c>
      <c r="AG50" s="547">
        <f t="shared" ref="AG50" si="33">AF50</f>
        <v>48.199000000000005</v>
      </c>
      <c r="AH50" s="547">
        <f>AG50</f>
        <v>48.199000000000005</v>
      </c>
      <c r="AI50" s="547">
        <f t="shared" ref="AI50" si="34">AH50</f>
        <v>48.199000000000005</v>
      </c>
      <c r="AJ50" s="547">
        <f>AI50</f>
        <v>48.199000000000005</v>
      </c>
    </row>
    <row r="51" spans="2:36" x14ac:dyDescent="0.35">
      <c r="B51" s="548" t="s">
        <v>160</v>
      </c>
      <c r="C51" s="239" t="s">
        <v>478</v>
      </c>
      <c r="D51" s="271">
        <f>'Haver Pivoted'!GO66</f>
        <v>57.017000000000003</v>
      </c>
      <c r="E51" s="219">
        <f>'Haver Pivoted'!GP66</f>
        <v>55.875</v>
      </c>
      <c r="F51" s="219">
        <f>'Haver Pivoted'!GQ66</f>
        <v>54.335999999999999</v>
      </c>
      <c r="G51" s="219">
        <f>'Haver Pivoted'!GR66</f>
        <v>54.345999999999997</v>
      </c>
      <c r="H51" s="219">
        <f>'Haver Pivoted'!GS66</f>
        <v>54.290999999999997</v>
      </c>
      <c r="I51" s="219">
        <f>'Haver Pivoted'!GT66</f>
        <v>61.624000000000002</v>
      </c>
      <c r="J51" s="219">
        <f>'Haver Pivoted'!GU66</f>
        <v>105.667</v>
      </c>
      <c r="K51" s="219">
        <f>'Haver Pivoted'!GV66</f>
        <v>105.886</v>
      </c>
      <c r="L51" s="219">
        <f>'Haver Pivoted'!GW66</f>
        <v>106.60599999999999</v>
      </c>
      <c r="M51" s="219">
        <f>'Haver Pivoted'!GX66</f>
        <v>145.78700000000001</v>
      </c>
      <c r="N51" s="219">
        <f>'Haver Pivoted'!GY66</f>
        <v>155.346</v>
      </c>
      <c r="O51" s="219">
        <f>'Haver Pivoted'!GZ66</f>
        <v>148.60300000000001</v>
      </c>
      <c r="P51" s="219">
        <f>'Haver Pivoted'!HA66</f>
        <v>154.94</v>
      </c>
      <c r="Q51" s="219">
        <f>'Haver Pivoted'!HB66</f>
        <v>131.55099999999999</v>
      </c>
      <c r="R51" s="219">
        <f>'Haver Pivoted'!HC66</f>
        <v>128.34899999999999</v>
      </c>
      <c r="S51" s="213">
        <f>'Haver Pivoted'!HD66</f>
        <v>125.361</v>
      </c>
      <c r="T51" s="213">
        <f>'Haver Pivoted'!HE66</f>
        <v>146.43</v>
      </c>
      <c r="U51" s="213">
        <f>'Haver Pivoted'!HF66</f>
        <v>138.40799999999999</v>
      </c>
      <c r="V51" s="213">
        <f>'Haver Pivoted'!HG66</f>
        <v>106.691</v>
      </c>
      <c r="W51" s="213">
        <f>'Haver Pivoted'!HH66</f>
        <v>106.29600000000001</v>
      </c>
      <c r="X51" s="213">
        <f>'Haver Pivoted'!HI66</f>
        <v>93.49</v>
      </c>
      <c r="Y51" s="213">
        <f>'Haver Pivoted'!HJ66</f>
        <v>92.007999999999996</v>
      </c>
      <c r="Z51" s="213">
        <f>'Haver Pivoted'!HK66</f>
        <v>96.12</v>
      </c>
      <c r="AA51" s="213">
        <f>'Haver Pivoted'!HL66</f>
        <v>102.911</v>
      </c>
      <c r="AB51" s="329"/>
      <c r="AC51" s="329"/>
      <c r="AD51" s="503"/>
      <c r="AE51" s="503"/>
      <c r="AF51" s="503"/>
      <c r="AG51" s="503"/>
      <c r="AH51" s="503"/>
      <c r="AI51" s="503"/>
      <c r="AJ51" s="503"/>
    </row>
    <row r="52" spans="2:36" ht="29.15" customHeight="1" x14ac:dyDescent="0.35">
      <c r="B52" s="356" t="s">
        <v>479</v>
      </c>
      <c r="C52" s="357"/>
      <c r="D52" s="713"/>
      <c r="E52" s="561"/>
      <c r="F52" s="561"/>
      <c r="G52" s="561"/>
      <c r="H52" s="561"/>
      <c r="I52" s="561"/>
      <c r="J52" s="561">
        <f t="shared" ref="J52:W52" si="35">J51-$H51</f>
        <v>51.376000000000005</v>
      </c>
      <c r="K52" s="561">
        <f t="shared" si="35"/>
        <v>51.594999999999999</v>
      </c>
      <c r="L52" s="561">
        <f t="shared" si="35"/>
        <v>52.314999999999998</v>
      </c>
      <c r="M52" s="561">
        <f t="shared" si="35"/>
        <v>91.496000000000009</v>
      </c>
      <c r="N52" s="561">
        <f>N51-$H51</f>
        <v>101.05500000000001</v>
      </c>
      <c r="O52" s="561">
        <f>O51-$H51</f>
        <v>94.312000000000012</v>
      </c>
      <c r="P52" s="561">
        <f t="shared" si="35"/>
        <v>100.649</v>
      </c>
      <c r="Q52" s="561">
        <f t="shared" si="35"/>
        <v>77.259999999999991</v>
      </c>
      <c r="R52" s="561">
        <f t="shared" si="35"/>
        <v>74.057999999999993</v>
      </c>
      <c r="S52" s="282">
        <f t="shared" si="35"/>
        <v>71.070000000000007</v>
      </c>
      <c r="T52" s="282">
        <f t="shared" si="35"/>
        <v>92.13900000000001</v>
      </c>
      <c r="U52" s="282">
        <f t="shared" si="35"/>
        <v>84.11699999999999</v>
      </c>
      <c r="V52" s="282">
        <f t="shared" si="35"/>
        <v>52.400000000000006</v>
      </c>
      <c r="W52" s="282">
        <f t="shared" si="35"/>
        <v>52.00500000000001</v>
      </c>
      <c r="X52" s="282">
        <f t="shared" ref="X52:Y52" si="36">X51-$H51</f>
        <v>39.198999999999998</v>
      </c>
      <c r="Y52" s="282">
        <f t="shared" si="36"/>
        <v>37.716999999999999</v>
      </c>
      <c r="Z52" s="282">
        <f t="shared" ref="Z52" si="37">Z51-$H51</f>
        <v>41.829000000000008</v>
      </c>
      <c r="AA52" s="282">
        <f t="shared" ref="AA52" si="38">AA51-$H51</f>
        <v>48.620000000000005</v>
      </c>
      <c r="AB52" s="267"/>
      <c r="AC52" s="267"/>
      <c r="AD52" s="503"/>
      <c r="AE52" s="503"/>
      <c r="AF52" s="503"/>
      <c r="AG52" s="503"/>
      <c r="AH52" s="503"/>
      <c r="AI52" s="503"/>
      <c r="AJ52" s="503"/>
    </row>
    <row r="53" spans="2:36" ht="29.15" customHeight="1" x14ac:dyDescent="0.35">
      <c r="B53" s="239"/>
      <c r="C53" s="23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row>
    <row r="54" spans="2:36" ht="29.15" customHeight="1" x14ac:dyDescent="0.35">
      <c r="B54" s="239"/>
      <c r="C54" s="239"/>
      <c r="D54" s="219"/>
      <c r="E54" s="219"/>
      <c r="F54" s="219"/>
      <c r="G54" s="219"/>
      <c r="H54" s="219"/>
      <c r="I54" s="219"/>
      <c r="J54" s="219"/>
      <c r="K54" s="219"/>
      <c r="L54" s="219"/>
      <c r="M54" s="219"/>
      <c r="N54" s="219"/>
      <c r="O54" s="219"/>
      <c r="P54" s="219"/>
      <c r="Q54" s="219"/>
      <c r="R54" s="219"/>
      <c r="S54" s="219"/>
      <c r="T54" s="219"/>
      <c r="U54" s="219"/>
      <c r="V54" s="219"/>
      <c r="W54" s="219"/>
      <c r="X54" s="219"/>
      <c r="Y54" s="219"/>
      <c r="Z54" s="219"/>
      <c r="AA54" s="219"/>
      <c r="AB54" s="219"/>
      <c r="AC54" s="219"/>
    </row>
    <row r="55" spans="2:36" ht="29.15" customHeight="1" x14ac:dyDescent="0.35">
      <c r="B55" s="239"/>
      <c r="C55" s="239"/>
      <c r="D55" s="219"/>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c r="AC55" s="219"/>
    </row>
    <row r="56" spans="2:36" ht="35.9" customHeight="1" x14ac:dyDescent="0.35"/>
    <row r="57" spans="2:36" x14ac:dyDescent="0.35">
      <c r="B57" s="512" t="s">
        <v>364</v>
      </c>
    </row>
    <row r="58" spans="2:36" x14ac:dyDescent="0.35">
      <c r="B58" s="1363" t="s">
        <v>803</v>
      </c>
      <c r="C58" s="1364"/>
      <c r="D58" s="1280" t="s">
        <v>279</v>
      </c>
      <c r="E58" s="1290"/>
      <c r="F58" s="1290"/>
      <c r="G58" s="1290"/>
      <c r="H58" s="1290"/>
      <c r="I58" s="1290"/>
      <c r="J58" s="1290"/>
      <c r="K58" s="1290"/>
      <c r="L58" s="1290"/>
      <c r="M58" s="1290"/>
      <c r="N58" s="1290"/>
      <c r="O58" s="1290"/>
      <c r="P58" s="1290"/>
      <c r="Q58" s="1290"/>
      <c r="R58" s="1290"/>
      <c r="S58" s="1290"/>
      <c r="T58" s="1290"/>
      <c r="U58" s="1290"/>
      <c r="V58" s="1281"/>
      <c r="W58" s="1302" t="s">
        <v>280</v>
      </c>
      <c r="X58" s="1303"/>
      <c r="Y58" s="1303"/>
      <c r="Z58" s="1303"/>
      <c r="AA58" s="1303"/>
      <c r="AB58" s="1303"/>
      <c r="AC58" s="1303"/>
      <c r="AD58" s="1303"/>
      <c r="AE58" s="1303"/>
      <c r="AF58" s="1303"/>
      <c r="AG58" s="1304"/>
      <c r="AH58" s="237"/>
      <c r="AI58" s="237"/>
      <c r="AJ58" s="237"/>
    </row>
    <row r="59" spans="2:36" x14ac:dyDescent="0.35">
      <c r="B59" s="1365"/>
      <c r="C59" s="1366"/>
      <c r="D59" s="215">
        <v>2018</v>
      </c>
      <c r="E59" s="1282">
        <v>2019</v>
      </c>
      <c r="F59" s="1283"/>
      <c r="G59" s="1283"/>
      <c r="H59" s="1284"/>
      <c r="I59" s="1282">
        <v>2020</v>
      </c>
      <c r="J59" s="1283"/>
      <c r="K59" s="1283"/>
      <c r="L59" s="1283"/>
      <c r="M59" s="1282">
        <v>2021</v>
      </c>
      <c r="N59" s="1283"/>
      <c r="O59" s="1283"/>
      <c r="P59" s="1283"/>
      <c r="Q59" s="1282">
        <v>2022</v>
      </c>
      <c r="R59" s="1305"/>
      <c r="S59" s="1305"/>
      <c r="T59" s="1284"/>
      <c r="U59" s="284"/>
      <c r="V59" s="556">
        <v>2023</v>
      </c>
      <c r="W59" s="552"/>
      <c r="X59" s="257"/>
      <c r="Y59" s="1268">
        <v>2024</v>
      </c>
      <c r="Z59" s="1292"/>
      <c r="AA59" s="1292"/>
      <c r="AB59" s="1270"/>
      <c r="AC59" s="1268">
        <v>2025</v>
      </c>
      <c r="AD59" s="1292"/>
      <c r="AE59" s="1292"/>
      <c r="AF59" s="1270"/>
      <c r="AG59" s="1268">
        <v>2026</v>
      </c>
      <c r="AH59" s="1292"/>
      <c r="AI59" s="1292"/>
      <c r="AJ59" s="1270"/>
    </row>
    <row r="60" spans="2:36" x14ac:dyDescent="0.35">
      <c r="B60" s="1365"/>
      <c r="C60" s="1366"/>
      <c r="D60" s="212" t="s">
        <v>281</v>
      </c>
      <c r="E60" s="212" t="s">
        <v>282</v>
      </c>
      <c r="F60" s="213" t="s">
        <v>283</v>
      </c>
      <c r="G60" s="213" t="s">
        <v>238</v>
      </c>
      <c r="H60" s="214" t="s">
        <v>281</v>
      </c>
      <c r="I60" s="213" t="s">
        <v>282</v>
      </c>
      <c r="J60" s="213" t="s">
        <v>283</v>
      </c>
      <c r="K60" s="213" t="s">
        <v>238</v>
      </c>
      <c r="L60" s="213" t="s">
        <v>281</v>
      </c>
      <c r="M60" s="212" t="s">
        <v>282</v>
      </c>
      <c r="N60" s="213" t="s">
        <v>283</v>
      </c>
      <c r="O60" s="213" t="s">
        <v>238</v>
      </c>
      <c r="P60" s="213" t="s">
        <v>281</v>
      </c>
      <c r="Q60" s="212" t="s">
        <v>282</v>
      </c>
      <c r="R60" s="213" t="s">
        <v>283</v>
      </c>
      <c r="S60" s="213" t="s">
        <v>238</v>
      </c>
      <c r="T60" s="214" t="s">
        <v>281</v>
      </c>
      <c r="U60" s="213" t="s">
        <v>282</v>
      </c>
      <c r="V60" s="282" t="s">
        <v>283</v>
      </c>
      <c r="W60" s="267" t="s">
        <v>238</v>
      </c>
      <c r="X60" s="268" t="s">
        <v>281</v>
      </c>
      <c r="Y60" s="266" t="s">
        <v>282</v>
      </c>
      <c r="Z60" s="264" t="s">
        <v>283</v>
      </c>
      <c r="AA60" s="267" t="s">
        <v>238</v>
      </c>
      <c r="AB60" s="267" t="s">
        <v>281</v>
      </c>
      <c r="AC60" s="266" t="s">
        <v>282</v>
      </c>
      <c r="AD60" s="264" t="s">
        <v>283</v>
      </c>
      <c r="AE60" s="267" t="s">
        <v>238</v>
      </c>
      <c r="AF60" s="267" t="s">
        <v>281</v>
      </c>
      <c r="AG60" s="266" t="s">
        <v>282</v>
      </c>
      <c r="AH60" s="264" t="s">
        <v>283</v>
      </c>
      <c r="AI60" s="267" t="s">
        <v>238</v>
      </c>
      <c r="AJ60" s="268" t="s">
        <v>281</v>
      </c>
    </row>
    <row r="61" spans="2:36" ht="25.75" customHeight="1" x14ac:dyDescent="0.35">
      <c r="B61" s="671" t="s">
        <v>466</v>
      </c>
      <c r="C61" s="442" t="s">
        <v>467</v>
      </c>
      <c r="D61" s="365">
        <f>'Haver Pivoted'!GO31</f>
        <v>2223</v>
      </c>
      <c r="E61" s="366">
        <f>'Haver Pivoted'!GP31</f>
        <v>2303.8000000000002</v>
      </c>
      <c r="F61" s="366">
        <f>'Haver Pivoted'!GQ31</f>
        <v>2321.6999999999998</v>
      </c>
      <c r="G61" s="366">
        <f>'Haver Pivoted'!GR31</f>
        <v>2337.1</v>
      </c>
      <c r="H61" s="366">
        <f>'Haver Pivoted'!GS31</f>
        <v>2349.5</v>
      </c>
      <c r="I61" s="366">
        <f>'Haver Pivoted'!GT31</f>
        <v>2414.4</v>
      </c>
      <c r="J61" s="366">
        <f>'Haver Pivoted'!GU31</f>
        <v>4654.1000000000004</v>
      </c>
      <c r="K61" s="366">
        <f>'Haver Pivoted'!GV31</f>
        <v>3504.7</v>
      </c>
      <c r="L61" s="366">
        <f>'Haver Pivoted'!GW31</f>
        <v>2888.4</v>
      </c>
      <c r="M61" s="366">
        <f>'Haver Pivoted'!GX31</f>
        <v>5138.1000000000004</v>
      </c>
      <c r="N61" s="366">
        <f>'Haver Pivoted'!GY31</f>
        <v>3397.8</v>
      </c>
      <c r="O61" s="366">
        <f>'Haver Pivoted'!GZ31</f>
        <v>3124.9</v>
      </c>
      <c r="P61" s="366">
        <f>'Haver Pivoted'!HA31</f>
        <v>2952.6</v>
      </c>
      <c r="Q61" s="366">
        <f>'Haver Pivoted'!HB31</f>
        <v>2970.9</v>
      </c>
      <c r="R61" s="366">
        <f>'Haver Pivoted'!HC31</f>
        <v>2976.2</v>
      </c>
      <c r="S61" s="367">
        <f>'Haver Pivoted'!HD31</f>
        <v>2970.4</v>
      </c>
      <c r="T61" s="680">
        <f>'Haver Pivoted'!HE31</f>
        <v>3024.4</v>
      </c>
      <c r="U61" s="367">
        <f>'Haver Pivoted'!HF31</f>
        <v>3038.4</v>
      </c>
      <c r="V61" s="367">
        <f>'Haver Pivoted'!HG31</f>
        <v>3049.1</v>
      </c>
      <c r="W61" s="367">
        <f>'Haver Pivoted'!HH31</f>
        <v>3078</v>
      </c>
      <c r="X61" s="367">
        <f>'Haver Pivoted'!HI31</f>
        <v>3095.6</v>
      </c>
      <c r="Y61" s="367">
        <f>'Haver Pivoted'!HJ31</f>
        <v>3201.1</v>
      </c>
      <c r="Z61" s="367">
        <f>'Haver Pivoted'!HK31</f>
        <v>3243.1</v>
      </c>
      <c r="AA61" s="367">
        <f>'Haver Pivoted'!HL31</f>
        <v>3283.9</v>
      </c>
      <c r="AB61" s="690"/>
      <c r="AC61" s="732"/>
      <c r="AD61" s="732"/>
      <c r="AE61" s="732"/>
      <c r="AF61" s="732"/>
      <c r="AG61" s="503"/>
      <c r="AH61" s="503"/>
      <c r="AI61" s="503"/>
      <c r="AJ61" s="503"/>
    </row>
    <row r="62" spans="2:36" ht="25.75" customHeight="1" x14ac:dyDescent="0.35">
      <c r="B62" s="477" t="s">
        <v>1848</v>
      </c>
      <c r="C62" s="239"/>
      <c r="D62" s="708">
        <f>D63+D64</f>
        <v>812.1</v>
      </c>
      <c r="E62" s="436">
        <f>E63+E64</f>
        <v>833.1</v>
      </c>
      <c r="F62" s="436">
        <f>F63+F64</f>
        <v>845.8</v>
      </c>
      <c r="G62" s="436">
        <f t="shared" ref="G62:N62" si="39">G63+G64</f>
        <v>854.4</v>
      </c>
      <c r="H62" s="436">
        <f t="shared" si="39"/>
        <v>858.7</v>
      </c>
      <c r="I62" s="436">
        <f t="shared" si="39"/>
        <v>878.91200000000003</v>
      </c>
      <c r="J62" s="436">
        <f t="shared" si="39"/>
        <v>3142.9549999999999</v>
      </c>
      <c r="K62" s="436">
        <f t="shared" si="39"/>
        <v>1863.174</v>
      </c>
      <c r="L62" s="436">
        <f t="shared" si="39"/>
        <v>1307.4940000000001</v>
      </c>
      <c r="M62" s="436">
        <f t="shared" si="39"/>
        <v>3530.9749999999999</v>
      </c>
      <c r="N62" s="436">
        <f t="shared" si="39"/>
        <v>1812.8558400000002</v>
      </c>
      <c r="O62" s="436">
        <f>O63+O64</f>
        <v>1537.1944933333332</v>
      </c>
      <c r="P62" s="436">
        <f t="shared" ref="P62" si="40">P63+P64</f>
        <v>1378.037333333333</v>
      </c>
      <c r="Q62" s="436">
        <f t="shared" ref="Q62" si="41">Q63+Q64</f>
        <v>1212.615</v>
      </c>
      <c r="R62" s="436">
        <f t="shared" ref="R62" si="42">R63+R64</f>
        <v>1208.7130000000002</v>
      </c>
      <c r="S62" s="675">
        <f>S63+S64</f>
        <v>1205.403</v>
      </c>
      <c r="T62" s="675">
        <f t="shared" ref="T62" si="43">T63+T64</f>
        <v>1228.624</v>
      </c>
      <c r="U62" s="675">
        <f t="shared" ref="U62" si="44">U63+U64</f>
        <v>1164.202</v>
      </c>
      <c r="V62" s="675">
        <f t="shared" ref="V62:AA62" si="45">V63+V64</f>
        <v>1154.0450000000001</v>
      </c>
      <c r="W62" s="675">
        <f t="shared" si="45"/>
        <v>1171.75</v>
      </c>
      <c r="X62" s="675">
        <f t="shared" si="45"/>
        <v>1164.5179999999998</v>
      </c>
      <c r="Y62" s="675">
        <f t="shared" si="45"/>
        <v>1176.5360000000001</v>
      </c>
      <c r="Z62" s="675">
        <f t="shared" si="45"/>
        <v>1198.548</v>
      </c>
      <c r="AA62" s="675">
        <f t="shared" si="45"/>
        <v>1229.239</v>
      </c>
      <c r="AB62" s="658"/>
      <c r="AC62" s="658"/>
      <c r="AD62" s="658"/>
      <c r="AE62" s="658"/>
      <c r="AF62" s="658"/>
      <c r="AG62" s="503"/>
      <c r="AH62" s="503"/>
      <c r="AI62" s="503"/>
      <c r="AJ62" s="503"/>
    </row>
    <row r="63" spans="2:36" ht="25.75" customHeight="1" x14ac:dyDescent="0.35">
      <c r="B63" s="422" t="s">
        <v>1846</v>
      </c>
      <c r="C63" s="239"/>
      <c r="D63" s="708">
        <f t="shared" ref="D63:Y63" si="46">D14+D17+D27</f>
        <v>812.1</v>
      </c>
      <c r="E63" s="708">
        <f t="shared" si="46"/>
        <v>833.1</v>
      </c>
      <c r="F63" s="436">
        <f t="shared" si="46"/>
        <v>845.8</v>
      </c>
      <c r="G63" s="436">
        <f t="shared" si="46"/>
        <v>854.4</v>
      </c>
      <c r="H63" s="436">
        <f t="shared" si="46"/>
        <v>858.7</v>
      </c>
      <c r="I63" s="436">
        <f t="shared" si="46"/>
        <v>872</v>
      </c>
      <c r="J63" s="436">
        <f t="shared" si="46"/>
        <v>1795.8</v>
      </c>
      <c r="K63" s="436">
        <f t="shared" si="46"/>
        <v>1656.8</v>
      </c>
      <c r="L63" s="436">
        <f t="shared" si="46"/>
        <v>1191.7</v>
      </c>
      <c r="M63" s="436">
        <f t="shared" si="46"/>
        <v>1473.1</v>
      </c>
      <c r="N63" s="436">
        <f t="shared" si="46"/>
        <v>1346.4</v>
      </c>
      <c r="O63" s="436">
        <f t="shared" si="46"/>
        <v>1318.833333333333</v>
      </c>
      <c r="P63" s="436">
        <f t="shared" si="46"/>
        <v>1157.333333333333</v>
      </c>
      <c r="Q63" s="436">
        <f t="shared" si="46"/>
        <v>1036.4000000000001</v>
      </c>
      <c r="R63" s="436">
        <f t="shared" si="46"/>
        <v>1042.6000000000001</v>
      </c>
      <c r="S63" s="675">
        <f t="shared" si="46"/>
        <v>1054.8</v>
      </c>
      <c r="T63" s="675">
        <f t="shared" si="46"/>
        <v>1078.7</v>
      </c>
      <c r="U63" s="675">
        <f t="shared" si="46"/>
        <v>1045.2</v>
      </c>
      <c r="V63" s="675">
        <f t="shared" si="46"/>
        <v>1066.76</v>
      </c>
      <c r="W63" s="675">
        <f t="shared" si="46"/>
        <v>1084.8599999999999</v>
      </c>
      <c r="X63" s="675">
        <f t="shared" si="46"/>
        <v>1104.5999999999999</v>
      </c>
      <c r="Y63" s="675">
        <f t="shared" si="46"/>
        <v>1118.1000000000001</v>
      </c>
      <c r="Z63" s="675">
        <f t="shared" ref="Z63" si="47">Z14+Z17+Z27</f>
        <v>1136</v>
      </c>
      <c r="AA63" s="675">
        <f t="shared" ref="AA63" si="48">AA14+AA17+AA27</f>
        <v>1159.9000000000001</v>
      </c>
      <c r="AB63" s="658"/>
      <c r="AC63" s="658"/>
      <c r="AD63" s="658"/>
      <c r="AE63" s="658"/>
      <c r="AF63" s="658"/>
      <c r="AG63" s="658"/>
      <c r="AH63" s="658"/>
      <c r="AI63" s="658"/>
      <c r="AJ63" s="658"/>
    </row>
    <row r="64" spans="2:36" ht="36" customHeight="1" x14ac:dyDescent="0.35">
      <c r="B64" s="422" t="s">
        <v>1847</v>
      </c>
      <c r="C64" s="239"/>
      <c r="D64" s="436">
        <f t="shared" ref="D64:AF64" si="49">D18+D21+D24+D25+D26+D28+D32</f>
        <v>0</v>
      </c>
      <c r="E64" s="436">
        <f t="shared" si="49"/>
        <v>0</v>
      </c>
      <c r="F64" s="436">
        <f t="shared" si="49"/>
        <v>0</v>
      </c>
      <c r="G64" s="436">
        <f t="shared" si="49"/>
        <v>0</v>
      </c>
      <c r="H64" s="436">
        <f t="shared" si="49"/>
        <v>0</v>
      </c>
      <c r="I64" s="436">
        <f t="shared" si="49"/>
        <v>6.9120000000000061</v>
      </c>
      <c r="J64" s="436">
        <f t="shared" si="49"/>
        <v>1347.155</v>
      </c>
      <c r="K64" s="436">
        <f t="shared" si="49"/>
        <v>206.37400000000002</v>
      </c>
      <c r="L64" s="436">
        <f t="shared" si="49"/>
        <v>115.79400000000001</v>
      </c>
      <c r="M64" s="436">
        <f t="shared" si="49"/>
        <v>2057.875</v>
      </c>
      <c r="N64" s="436">
        <f t="shared" si="49"/>
        <v>466.45584000000008</v>
      </c>
      <c r="O64" s="436">
        <f t="shared" si="49"/>
        <v>218.3611600000001</v>
      </c>
      <c r="P64" s="436">
        <f t="shared" si="49"/>
        <v>220.70400000000004</v>
      </c>
      <c r="Q64" s="436">
        <f t="shared" si="49"/>
        <v>176.215</v>
      </c>
      <c r="R64" s="436">
        <f t="shared" si="49"/>
        <v>166.113</v>
      </c>
      <c r="S64" s="436">
        <f t="shared" si="49"/>
        <v>150.60300000000001</v>
      </c>
      <c r="T64" s="436">
        <f t="shared" si="49"/>
        <v>149.92400000000004</v>
      </c>
      <c r="U64" s="436">
        <f t="shared" si="49"/>
        <v>119.002</v>
      </c>
      <c r="V64" s="436">
        <f t="shared" si="49"/>
        <v>87.285000000000011</v>
      </c>
      <c r="W64" s="436">
        <f t="shared" si="49"/>
        <v>86.890000000000015</v>
      </c>
      <c r="X64" s="658">
        <f t="shared" si="49"/>
        <v>59.917999999999999</v>
      </c>
      <c r="Y64" s="658">
        <f t="shared" si="49"/>
        <v>58.436</v>
      </c>
      <c r="Z64" s="658">
        <f t="shared" si="49"/>
        <v>62.548000000000009</v>
      </c>
      <c r="AA64" s="658">
        <f t="shared" si="49"/>
        <v>69.338999999999999</v>
      </c>
      <c r="AB64" s="658">
        <f t="shared" si="49"/>
        <v>69.168000000000006</v>
      </c>
      <c r="AC64" s="658">
        <f t="shared" si="49"/>
        <v>69.168000000000006</v>
      </c>
      <c r="AD64" s="658">
        <f t="shared" si="49"/>
        <v>69.168000000000006</v>
      </c>
      <c r="AE64" s="658">
        <f t="shared" si="49"/>
        <v>69.168000000000006</v>
      </c>
      <c r="AF64" s="658">
        <f t="shared" si="49"/>
        <v>51.088000000000008</v>
      </c>
      <c r="AG64" s="658">
        <f>AG18+AG21+AG24+AG25+AG26+AG28+AG32</f>
        <v>48.927000000000007</v>
      </c>
      <c r="AH64" s="658">
        <f t="shared" ref="AH64:AI64" si="50">AH18+AH21+AH24+AH25+AH26+AH28+AH32</f>
        <v>48.199000000000005</v>
      </c>
      <c r="AI64" s="658">
        <f t="shared" si="50"/>
        <v>48.199000000000005</v>
      </c>
      <c r="AJ64" s="658">
        <f>AJ18+AJ21+AJ24+AJ25+AJ26+AJ28+AJ32</f>
        <v>48.199000000000005</v>
      </c>
    </row>
    <row r="65" spans="2:36" ht="25.75" customHeight="1" x14ac:dyDescent="0.35">
      <c r="B65" s="477" t="s">
        <v>800</v>
      </c>
      <c r="C65" s="239"/>
      <c r="D65" s="675">
        <f t="shared" ref="D65:U65" si="51">D61-D62</f>
        <v>1410.9</v>
      </c>
      <c r="E65" s="675">
        <f t="shared" si="51"/>
        <v>1470.7000000000003</v>
      </c>
      <c r="F65" s="675">
        <f t="shared" si="51"/>
        <v>1475.8999999999999</v>
      </c>
      <c r="G65" s="675">
        <f t="shared" si="51"/>
        <v>1482.6999999999998</v>
      </c>
      <c r="H65" s="675">
        <f t="shared" si="51"/>
        <v>1490.8</v>
      </c>
      <c r="I65" s="675">
        <f t="shared" si="51"/>
        <v>1535.4880000000001</v>
      </c>
      <c r="J65" s="675">
        <f t="shared" si="51"/>
        <v>1511.1450000000004</v>
      </c>
      <c r="K65" s="675">
        <f t="shared" si="51"/>
        <v>1641.5259999999998</v>
      </c>
      <c r="L65" s="675">
        <f t="shared" si="51"/>
        <v>1580.9059999999999</v>
      </c>
      <c r="M65" s="675">
        <f t="shared" si="51"/>
        <v>1607.1250000000005</v>
      </c>
      <c r="N65" s="675">
        <f t="shared" si="51"/>
        <v>1584.94416</v>
      </c>
      <c r="O65" s="675">
        <f t="shared" si="51"/>
        <v>1587.7055066666669</v>
      </c>
      <c r="P65" s="675">
        <f t="shared" si="51"/>
        <v>1574.5626666666669</v>
      </c>
      <c r="Q65" s="675">
        <f t="shared" si="51"/>
        <v>1758.2850000000001</v>
      </c>
      <c r="R65" s="675">
        <f t="shared" si="51"/>
        <v>1767.4869999999996</v>
      </c>
      <c r="S65" s="675">
        <f t="shared" si="51"/>
        <v>1764.9970000000001</v>
      </c>
      <c r="T65" s="675">
        <f t="shared" si="51"/>
        <v>1795.7760000000001</v>
      </c>
      <c r="U65" s="675">
        <f t="shared" si="51"/>
        <v>1874.1980000000001</v>
      </c>
      <c r="V65" s="675">
        <f t="shared" ref="V65:AA65" si="52">V61-V62</f>
        <v>1895.0549999999998</v>
      </c>
      <c r="W65" s="675">
        <f t="shared" si="52"/>
        <v>1906.25</v>
      </c>
      <c r="X65" s="675">
        <f t="shared" si="52"/>
        <v>1931.0820000000001</v>
      </c>
      <c r="Y65" s="675">
        <f t="shared" si="52"/>
        <v>2024.5639999999999</v>
      </c>
      <c r="Z65" s="675">
        <f t="shared" si="52"/>
        <v>2044.5519999999999</v>
      </c>
      <c r="AA65" s="675">
        <f t="shared" si="52"/>
        <v>2054.6610000000001</v>
      </c>
      <c r="AB65" s="658"/>
      <c r="AC65" s="658"/>
      <c r="AD65" s="658"/>
      <c r="AE65" s="658"/>
      <c r="AF65" s="658"/>
      <c r="AG65" s="503"/>
      <c r="AH65" s="503"/>
      <c r="AI65" s="503"/>
      <c r="AJ65" s="503"/>
    </row>
    <row r="66" spans="2:36" ht="20.5" customHeight="1" x14ac:dyDescent="0.35">
      <c r="B66" s="691" t="s">
        <v>801</v>
      </c>
      <c r="C66" s="692"/>
      <c r="D66" s="698">
        <f t="shared" ref="D66:I66" si="53">D12-D14-D17-D27</f>
        <v>1410.9</v>
      </c>
      <c r="E66" s="663">
        <f t="shared" si="53"/>
        <v>1470.7000000000003</v>
      </c>
      <c r="F66" s="663">
        <f t="shared" si="53"/>
        <v>1475.8999999999996</v>
      </c>
      <c r="G66" s="663">
        <f t="shared" si="53"/>
        <v>1482.6999999999998</v>
      </c>
      <c r="H66" s="663">
        <f t="shared" si="53"/>
        <v>1490.8000000000002</v>
      </c>
      <c r="I66" s="663">
        <f t="shared" si="53"/>
        <v>1542.4</v>
      </c>
      <c r="J66" s="699">
        <f>I66+($H$66-$E$66)/3</f>
        <v>1549.1000000000001</v>
      </c>
      <c r="K66" s="699">
        <f>J66+($H$66-$E$66)/3</f>
        <v>1555.8000000000002</v>
      </c>
      <c r="L66" s="699">
        <f>K66+($H$66-$E$66)/3</f>
        <v>1562.5000000000002</v>
      </c>
      <c r="M66" s="700">
        <f>L66+($H$66-$E$66)/3 +(M70-L70)</f>
        <v>1586.8430000000003</v>
      </c>
      <c r="N66" s="699">
        <f>M66+($H$66-$E$66)/3</f>
        <v>1593.5430000000003</v>
      </c>
      <c r="O66" s="699">
        <f>N66+($H$66-$E$66)/3</f>
        <v>1600.2430000000004</v>
      </c>
      <c r="P66" s="699">
        <f>O66+($H$66-$E$66)/3</f>
        <v>1606.9430000000004</v>
      </c>
      <c r="Q66" s="700">
        <f>P66+($H$66-$E$66)/3 + 0.06*Q70</f>
        <v>1685.5501200000006</v>
      </c>
      <c r="R66" s="699">
        <f>Q66+($H$66-$E$66)/3</f>
        <v>1692.2501200000006</v>
      </c>
      <c r="S66" s="699">
        <f>R66+($H$66-$E$66)/3</f>
        <v>1698.9501200000007</v>
      </c>
      <c r="T66" s="699">
        <f>S66+($H$66-$E$66)/3</f>
        <v>1705.6501200000007</v>
      </c>
      <c r="U66" s="699">
        <f>T66+U67</f>
        <v>1818.9789730000007</v>
      </c>
      <c r="V66" s="699">
        <f>U66+V67</f>
        <v>1825.6789730000007</v>
      </c>
      <c r="W66" s="663">
        <f t="shared" ref="W66:AC66" si="54">V66+W67</f>
        <v>1832.3789730000008</v>
      </c>
      <c r="X66" s="693">
        <f t="shared" si="54"/>
        <v>1839.0789730000008</v>
      </c>
      <c r="Y66" s="693">
        <f t="shared" si="54"/>
        <v>1891.4284770000008</v>
      </c>
      <c r="Z66" s="693">
        <f t="shared" si="54"/>
        <v>1898.1284770000009</v>
      </c>
      <c r="AA66" s="693">
        <f t="shared" si="54"/>
        <v>1904.8284770000009</v>
      </c>
      <c r="AB66" s="693">
        <f t="shared" si="54"/>
        <v>1911.528477000001</v>
      </c>
      <c r="AC66" s="693">
        <f t="shared" si="54"/>
        <v>1953.0953669740009</v>
      </c>
      <c r="AD66" s="693">
        <f t="shared" ref="AD66" si="55">AC66+AD67</f>
        <v>1959.7953669740009</v>
      </c>
      <c r="AE66" s="693">
        <f t="shared" ref="AE66" si="56">AD66+AE67</f>
        <v>1966.4953669740009</v>
      </c>
      <c r="AF66" s="693">
        <f>AE66+AF67</f>
        <v>1973.195366974001</v>
      </c>
      <c r="AG66" s="693">
        <f>AF66+AG67</f>
        <v>2016.9680004174029</v>
      </c>
      <c r="AH66" s="693">
        <f>AG66+AH67</f>
        <v>2023.6680004174029</v>
      </c>
      <c r="AI66" s="693">
        <f t="shared" ref="AI66:AJ66" si="57">AH66+AI67</f>
        <v>2030.368000417403</v>
      </c>
      <c r="AJ66" s="693">
        <f t="shared" si="57"/>
        <v>2037.068000417403</v>
      </c>
    </row>
    <row r="67" spans="2:36" ht="20.5" customHeight="1" x14ac:dyDescent="0.35">
      <c r="B67" s="694" t="s">
        <v>1807</v>
      </c>
      <c r="C67" s="239"/>
      <c r="D67" s="708"/>
      <c r="E67" s="436"/>
      <c r="F67" s="436"/>
      <c r="G67" s="436"/>
      <c r="H67" s="436"/>
      <c r="I67" s="436"/>
      <c r="J67" s="676"/>
      <c r="K67" s="676"/>
      <c r="L67" s="676"/>
      <c r="M67" s="701"/>
      <c r="N67" s="676"/>
      <c r="O67" s="676"/>
      <c r="P67" s="676"/>
      <c r="Q67" s="701"/>
      <c r="R67" s="676"/>
      <c r="S67" s="676"/>
      <c r="T67" s="676"/>
      <c r="U67" s="676">
        <f>U68+U69</f>
        <v>113.32885299999995</v>
      </c>
      <c r="V67" s="676">
        <f>V68+V69</f>
        <v>6.69999999999997</v>
      </c>
      <c r="W67" s="676">
        <f>W68+W69</f>
        <v>6.69999999999997</v>
      </c>
      <c r="X67" s="658">
        <f t="shared" ref="X67:AC67" si="58">X68+X73*X70</f>
        <v>6.69999999999997</v>
      </c>
      <c r="Y67" s="658">
        <f t="shared" si="58"/>
        <v>52.349503999999968</v>
      </c>
      <c r="Z67" s="658">
        <f t="shared" si="58"/>
        <v>6.69999999999997</v>
      </c>
      <c r="AA67" s="658">
        <f t="shared" si="58"/>
        <v>6.69999999999997</v>
      </c>
      <c r="AB67" s="658">
        <f t="shared" si="58"/>
        <v>6.69999999999997</v>
      </c>
      <c r="AC67" s="658">
        <f t="shared" si="58"/>
        <v>41.566889973999963</v>
      </c>
      <c r="AD67" s="658">
        <f t="shared" ref="AD67:AE67" si="59">AD68+AD73*AD70</f>
        <v>6.69999999999997</v>
      </c>
      <c r="AE67" s="658">
        <f t="shared" si="59"/>
        <v>6.69999999999997</v>
      </c>
      <c r="AF67" s="658">
        <f>AF68+AF73*AF70</f>
        <v>6.69999999999997</v>
      </c>
      <c r="AG67" s="658">
        <f>AG68+AG73*AG70</f>
        <v>43.772633443401965</v>
      </c>
      <c r="AH67" s="658">
        <f>AH68+AH73*AH70</f>
        <v>6.69999999999997</v>
      </c>
      <c r="AI67" s="658">
        <f t="shared" ref="AI67:AJ67" si="60">AI68+AI73*AI70</f>
        <v>6.69999999999997</v>
      </c>
      <c r="AJ67" s="658">
        <f t="shared" si="60"/>
        <v>6.69999999999997</v>
      </c>
    </row>
    <row r="68" spans="2:36" ht="28.4" customHeight="1" x14ac:dyDescent="0.35">
      <c r="B68" s="695" t="s">
        <v>1804</v>
      </c>
      <c r="C68" s="239"/>
      <c r="D68" s="708"/>
      <c r="E68" s="436"/>
      <c r="F68" s="436"/>
      <c r="G68" s="436"/>
      <c r="H68" s="436"/>
      <c r="I68" s="436"/>
      <c r="J68" s="676"/>
      <c r="K68" s="676"/>
      <c r="L68" s="676"/>
      <c r="M68" s="701"/>
      <c r="N68" s="676"/>
      <c r="O68" s="676"/>
      <c r="P68" s="676"/>
      <c r="Q68" s="701"/>
      <c r="R68" s="676"/>
      <c r="S68" s="676"/>
      <c r="T68" s="676"/>
      <c r="U68" s="676">
        <f>($H$66-$E$66)/3</f>
        <v>6.69999999999997</v>
      </c>
      <c r="V68" s="676">
        <f>($H$66-$E$66)/3</f>
        <v>6.69999999999997</v>
      </c>
      <c r="W68" s="676">
        <f>($H$66-$E$66)/3</f>
        <v>6.69999999999997</v>
      </c>
      <c r="X68" s="658">
        <f t="shared" ref="X68:AC68" si="61">W68</f>
        <v>6.69999999999997</v>
      </c>
      <c r="Y68" s="658">
        <f t="shared" si="61"/>
        <v>6.69999999999997</v>
      </c>
      <c r="Z68" s="658">
        <f t="shared" si="61"/>
        <v>6.69999999999997</v>
      </c>
      <c r="AA68" s="658">
        <f t="shared" si="61"/>
        <v>6.69999999999997</v>
      </c>
      <c r="AB68" s="658">
        <f t="shared" si="61"/>
        <v>6.69999999999997</v>
      </c>
      <c r="AC68" s="658">
        <f t="shared" si="61"/>
        <v>6.69999999999997</v>
      </c>
      <c r="AD68" s="658">
        <f t="shared" ref="AD68" si="62">AC68</f>
        <v>6.69999999999997</v>
      </c>
      <c r="AE68" s="658">
        <f t="shared" ref="AE68" si="63">AD68</f>
        <v>6.69999999999997</v>
      </c>
      <c r="AF68" s="658">
        <f>AE68</f>
        <v>6.69999999999997</v>
      </c>
      <c r="AG68" s="658">
        <f>AF68</f>
        <v>6.69999999999997</v>
      </c>
      <c r="AH68" s="658">
        <f>AG68</f>
        <v>6.69999999999997</v>
      </c>
      <c r="AI68" s="658">
        <f t="shared" ref="AI68:AJ68" si="64">AH68</f>
        <v>6.69999999999997</v>
      </c>
      <c r="AJ68" s="658">
        <f t="shared" si="64"/>
        <v>6.69999999999997</v>
      </c>
    </row>
    <row r="69" spans="2:36" ht="30.65" customHeight="1" x14ac:dyDescent="0.35">
      <c r="B69" s="696" t="s">
        <v>1805</v>
      </c>
      <c r="C69" s="697"/>
      <c r="D69" s="702"/>
      <c r="E69" s="664"/>
      <c r="F69" s="664"/>
      <c r="G69" s="664"/>
      <c r="H69" s="664"/>
      <c r="I69" s="664"/>
      <c r="J69" s="703"/>
      <c r="K69" s="703"/>
      <c r="L69" s="703"/>
      <c r="M69" s="704"/>
      <c r="N69" s="703"/>
      <c r="O69" s="703"/>
      <c r="P69" s="703"/>
      <c r="Q69" s="704"/>
      <c r="R69" s="703"/>
      <c r="S69" s="703"/>
      <c r="T69" s="703"/>
      <c r="U69" s="703">
        <f>U73*T70</f>
        <v>106.62885299999998</v>
      </c>
      <c r="V69" s="703">
        <f>V73*U70</f>
        <v>0</v>
      </c>
      <c r="W69" s="664">
        <f t="shared" ref="W69:AB69" si="65">W73*V70</f>
        <v>0</v>
      </c>
      <c r="X69" s="705">
        <f t="shared" si="65"/>
        <v>0</v>
      </c>
      <c r="Y69" s="705">
        <f>Y73*X70</f>
        <v>43.967424000000001</v>
      </c>
      <c r="Z69" s="705">
        <f t="shared" si="65"/>
        <v>0</v>
      </c>
      <c r="AA69" s="705">
        <f t="shared" si="65"/>
        <v>0</v>
      </c>
      <c r="AB69" s="705">
        <f t="shared" si="65"/>
        <v>0</v>
      </c>
      <c r="AC69" s="705">
        <f>AC73*AB70</f>
        <v>33.745737999999996</v>
      </c>
      <c r="AD69" s="705">
        <f t="shared" ref="AD69" si="66">AD73*AC70</f>
        <v>0</v>
      </c>
      <c r="AE69" s="705">
        <f t="shared" ref="AE69" si="67">AE73*AD70</f>
        <v>0</v>
      </c>
      <c r="AF69" s="705">
        <f t="shared" ref="AF69" si="68">AF73*AE70</f>
        <v>0</v>
      </c>
      <c r="AG69" s="705">
        <f>AG73*AF70</f>
        <v>35.901889973999999</v>
      </c>
      <c r="AH69" s="705">
        <f>AH73*AG70</f>
        <v>0</v>
      </c>
      <c r="AI69" s="705">
        <f t="shared" ref="AI69:AJ69" si="69">AI73*AH70</f>
        <v>0</v>
      </c>
      <c r="AJ69" s="705">
        <f t="shared" si="69"/>
        <v>0</v>
      </c>
    </row>
    <row r="70" spans="2:36" ht="17.5" customHeight="1" x14ac:dyDescent="0.35">
      <c r="B70" s="548" t="s">
        <v>474</v>
      </c>
      <c r="C70" s="239" t="s">
        <v>475</v>
      </c>
      <c r="D70" s="708">
        <f>'Haver Pivoted'!GO88/1000</f>
        <v>983.86099999999999</v>
      </c>
      <c r="E70" s="436">
        <f>'Haver Pivoted'!GP88/1000</f>
        <v>1019.19</v>
      </c>
      <c r="F70" s="436">
        <f>'Haver Pivoted'!GQ88/1000</f>
        <v>1026.704</v>
      </c>
      <c r="G70" s="436">
        <f>'Haver Pivoted'!GR88/1000</f>
        <v>1034.4169999999999</v>
      </c>
      <c r="H70" s="436">
        <f>'Haver Pivoted'!GS88/1000</f>
        <v>1042.6610000000001</v>
      </c>
      <c r="I70" s="436">
        <f>'Haver Pivoted'!GT88/1000</f>
        <v>1068.201</v>
      </c>
      <c r="J70" s="436">
        <f>'Haver Pivoted'!GU88/1000</f>
        <v>1075.075</v>
      </c>
      <c r="K70" s="436">
        <f>'Haver Pivoted'!GV88/1000</f>
        <v>1080.441</v>
      </c>
      <c r="L70" s="436">
        <f>'Haver Pivoted'!GW88/1000</f>
        <v>1087.9949999999999</v>
      </c>
      <c r="M70" s="436">
        <f>'Haver Pivoted'!GX88/1000</f>
        <v>1105.6379999999999</v>
      </c>
      <c r="N70" s="436">
        <f>'Haver Pivoted'!GY88/1000</f>
        <v>1109.6400000000001</v>
      </c>
      <c r="O70" s="436">
        <f>'Haver Pivoted'!GZ88/1000</f>
        <v>1116.9480000000001</v>
      </c>
      <c r="P70" s="436">
        <f>'Haver Pivoted'!HA88/1000</f>
        <v>1126.174</v>
      </c>
      <c r="Q70" s="436">
        <f>'Haver Pivoted'!HB88/1000</f>
        <v>1198.452</v>
      </c>
      <c r="R70" s="436">
        <f>'Haver Pivoted'!HC88/1000</f>
        <v>1207.163</v>
      </c>
      <c r="S70" s="675">
        <f>'Haver Pivoted'!HD88/1000</f>
        <v>1214.7809999999999</v>
      </c>
      <c r="T70" s="675">
        <f>'Haver Pivoted'!HE88/1000</f>
        <v>1225.6189999999999</v>
      </c>
      <c r="U70" s="675">
        <f>'Haver Pivoted'!HF88/1000</f>
        <v>1339.904</v>
      </c>
      <c r="V70" s="675">
        <f>'Haver Pivoted'!HG88/1000</f>
        <v>1353.2829999999999</v>
      </c>
      <c r="W70" s="675">
        <f>'Haver Pivoted'!HH88/1000</f>
        <v>1360.723</v>
      </c>
      <c r="X70" s="675">
        <f>'Haver Pivoted'!HI88/1000</f>
        <v>1373.982</v>
      </c>
      <c r="Y70" s="675">
        <f>'Haver Pivoted'!HJ88/1000</f>
        <v>1426.547</v>
      </c>
      <c r="Z70" s="675">
        <f>'Haver Pivoted'!HK88/1000</f>
        <v>1439.73</v>
      </c>
      <c r="AA70" s="675">
        <f>'Haver Pivoted'!HL88/1000</f>
        <v>1453.2059999999999</v>
      </c>
      <c r="AB70" s="658">
        <f t="shared" ref="AB70:AC70" si="70">AA70+AB71</f>
        <v>1467.2059999999999</v>
      </c>
      <c r="AC70" s="658">
        <f t="shared" si="70"/>
        <v>1515.951738</v>
      </c>
      <c r="AD70" s="658">
        <f t="shared" ref="AD70" si="71">AC70+AD71</f>
        <v>1530.951738</v>
      </c>
      <c r="AE70" s="658">
        <f t="shared" ref="AE70" si="72">AD70+AE71</f>
        <v>1545.951738</v>
      </c>
      <c r="AF70" s="658">
        <f>AE70+AF71</f>
        <v>1560.951738</v>
      </c>
      <c r="AG70" s="658">
        <f>AF70+AG71</f>
        <v>1611.8536279739999</v>
      </c>
      <c r="AH70" s="658">
        <f>AG70+AH71</f>
        <v>1626.8536279739999</v>
      </c>
      <c r="AI70" s="658">
        <f t="shared" ref="AI70:AJ70" si="73">AH70+AI71</f>
        <v>1641.8536279739999</v>
      </c>
      <c r="AJ70" s="658">
        <f t="shared" si="73"/>
        <v>1656.8536279739999</v>
      </c>
    </row>
    <row r="71" spans="2:36" ht="17.5" customHeight="1" x14ac:dyDescent="0.35">
      <c r="B71" s="422" t="s">
        <v>1806</v>
      </c>
      <c r="C71" s="239"/>
      <c r="D71" s="708"/>
      <c r="E71" s="436"/>
      <c r="F71" s="436"/>
      <c r="G71" s="436"/>
      <c r="H71" s="436"/>
      <c r="I71" s="436"/>
      <c r="J71" s="436"/>
      <c r="K71" s="436"/>
      <c r="L71" s="436"/>
      <c r="M71" s="436"/>
      <c r="N71" s="436"/>
      <c r="O71" s="436"/>
      <c r="P71" s="436"/>
      <c r="Q71" s="436"/>
      <c r="R71" s="436"/>
      <c r="S71" s="675"/>
      <c r="T71" s="675"/>
      <c r="U71" s="675">
        <f>U69+U72</f>
        <v>114.62885299999998</v>
      </c>
      <c r="V71" s="436">
        <f>V69+V72</f>
        <v>8</v>
      </c>
      <c r="W71" s="436">
        <f t="shared" ref="W71:AC71" si="74">W69+W72</f>
        <v>11</v>
      </c>
      <c r="X71" s="658">
        <f>X69+X72</f>
        <v>14</v>
      </c>
      <c r="Y71" s="658">
        <f>Y69+Y72</f>
        <v>52.967424000000001</v>
      </c>
      <c r="Z71" s="658">
        <f t="shared" si="74"/>
        <v>13</v>
      </c>
      <c r="AA71" s="658">
        <f t="shared" si="74"/>
        <v>11</v>
      </c>
      <c r="AB71" s="658">
        <f t="shared" si="74"/>
        <v>14</v>
      </c>
      <c r="AC71" s="658">
        <f t="shared" si="74"/>
        <v>48.745737999999996</v>
      </c>
      <c r="AD71" s="658">
        <f t="shared" ref="AD71:AE71" si="75">AD69+AD72</f>
        <v>15</v>
      </c>
      <c r="AE71" s="658">
        <f t="shared" si="75"/>
        <v>15</v>
      </c>
      <c r="AF71" s="658">
        <f>AF69+AF72</f>
        <v>15</v>
      </c>
      <c r="AG71" s="658">
        <f>AG69+AG72</f>
        <v>50.901889973999999</v>
      </c>
      <c r="AH71" s="658">
        <f t="shared" ref="AH71:AJ71" si="76">AH69+AH72</f>
        <v>15</v>
      </c>
      <c r="AI71" s="658">
        <f t="shared" si="76"/>
        <v>15</v>
      </c>
      <c r="AJ71" s="658">
        <f t="shared" si="76"/>
        <v>15</v>
      </c>
    </row>
    <row r="72" spans="2:36" ht="17.5" customHeight="1" x14ac:dyDescent="0.35">
      <c r="B72" s="413" t="s">
        <v>1809</v>
      </c>
      <c r="C72" s="239"/>
      <c r="D72" s="708"/>
      <c r="E72" s="436"/>
      <c r="F72" s="675"/>
      <c r="G72" s="675"/>
      <c r="H72" s="675"/>
      <c r="I72" s="675"/>
      <c r="J72" s="675"/>
      <c r="K72" s="675"/>
      <c r="L72" s="675"/>
      <c r="M72" s="675"/>
      <c r="N72" s="675"/>
      <c r="O72" s="675"/>
      <c r="P72" s="675"/>
      <c r="Q72" s="675"/>
      <c r="R72" s="675"/>
      <c r="S72" s="675"/>
      <c r="T72" s="675"/>
      <c r="U72" s="675">
        <v>8</v>
      </c>
      <c r="V72" s="436">
        <v>8</v>
      </c>
      <c r="W72" s="436">
        <v>11</v>
      </c>
      <c r="X72" s="658">
        <v>14</v>
      </c>
      <c r="Y72" s="658">
        <v>9</v>
      </c>
      <c r="Z72" s="658">
        <v>13</v>
      </c>
      <c r="AA72" s="658">
        <v>11</v>
      </c>
      <c r="AB72" s="658">
        <v>14</v>
      </c>
      <c r="AC72" s="658">
        <v>15</v>
      </c>
      <c r="AD72" s="658">
        <v>15</v>
      </c>
      <c r="AE72" s="658">
        <v>15</v>
      </c>
      <c r="AF72" s="658">
        <v>15</v>
      </c>
      <c r="AG72" s="503">
        <v>15</v>
      </c>
      <c r="AH72" s="503">
        <v>15</v>
      </c>
      <c r="AI72" s="503">
        <v>15</v>
      </c>
      <c r="AJ72" s="503">
        <v>15</v>
      </c>
    </row>
    <row r="73" spans="2:36" ht="39" customHeight="1" x14ac:dyDescent="0.35">
      <c r="B73" s="413" t="s">
        <v>1810</v>
      </c>
      <c r="C73" s="239"/>
      <c r="D73" s="708"/>
      <c r="E73" s="436"/>
      <c r="F73" s="436"/>
      <c r="G73" s="436"/>
      <c r="H73" s="436"/>
      <c r="I73" s="664"/>
      <c r="J73" s="664"/>
      <c r="K73" s="664"/>
      <c r="L73" s="664"/>
      <c r="M73" s="664"/>
      <c r="N73" s="664"/>
      <c r="O73" s="664"/>
      <c r="P73" s="664"/>
      <c r="Q73" s="664"/>
      <c r="R73" s="664"/>
      <c r="S73" s="706"/>
      <c r="T73" s="706"/>
      <c r="U73" s="677">
        <v>8.6999999999999994E-2</v>
      </c>
      <c r="V73" s="665">
        <v>0</v>
      </c>
      <c r="W73" s="665">
        <v>0</v>
      </c>
      <c r="X73" s="707">
        <v>0</v>
      </c>
      <c r="Y73" s="707">
        <v>3.2000000000000001E-2</v>
      </c>
      <c r="Z73" s="707">
        <v>0</v>
      </c>
      <c r="AA73" s="707">
        <v>0</v>
      </c>
      <c r="AB73" s="707">
        <v>0</v>
      </c>
      <c r="AC73" s="707">
        <v>2.3E-2</v>
      </c>
      <c r="AD73" s="707">
        <v>0</v>
      </c>
      <c r="AE73" s="707">
        <v>0</v>
      </c>
      <c r="AF73" s="707">
        <v>0</v>
      </c>
      <c r="AG73" s="707">
        <v>2.3E-2</v>
      </c>
      <c r="AH73" s="707">
        <v>0</v>
      </c>
      <c r="AI73" s="707">
        <v>0</v>
      </c>
      <c r="AJ73" s="707">
        <v>0</v>
      </c>
    </row>
    <row r="74" spans="2:36" ht="49.75" customHeight="1" x14ac:dyDescent="0.35">
      <c r="B74" s="477" t="s">
        <v>1431</v>
      </c>
      <c r="C74" s="239"/>
      <c r="D74" s="708">
        <f t="shared" ref="D74:T74" si="77">D65-D66</f>
        <v>0</v>
      </c>
      <c r="E74" s="436">
        <f t="shared" si="77"/>
        <v>0</v>
      </c>
      <c r="F74" s="436">
        <f t="shared" si="77"/>
        <v>0</v>
      </c>
      <c r="G74" s="436">
        <f t="shared" si="77"/>
        <v>0</v>
      </c>
      <c r="H74" s="436">
        <f t="shared" si="77"/>
        <v>0</v>
      </c>
      <c r="I74" s="436">
        <f t="shared" si="77"/>
        <v>-6.9120000000000346</v>
      </c>
      <c r="J74" s="436">
        <f t="shared" si="77"/>
        <v>-37.9549999999997</v>
      </c>
      <c r="K74" s="436">
        <f t="shared" si="77"/>
        <v>85.725999999999658</v>
      </c>
      <c r="L74" s="436">
        <f t="shared" si="77"/>
        <v>18.405999999999722</v>
      </c>
      <c r="M74" s="436">
        <f t="shared" si="77"/>
        <v>20.282000000000153</v>
      </c>
      <c r="N74" s="436">
        <f t="shared" si="77"/>
        <v>-8.5988400000003367</v>
      </c>
      <c r="O74" s="436">
        <f t="shared" si="77"/>
        <v>-12.537493333333487</v>
      </c>
      <c r="P74" s="436">
        <f t="shared" si="77"/>
        <v>-32.38033333333351</v>
      </c>
      <c r="Q74" s="436">
        <f t="shared" si="77"/>
        <v>72.734879999999521</v>
      </c>
      <c r="R74" s="436">
        <f t="shared" si="77"/>
        <v>75.236879999999019</v>
      </c>
      <c r="S74" s="675">
        <f t="shared" si="77"/>
        <v>66.046879999999419</v>
      </c>
      <c r="T74" s="675">
        <f t="shared" si="77"/>
        <v>90.12587999999937</v>
      </c>
      <c r="U74" s="675">
        <f t="shared" ref="U74:AA74" si="78">U65-U66</f>
        <v>55.219026999999414</v>
      </c>
      <c r="V74" s="675">
        <f t="shared" si="78"/>
        <v>69.376026999999112</v>
      </c>
      <c r="W74" s="675">
        <f t="shared" si="78"/>
        <v>73.871026999999231</v>
      </c>
      <c r="X74" s="675">
        <f t="shared" si="78"/>
        <v>92.003026999999292</v>
      </c>
      <c r="Y74" s="675">
        <f t="shared" si="78"/>
        <v>133.13552299999901</v>
      </c>
      <c r="Z74" s="675">
        <f t="shared" si="78"/>
        <v>146.42352299999902</v>
      </c>
      <c r="AA74" s="675">
        <f t="shared" si="78"/>
        <v>149.83252299999913</v>
      </c>
      <c r="AB74" s="658">
        <f t="shared" ref="AB74:AC74" si="79">AA74</f>
        <v>149.83252299999913</v>
      </c>
      <c r="AC74" s="658">
        <f t="shared" si="79"/>
        <v>149.83252299999913</v>
      </c>
      <c r="AD74" s="658">
        <f t="shared" ref="AD74" si="80">AC74</f>
        <v>149.83252299999913</v>
      </c>
      <c r="AE74" s="658">
        <f t="shared" ref="AE74" si="81">AD74</f>
        <v>149.83252299999913</v>
      </c>
      <c r="AF74" s="658">
        <f t="shared" ref="AF74:AH74" si="82">AE74</f>
        <v>149.83252299999913</v>
      </c>
      <c r="AG74" s="658">
        <f t="shared" si="82"/>
        <v>149.83252299999913</v>
      </c>
      <c r="AH74" s="658">
        <f t="shared" si="82"/>
        <v>149.83252299999913</v>
      </c>
      <c r="AI74" s="658">
        <f t="shared" ref="AI74" si="83">AH74</f>
        <v>149.83252299999913</v>
      </c>
      <c r="AJ74" s="658">
        <f t="shared" ref="AJ74" si="84">AI74</f>
        <v>149.83252299999913</v>
      </c>
    </row>
    <row r="75" spans="2:36" ht="29.5" customHeight="1" x14ac:dyDescent="0.35">
      <c r="B75" s="279"/>
      <c r="C75" s="239"/>
      <c r="D75" s="224"/>
      <c r="E75" s="224"/>
      <c r="F75" s="224"/>
      <c r="G75" s="224"/>
      <c r="H75" s="224"/>
      <c r="I75" s="224"/>
      <c r="J75" s="224"/>
      <c r="K75" s="224"/>
      <c r="L75" s="224"/>
      <c r="M75" s="224"/>
      <c r="N75" s="224"/>
      <c r="O75" s="224"/>
      <c r="P75" s="224"/>
      <c r="Q75" s="224"/>
      <c r="R75" s="224"/>
      <c r="S75" s="224"/>
      <c r="T75" s="224"/>
      <c r="U75" s="224"/>
      <c r="V75" s="224"/>
      <c r="W75" s="224"/>
      <c r="X75" s="224"/>
      <c r="Y75" s="224"/>
      <c r="Z75" s="224"/>
      <c r="AA75" s="224"/>
      <c r="AB75" s="224"/>
      <c r="AC75" s="224"/>
    </row>
    <row r="76" spans="2:36" ht="16.75" customHeight="1" x14ac:dyDescent="0.35">
      <c r="B76" s="239"/>
      <c r="C76" s="239"/>
      <c r="N76" s="239">
        <f>AVERAGE(P70:S70)</f>
        <v>1186.6424999999999</v>
      </c>
      <c r="R76" s="239">
        <f>AVERAGE(T70:W70)</f>
        <v>1319.8822500000001</v>
      </c>
      <c r="S76" s="546"/>
      <c r="T76" s="546"/>
      <c r="U76" s="239"/>
      <c r="V76" s="239">
        <f>AVERAGE(X70:AA70)</f>
        <v>1423.36625</v>
      </c>
      <c r="W76" s="239"/>
      <c r="X76" s="239"/>
      <c r="Y76" s="239"/>
      <c r="Z76" s="239">
        <f>AVERAGE(AB70:AE70)</f>
        <v>1515.0153034999998</v>
      </c>
      <c r="AA76" s="239"/>
      <c r="AB76" s="239"/>
      <c r="AC76" s="239"/>
      <c r="AD76" s="436">
        <f>AVERAGE(AF70:AJ70)</f>
        <v>1619.6732499792001</v>
      </c>
    </row>
    <row r="77" spans="2:36" ht="16.75" customHeight="1" x14ac:dyDescent="0.35">
      <c r="B77" s="239"/>
      <c r="C77" s="239"/>
      <c r="S77" s="224"/>
      <c r="T77" s="224"/>
      <c r="U77" s="239"/>
      <c r="V77" s="239"/>
      <c r="W77" s="239"/>
      <c r="X77" s="239"/>
      <c r="Y77" s="239"/>
      <c r="Z77" s="239"/>
      <c r="AA77" s="239"/>
      <c r="AB77" s="239"/>
      <c r="AC77" s="239">
        <f>Z76-V76</f>
        <v>91.649053499999809</v>
      </c>
    </row>
    <row r="78" spans="2:36" ht="16.75" customHeight="1" x14ac:dyDescent="0.35">
      <c r="B78" s="239"/>
      <c r="C78" s="239"/>
      <c r="S78" s="224"/>
      <c r="T78" s="224"/>
      <c r="U78" s="239"/>
      <c r="V78" s="239"/>
      <c r="W78" s="239"/>
      <c r="X78" s="239"/>
      <c r="Y78" s="239"/>
      <c r="Z78" s="239"/>
      <c r="AA78" s="239"/>
      <c r="AB78" s="239"/>
      <c r="AC78" s="239"/>
    </row>
    <row r="79" spans="2:36" ht="16.75" customHeight="1" x14ac:dyDescent="0.35">
      <c r="B79" s="239"/>
      <c r="C79" s="239"/>
      <c r="S79" s="224"/>
      <c r="T79" s="224"/>
      <c r="U79" s="436"/>
      <c r="V79" s="436"/>
      <c r="W79" s="436"/>
      <c r="X79" s="436"/>
      <c r="Y79" s="436"/>
      <c r="Z79" s="436"/>
      <c r="AA79" s="436"/>
      <c r="AB79" s="436"/>
      <c r="AC79" s="436"/>
      <c r="AD79" s="515"/>
    </row>
    <row r="80" spans="2:36" ht="16.75" customHeight="1" x14ac:dyDescent="0.35">
      <c r="B80" s="220"/>
      <c r="C80" s="239"/>
      <c r="S80" s="224"/>
      <c r="T80" s="224"/>
      <c r="U80" s="224"/>
      <c r="V80" s="224"/>
      <c r="W80" s="224"/>
      <c r="X80" s="224"/>
      <c r="Y80" s="224"/>
      <c r="Z80" s="224"/>
      <c r="AA80" s="224"/>
      <c r="AB80" s="224"/>
      <c r="AC80" s="224"/>
      <c r="AD80" s="515"/>
    </row>
    <row r="81" spans="2:30" ht="16.75" customHeight="1" x14ac:dyDescent="0.35">
      <c r="B81" s="220"/>
      <c r="C81" s="239"/>
      <c r="S81" s="224"/>
      <c r="T81" s="224"/>
      <c r="U81" s="224"/>
      <c r="V81" s="224"/>
      <c r="W81" s="224"/>
      <c r="X81" s="224"/>
      <c r="Y81" s="224"/>
      <c r="Z81" s="224"/>
      <c r="AA81" s="224"/>
      <c r="AB81" s="224"/>
      <c r="AC81" s="224"/>
      <c r="AD81" s="515"/>
    </row>
    <row r="82" spans="2:30" ht="16.75" customHeight="1" x14ac:dyDescent="0.35">
      <c r="B82" s="220"/>
      <c r="C82" s="239"/>
      <c r="S82" s="224"/>
      <c r="T82" s="224"/>
      <c r="U82" s="224"/>
      <c r="V82" s="224"/>
      <c r="W82" s="224"/>
      <c r="X82" s="224"/>
      <c r="Y82" s="224"/>
      <c r="Z82" s="224"/>
      <c r="AA82" s="224"/>
      <c r="AB82" s="224"/>
      <c r="AC82" s="224"/>
      <c r="AD82" s="515"/>
    </row>
    <row r="83" spans="2:30" ht="16.75" customHeight="1" x14ac:dyDescent="0.35">
      <c r="B83" s="239"/>
      <c r="C83" s="239"/>
      <c r="S83" s="239"/>
      <c r="T83" s="239"/>
      <c r="U83" s="436"/>
      <c r="V83" s="436"/>
      <c r="W83" s="436"/>
      <c r="X83" s="436"/>
      <c r="Y83" s="436"/>
      <c r="Z83" s="436"/>
      <c r="AA83" s="436"/>
      <c r="AB83" s="436"/>
      <c r="AC83" s="436"/>
      <c r="AD83" s="515"/>
    </row>
    <row r="84" spans="2:30" ht="16.75" customHeight="1" x14ac:dyDescent="0.35">
      <c r="B84" s="220"/>
      <c r="C84" s="239"/>
      <c r="S84" s="239"/>
      <c r="T84" s="239"/>
      <c r="U84" s="436"/>
      <c r="V84" s="436"/>
      <c r="W84" s="436"/>
      <c r="X84" s="436"/>
      <c r="Y84" s="436"/>
      <c r="Z84" s="436"/>
      <c r="AA84" s="436"/>
      <c r="AB84" s="436"/>
      <c r="AC84" s="436"/>
      <c r="AD84" s="515"/>
    </row>
    <row r="85" spans="2:30" ht="16.75" customHeight="1" x14ac:dyDescent="0.35">
      <c r="B85" s="220"/>
      <c r="C85" s="239"/>
      <c r="S85" s="239"/>
      <c r="T85" s="239"/>
      <c r="U85" s="224"/>
      <c r="V85" s="224"/>
      <c r="W85" s="224"/>
      <c r="X85" s="224"/>
      <c r="Y85" s="224"/>
      <c r="Z85" s="224"/>
      <c r="AA85" s="224"/>
      <c r="AB85" s="224"/>
      <c r="AC85" s="224"/>
      <c r="AD85" s="515"/>
    </row>
    <row r="86" spans="2:30" ht="16.75" customHeight="1" x14ac:dyDescent="0.35">
      <c r="B86" s="220"/>
      <c r="C86" s="239"/>
      <c r="S86" s="239"/>
      <c r="T86" s="239"/>
      <c r="U86" s="678"/>
      <c r="V86" s="678"/>
      <c r="W86" s="678"/>
      <c r="X86" s="678"/>
      <c r="Y86" s="678"/>
      <c r="Z86" s="678"/>
      <c r="AA86" s="678"/>
      <c r="AB86" s="678"/>
      <c r="AC86" s="678"/>
      <c r="AD86" s="515"/>
    </row>
    <row r="87" spans="2:30" ht="16.75" customHeight="1" x14ac:dyDescent="0.35">
      <c r="B87" s="239"/>
      <c r="C87" s="239"/>
      <c r="S87" s="224"/>
      <c r="T87" s="224"/>
      <c r="U87" s="224"/>
      <c r="V87" s="224"/>
      <c r="W87" s="224"/>
      <c r="X87" s="224"/>
      <c r="Y87" s="224"/>
      <c r="Z87" s="224"/>
      <c r="AA87" s="224"/>
      <c r="AB87" s="224"/>
      <c r="AC87" s="224"/>
      <c r="AD87" s="515"/>
    </row>
    <row r="88" spans="2:30" ht="22.5" customHeight="1" x14ac:dyDescent="0.35">
      <c r="B88" s="279"/>
      <c r="C88" s="239"/>
      <c r="D88" s="224"/>
      <c r="E88" s="224"/>
      <c r="F88" s="224"/>
      <c r="G88" s="224"/>
      <c r="H88" s="224"/>
      <c r="I88" s="224"/>
      <c r="J88" s="224"/>
      <c r="K88" s="224"/>
      <c r="L88" s="224"/>
      <c r="M88" s="224"/>
      <c r="N88" s="224"/>
      <c r="O88" s="224"/>
      <c r="P88" s="224"/>
      <c r="Q88" s="224"/>
      <c r="R88" s="224"/>
      <c r="S88" s="224"/>
      <c r="T88" s="224"/>
      <c r="U88" s="224"/>
      <c r="V88" s="224"/>
      <c r="W88" s="224"/>
      <c r="X88" s="224"/>
      <c r="Y88" s="224"/>
      <c r="Z88" s="224"/>
      <c r="AA88" s="224"/>
      <c r="AB88" s="224"/>
      <c r="AC88" s="224"/>
    </row>
    <row r="89" spans="2:30" ht="22.5" customHeight="1" x14ac:dyDescent="0.35">
      <c r="B89" s="279"/>
      <c r="C89" s="239"/>
      <c r="D89" s="224"/>
      <c r="E89" s="224"/>
      <c r="F89" s="224"/>
      <c r="G89" s="224"/>
      <c r="H89" s="224"/>
      <c r="I89" s="224"/>
      <c r="J89" s="224"/>
      <c r="K89" s="224"/>
      <c r="L89" s="224"/>
      <c r="M89" s="224"/>
      <c r="N89" s="224"/>
      <c r="O89" s="224"/>
      <c r="P89" s="224"/>
      <c r="Q89" s="224"/>
      <c r="R89" s="224"/>
      <c r="S89" s="224"/>
      <c r="T89" s="224"/>
      <c r="U89" s="224"/>
      <c r="V89" s="224"/>
      <c r="W89" s="224"/>
      <c r="X89" s="224"/>
      <c r="Y89" s="224"/>
      <c r="Z89" s="224"/>
      <c r="AA89" s="224"/>
      <c r="AB89" s="224"/>
      <c r="AC89" s="224"/>
    </row>
    <row r="90" spans="2:30" ht="38.5" customHeight="1" x14ac:dyDescent="0.35">
      <c r="B90" s="486"/>
      <c r="C90" s="710">
        <v>2022</v>
      </c>
      <c r="D90" s="711">
        <v>2023</v>
      </c>
      <c r="E90" s="711">
        <v>2024</v>
      </c>
      <c r="F90" s="712">
        <v>2025</v>
      </c>
      <c r="G90" s="224">
        <v>2026</v>
      </c>
      <c r="H90" s="224"/>
      <c r="I90" s="224"/>
      <c r="J90" s="224"/>
      <c r="K90" s="224"/>
      <c r="L90" s="224"/>
      <c r="M90" s="224"/>
      <c r="N90" s="224"/>
      <c r="O90" s="224"/>
      <c r="P90" s="224"/>
      <c r="Q90" s="224"/>
      <c r="R90" s="224"/>
      <c r="S90" s="224"/>
      <c r="T90" s="224"/>
      <c r="U90" s="224"/>
      <c r="V90" s="224"/>
      <c r="W90" s="224"/>
      <c r="X90" s="224"/>
      <c r="Y90" s="224"/>
      <c r="Z90" s="224"/>
      <c r="AA90" s="224"/>
      <c r="AB90" s="224"/>
      <c r="AC90" s="224"/>
    </row>
    <row r="91" spans="2:30" ht="38.5" customHeight="1" x14ac:dyDescent="0.35">
      <c r="B91" s="660" t="s">
        <v>1944</v>
      </c>
      <c r="C91" s="263">
        <v>1212.4870000000001</v>
      </c>
      <c r="D91" s="263">
        <v>1347.961</v>
      </c>
      <c r="E91" s="263">
        <v>1451.934</v>
      </c>
      <c r="F91" s="263">
        <v>1549.1100000000001</v>
      </c>
      <c r="G91" s="263">
        <v>1647.1120000000001</v>
      </c>
      <c r="H91" s="263">
        <v>1740.634</v>
      </c>
      <c r="I91" s="263">
        <v>1838.4829999999999</v>
      </c>
      <c r="J91" s="263">
        <v>1938.394</v>
      </c>
      <c r="K91" s="263">
        <v>2040.598</v>
      </c>
      <c r="L91" s="263">
        <v>2146.6759999999999</v>
      </c>
      <c r="M91" s="263">
        <v>2255.0050000000001</v>
      </c>
      <c r="N91" s="263">
        <v>2364.4049999999997</v>
      </c>
      <c r="O91" s="263">
        <v>2478.1</v>
      </c>
      <c r="P91" s="224"/>
      <c r="Q91" s="224"/>
      <c r="R91" s="224"/>
      <c r="S91" s="224"/>
      <c r="T91" s="224"/>
      <c r="U91" s="224"/>
      <c r="V91" s="224"/>
      <c r="W91" s="224"/>
      <c r="X91" s="224"/>
      <c r="Y91" s="224"/>
      <c r="Z91" s="224"/>
      <c r="AA91" s="224"/>
      <c r="AB91" s="224"/>
      <c r="AC91" s="224"/>
    </row>
    <row r="92" spans="2:30" ht="69" customHeight="1" x14ac:dyDescent="0.35">
      <c r="B92" s="279"/>
      <c r="C92" s="239"/>
      <c r="D92" s="224"/>
      <c r="E92" s="224"/>
      <c r="F92" s="224"/>
      <c r="G92" s="224"/>
      <c r="H92" s="224"/>
      <c r="I92" s="224"/>
      <c r="J92" s="224"/>
      <c r="K92" s="224"/>
      <c r="L92" s="224"/>
      <c r="M92" s="224"/>
      <c r="N92" s="224"/>
      <c r="O92" s="224"/>
      <c r="P92" s="224"/>
      <c r="Q92" s="224"/>
      <c r="R92" s="224"/>
      <c r="S92" s="224"/>
      <c r="T92" s="224"/>
      <c r="U92" s="224"/>
      <c r="V92" s="224"/>
      <c r="W92" s="224"/>
      <c r="X92" s="224"/>
      <c r="Y92" s="224"/>
      <c r="Z92" s="224"/>
      <c r="AA92" s="224"/>
      <c r="AB92" s="224"/>
      <c r="AC92" s="224"/>
    </row>
    <row r="93" spans="2:30" x14ac:dyDescent="0.35">
      <c r="B93" s="76" t="s">
        <v>1430</v>
      </c>
      <c r="D93" s="239"/>
      <c r="E93" s="239"/>
      <c r="F93" s="239"/>
      <c r="G93" s="239"/>
      <c r="H93" s="239"/>
      <c r="I93" s="239"/>
      <c r="J93" s="239"/>
      <c r="K93" s="239"/>
      <c r="L93" s="239"/>
      <c r="M93" s="224"/>
      <c r="N93" s="224"/>
      <c r="O93" s="224"/>
      <c r="P93" s="239"/>
    </row>
    <row r="94" spans="2:30" x14ac:dyDescent="0.35">
      <c r="B94" s="560" t="s">
        <v>807</v>
      </c>
      <c r="C94" s="659"/>
      <c r="D94" s="724">
        <v>2021</v>
      </c>
      <c r="E94" s="724">
        <v>2022</v>
      </c>
      <c r="F94" s="724">
        <v>2023</v>
      </c>
      <c r="G94" s="725">
        <v>2024</v>
      </c>
      <c r="R94" s="515"/>
    </row>
    <row r="95" spans="2:30" x14ac:dyDescent="0.35">
      <c r="B95" s="626" t="s">
        <v>808</v>
      </c>
      <c r="C95" s="731"/>
      <c r="D95" s="719">
        <v>3605.8330000000001</v>
      </c>
      <c r="E95" s="719">
        <v>2900</v>
      </c>
      <c r="F95" s="719">
        <f>E95*1.02</f>
        <v>2958</v>
      </c>
      <c r="G95" s="720">
        <f>F95*1.06</f>
        <v>3135.48</v>
      </c>
    </row>
    <row r="96" spans="2:30" x14ac:dyDescent="0.35">
      <c r="B96" s="626" t="s">
        <v>811</v>
      </c>
      <c r="C96" s="721"/>
      <c r="D96" s="714">
        <f>AVERAGE(Medicare!L10:O10)</f>
        <v>862.99999999999989</v>
      </c>
      <c r="E96" s="714">
        <f>AVERAGE(Medicare!P10:S10)</f>
        <v>921</v>
      </c>
      <c r="F96" s="714">
        <f>AVERAGE(Medicare!T10:W10)</f>
        <v>990.32499999999993</v>
      </c>
      <c r="G96" s="729">
        <f>AVERAGE(Medicare!X10:AA10)</f>
        <v>1060.45</v>
      </c>
    </row>
    <row r="97" spans="2:7" ht="13.4" customHeight="1" x14ac:dyDescent="0.35">
      <c r="B97" s="626" t="s">
        <v>809</v>
      </c>
      <c r="C97" s="721"/>
      <c r="D97" s="714">
        <f>D95-D96</f>
        <v>2742.8330000000001</v>
      </c>
      <c r="E97" s="714">
        <f t="shared" ref="E97:G97" si="85">E95-E96</f>
        <v>1979</v>
      </c>
      <c r="F97" s="714">
        <f t="shared" si="85"/>
        <v>1967.6750000000002</v>
      </c>
      <c r="G97" s="729">
        <f t="shared" si="85"/>
        <v>2075.0299999999997</v>
      </c>
    </row>
    <row r="98" spans="2:7" x14ac:dyDescent="0.35">
      <c r="B98" s="626" t="s">
        <v>812</v>
      </c>
      <c r="C98" s="721"/>
      <c r="D98" s="714">
        <f>AVERAGE(L12:O12)</f>
        <v>3637.2999999999997</v>
      </c>
      <c r="E98" s="714">
        <f>AVERAGE(P12:S12)</f>
        <v>2967.5250000000001</v>
      </c>
      <c r="F98" s="714">
        <f>AVERAGE(T12:W12)</f>
        <v>3047.4749999999999</v>
      </c>
      <c r="G98" s="729">
        <f>AVERAGE(X12:AA12)</f>
        <v>3205.9249999999997</v>
      </c>
    </row>
    <row r="99" spans="2:7" x14ac:dyDescent="0.35">
      <c r="B99" s="626" t="s">
        <v>811</v>
      </c>
      <c r="C99" s="721"/>
      <c r="D99" s="714">
        <f>AVERAGE(Medicare!L10:O10)</f>
        <v>862.99999999999989</v>
      </c>
      <c r="E99" s="714">
        <f>AVERAGE(Medicare!P10:S10)</f>
        <v>921</v>
      </c>
      <c r="F99" s="714">
        <f>AVERAGE(Medicare!T10:W10)</f>
        <v>990.32499999999993</v>
      </c>
      <c r="G99" s="729">
        <f>AVERAGE(Medicare!X10:AA10)</f>
        <v>1060.45</v>
      </c>
    </row>
    <row r="100" spans="2:7" x14ac:dyDescent="0.35">
      <c r="B100" s="626" t="s">
        <v>531</v>
      </c>
      <c r="C100" s="721"/>
      <c r="D100" s="714">
        <f>AVERAGE(L31:O31)</f>
        <v>1585.7822500000004</v>
      </c>
      <c r="E100" s="714">
        <f>AVERAGE(P31:S31)</f>
        <v>1670.9233400000005</v>
      </c>
      <c r="F100" s="714">
        <f>AVERAGE(T31:W31)</f>
        <v>1795.6717597500008</v>
      </c>
      <c r="G100" s="729">
        <f>AVERAGE(X31:AA31)</f>
        <v>1883.366101000001</v>
      </c>
    </row>
    <row r="101" spans="2:7" ht="27.65" customHeight="1" x14ac:dyDescent="0.35">
      <c r="B101" s="722" t="s">
        <v>810</v>
      </c>
      <c r="C101" s="356"/>
      <c r="D101" s="616"/>
      <c r="E101" s="726">
        <v>1.157</v>
      </c>
      <c r="F101" s="726">
        <v>1.0109999999999999</v>
      </c>
      <c r="G101" s="730">
        <v>1.0529999999999999</v>
      </c>
    </row>
    <row r="102" spans="2:7" x14ac:dyDescent="0.35">
      <c r="B102" s="239" t="s">
        <v>813</v>
      </c>
      <c r="D102" s="727">
        <f>D98-D95</f>
        <v>31.466999999999643</v>
      </c>
      <c r="E102" s="727">
        <f>E98-E95</f>
        <v>67.525000000000091</v>
      </c>
      <c r="F102" s="727">
        <f>F98-F95</f>
        <v>89.474999999999909</v>
      </c>
      <c r="G102" s="727">
        <f t="shared" ref="G102" si="86">G98-G95</f>
        <v>70.444999999999709</v>
      </c>
    </row>
    <row r="104" spans="2:7" x14ac:dyDescent="0.35">
      <c r="B104" t="s">
        <v>808</v>
      </c>
      <c r="D104">
        <v>3605.8330000000001</v>
      </c>
      <c r="E104">
        <v>2832.5949999999998</v>
      </c>
      <c r="F104">
        <v>2833.72</v>
      </c>
      <c r="G104">
        <v>2976.7339999999999</v>
      </c>
    </row>
  </sheetData>
  <mergeCells count="34">
    <mergeCell ref="Y59:AB59"/>
    <mergeCell ref="Q59:T59"/>
    <mergeCell ref="AC59:AF59"/>
    <mergeCell ref="AG48:AJ48"/>
    <mergeCell ref="AG59:AJ59"/>
    <mergeCell ref="W58:AG58"/>
    <mergeCell ref="Q48:T48"/>
    <mergeCell ref="D58:V58"/>
    <mergeCell ref="B1:AC1"/>
    <mergeCell ref="B2:AC6"/>
    <mergeCell ref="E9:H9"/>
    <mergeCell ref="I9:L9"/>
    <mergeCell ref="Y9:AB9"/>
    <mergeCell ref="M9:P9"/>
    <mergeCell ref="Q9:T9"/>
    <mergeCell ref="P8:V8"/>
    <mergeCell ref="AC9:AF9"/>
    <mergeCell ref="W8:AG8"/>
    <mergeCell ref="AG9:AJ9"/>
    <mergeCell ref="B11:C11"/>
    <mergeCell ref="B46:AC46"/>
    <mergeCell ref="B47:C49"/>
    <mergeCell ref="E48:H48"/>
    <mergeCell ref="I48:L48"/>
    <mergeCell ref="B35:C35"/>
    <mergeCell ref="Y48:AB48"/>
    <mergeCell ref="AC48:AF48"/>
    <mergeCell ref="W47:AG47"/>
    <mergeCell ref="D47:V47"/>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M12" activePane="bottomRight" state="frozen"/>
      <selection pane="topRight" activeCell="C1" sqref="C1"/>
      <selection pane="bottomLeft" activeCell="A12" sqref="A12"/>
      <selection pane="bottomRight" activeCell="V12" sqref="V1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71" t="s">
        <v>464</v>
      </c>
      <c r="C1" s="1371"/>
      <c r="D1" s="1371"/>
      <c r="E1" s="1371"/>
      <c r="F1" s="1371"/>
      <c r="G1" s="1371"/>
      <c r="H1" s="1371"/>
      <c r="I1" s="1371"/>
      <c r="J1" s="1371"/>
      <c r="K1" s="1371"/>
      <c r="L1" s="1371"/>
      <c r="M1" s="1371"/>
      <c r="N1" s="1371"/>
      <c r="O1" s="1371"/>
      <c r="P1" s="1371"/>
      <c r="Q1" s="1371"/>
      <c r="R1" s="1371"/>
      <c r="S1" s="1371"/>
      <c r="T1" s="1371"/>
      <c r="U1" s="1371"/>
      <c r="V1" s="1371"/>
      <c r="W1" s="1371"/>
      <c r="X1" s="1371"/>
      <c r="Y1" s="1371"/>
      <c r="Z1" s="1371"/>
      <c r="AA1" s="1371"/>
      <c r="AB1" s="1371"/>
      <c r="AC1" s="1371"/>
    </row>
    <row r="2" spans="1:29" ht="34.5" hidden="1" customHeight="1" outlineLevel="1" x14ac:dyDescent="0.35">
      <c r="B2" s="1272" t="s">
        <v>860</v>
      </c>
      <c r="C2" s="1313"/>
      <c r="D2" s="1313"/>
      <c r="E2" s="1313"/>
      <c r="F2" s="1313"/>
      <c r="G2" s="1313"/>
      <c r="H2" s="1313"/>
      <c r="I2" s="1313"/>
      <c r="J2" s="1313"/>
      <c r="K2" s="1313"/>
      <c r="L2" s="1313"/>
      <c r="M2" s="1313"/>
      <c r="N2" s="1313"/>
      <c r="O2" s="1313"/>
      <c r="P2" s="1313"/>
      <c r="Q2" s="1313"/>
      <c r="R2" s="1313"/>
      <c r="S2" s="1313"/>
      <c r="T2" s="1313"/>
      <c r="U2" s="1313"/>
      <c r="V2" s="1313"/>
      <c r="W2" s="1313"/>
      <c r="X2" s="1313"/>
      <c r="Y2" s="1313"/>
      <c r="Z2" s="1313"/>
      <c r="AA2" s="1313"/>
      <c r="AB2" s="1313"/>
      <c r="AC2" s="1313"/>
    </row>
    <row r="3" spans="1:29" ht="3" hidden="1" customHeight="1" outlineLevel="1" x14ac:dyDescent="0.35">
      <c r="B3" s="1313"/>
      <c r="C3" s="1313"/>
      <c r="D3" s="1313"/>
      <c r="E3" s="1313"/>
      <c r="F3" s="1313"/>
      <c r="G3" s="1313"/>
      <c r="H3" s="1313"/>
      <c r="I3" s="1313"/>
      <c r="J3" s="1313"/>
      <c r="K3" s="1313"/>
      <c r="L3" s="1313"/>
      <c r="M3" s="1313"/>
      <c r="N3" s="1313"/>
      <c r="O3" s="1313"/>
      <c r="P3" s="1313"/>
      <c r="Q3" s="1313"/>
      <c r="R3" s="1313"/>
      <c r="S3" s="1313"/>
      <c r="T3" s="1313"/>
      <c r="U3" s="1313"/>
      <c r="V3" s="1313"/>
      <c r="W3" s="1313"/>
      <c r="X3" s="1313"/>
      <c r="Y3" s="1313"/>
      <c r="Z3" s="1313"/>
      <c r="AA3" s="1313"/>
      <c r="AB3" s="1313"/>
      <c r="AC3" s="1313"/>
    </row>
    <row r="4" spans="1:29" ht="10.4" hidden="1" customHeight="1" outlineLevel="1" x14ac:dyDescent="0.35">
      <c r="B4" s="1313"/>
      <c r="C4" s="1313"/>
      <c r="D4" s="1313"/>
      <c r="E4" s="1313"/>
      <c r="F4" s="1313"/>
      <c r="G4" s="1313"/>
      <c r="H4" s="1313"/>
      <c r="I4" s="1313"/>
      <c r="J4" s="1313"/>
      <c r="K4" s="1313"/>
      <c r="L4" s="1313"/>
      <c r="M4" s="1313"/>
      <c r="N4" s="1313"/>
      <c r="O4" s="1313"/>
      <c r="P4" s="1313"/>
      <c r="Q4" s="1313"/>
      <c r="R4" s="1313"/>
      <c r="S4" s="1313"/>
      <c r="T4" s="1313"/>
      <c r="U4" s="1313"/>
      <c r="V4" s="1313"/>
      <c r="W4" s="1313"/>
      <c r="X4" s="1313"/>
      <c r="Y4" s="1313"/>
      <c r="Z4" s="1313"/>
      <c r="AA4" s="1313"/>
      <c r="AB4" s="1313"/>
      <c r="AC4" s="1313"/>
    </row>
    <row r="5" spans="1:29" ht="14.25" hidden="1" customHeight="1" outlineLevel="1" x14ac:dyDescent="0.35">
      <c r="B5" s="1313"/>
      <c r="C5" s="1313"/>
      <c r="D5" s="1313"/>
      <c r="E5" s="1313"/>
      <c r="F5" s="1313"/>
      <c r="G5" s="1313"/>
      <c r="H5" s="1313"/>
      <c r="I5" s="1313"/>
      <c r="J5" s="1313"/>
      <c r="K5" s="1313"/>
      <c r="L5" s="1313"/>
      <c r="M5" s="1313"/>
      <c r="N5" s="1313"/>
      <c r="O5" s="1313"/>
      <c r="P5" s="1313"/>
      <c r="Q5" s="1313"/>
      <c r="R5" s="1313"/>
      <c r="S5" s="1313"/>
      <c r="T5" s="1313"/>
      <c r="U5" s="1313"/>
      <c r="V5" s="1313"/>
      <c r="W5" s="1313"/>
      <c r="X5" s="1313"/>
      <c r="Y5" s="1313"/>
      <c r="Z5" s="1313"/>
      <c r="AA5" s="1313"/>
      <c r="AB5" s="1313"/>
      <c r="AC5" s="1313"/>
    </row>
    <row r="6" spans="1:29" ht="14.25" hidden="1" customHeight="1" outlineLevel="1" x14ac:dyDescent="0.35">
      <c r="B6" s="1313"/>
      <c r="C6" s="1313"/>
      <c r="D6" s="1313"/>
      <c r="E6" s="1313"/>
      <c r="F6" s="1313"/>
      <c r="G6" s="1313"/>
      <c r="H6" s="1313"/>
      <c r="I6" s="1313"/>
      <c r="J6" s="1313"/>
      <c r="K6" s="1313"/>
      <c r="L6" s="1313"/>
      <c r="M6" s="1313"/>
      <c r="N6" s="1313"/>
      <c r="O6" s="1313"/>
      <c r="P6" s="1313"/>
      <c r="Q6" s="1313"/>
      <c r="R6" s="1313"/>
      <c r="S6" s="1313"/>
      <c r="T6" s="1313"/>
      <c r="U6" s="1313"/>
      <c r="V6" s="1313"/>
      <c r="W6" s="1313"/>
      <c r="X6" s="1313"/>
      <c r="Y6" s="1313"/>
      <c r="Z6" s="1313"/>
      <c r="AA6" s="1313"/>
      <c r="AB6" s="1313"/>
      <c r="AC6" s="1313"/>
    </row>
    <row r="7" spans="1:29" collapsed="1" x14ac:dyDescent="0.35">
      <c r="B7" s="723" t="s">
        <v>332</v>
      </c>
      <c r="C7" s="262"/>
      <c r="D7" s="262"/>
      <c r="E7" s="262"/>
      <c r="F7" s="262"/>
      <c r="G7" s="262"/>
      <c r="H7" s="263"/>
      <c r="I7" s="263"/>
      <c r="J7" s="263"/>
      <c r="K7" s="263"/>
      <c r="L7" s="263"/>
      <c r="M7" s="263"/>
      <c r="N7" s="263"/>
      <c r="O7" s="263"/>
      <c r="P7" s="263"/>
      <c r="Q7" s="263"/>
      <c r="R7" s="263"/>
      <c r="S7" s="263"/>
      <c r="T7" s="263"/>
      <c r="U7" s="263"/>
    </row>
    <row r="8" spans="1:29" ht="14.9" customHeight="1" x14ac:dyDescent="0.35">
      <c r="B8" s="683" t="s">
        <v>303</v>
      </c>
      <c r="C8" s="684"/>
      <c r="D8" s="687" t="s">
        <v>279</v>
      </c>
      <c r="E8" s="688"/>
      <c r="F8" s="688"/>
      <c r="G8" s="688"/>
      <c r="H8" s="688"/>
      <c r="I8" s="688"/>
      <c r="J8" s="688"/>
      <c r="K8" s="688"/>
      <c r="L8" s="688"/>
      <c r="M8" s="688"/>
      <c r="N8" s="688"/>
      <c r="O8" s="688"/>
      <c r="P8" s="1290"/>
      <c r="Q8" s="1290"/>
      <c r="R8" s="1290"/>
      <c r="S8" s="1290"/>
      <c r="T8" s="1290"/>
      <c r="U8" s="1290"/>
      <c r="V8" s="1281"/>
      <c r="W8" s="1319" t="s">
        <v>280</v>
      </c>
      <c r="X8" s="1288"/>
      <c r="Y8" s="1288"/>
      <c r="Z8" s="1288"/>
      <c r="AA8" s="1288"/>
      <c r="AB8" s="1288"/>
      <c r="AC8" s="1372"/>
    </row>
    <row r="9" spans="1:29" ht="14.9" customHeight="1" x14ac:dyDescent="0.35">
      <c r="B9" s="685"/>
      <c r="C9" s="686"/>
      <c r="D9" s="215">
        <v>2018</v>
      </c>
      <c r="E9" s="1282">
        <v>2019</v>
      </c>
      <c r="F9" s="1283"/>
      <c r="G9" s="1283"/>
      <c r="H9" s="1284"/>
      <c r="I9" s="1282">
        <v>2020</v>
      </c>
      <c r="J9" s="1283"/>
      <c r="K9" s="1283"/>
      <c r="L9" s="1283"/>
      <c r="M9" s="1282">
        <v>2021</v>
      </c>
      <c r="N9" s="1283"/>
      <c r="O9" s="1283"/>
      <c r="P9" s="1283"/>
      <c r="Q9" s="1282">
        <v>2022</v>
      </c>
      <c r="R9" s="1305"/>
      <c r="S9" s="1305"/>
      <c r="T9" s="1284"/>
      <c r="U9" s="284"/>
      <c r="V9" s="284">
        <v>2023</v>
      </c>
      <c r="W9" s="552"/>
      <c r="X9" s="257"/>
      <c r="Y9" s="1268">
        <v>2024</v>
      </c>
      <c r="Z9" s="1292"/>
      <c r="AA9" s="1292"/>
      <c r="AB9" s="1270"/>
      <c r="AC9" s="291">
        <v>2025</v>
      </c>
    </row>
    <row r="10" spans="1:29" x14ac:dyDescent="0.35">
      <c r="B10" s="685"/>
      <c r="C10" s="686"/>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4" t="s">
        <v>281</v>
      </c>
      <c r="U10" s="213" t="s">
        <v>282</v>
      </c>
      <c r="V10" s="282" t="s">
        <v>283</v>
      </c>
      <c r="W10" s="267" t="s">
        <v>238</v>
      </c>
      <c r="X10" s="268" t="s">
        <v>281</v>
      </c>
      <c r="Y10" s="266" t="s">
        <v>282</v>
      </c>
      <c r="Z10" s="264" t="s">
        <v>283</v>
      </c>
      <c r="AA10" s="267" t="s">
        <v>238</v>
      </c>
      <c r="AB10" s="267" t="s">
        <v>281</v>
      </c>
      <c r="AC10" s="292" t="s">
        <v>282</v>
      </c>
    </row>
    <row r="11" spans="1:29" ht="15" customHeight="1" x14ac:dyDescent="0.35">
      <c r="B11" s="1367" t="s">
        <v>465</v>
      </c>
      <c r="C11" s="1368"/>
      <c r="D11" s="655"/>
      <c r="E11" s="716"/>
      <c r="F11" s="716"/>
      <c r="G11" s="716"/>
      <c r="H11" s="308"/>
      <c r="I11" s="308"/>
      <c r="J11" s="308"/>
      <c r="K11" s="308"/>
      <c r="L11" s="308"/>
      <c r="M11" s="570"/>
      <c r="N11" s="570"/>
      <c r="O11" s="570"/>
      <c r="P11" s="308"/>
      <c r="Q11" s="308"/>
      <c r="R11" s="308"/>
      <c r="S11" s="308"/>
      <c r="T11" s="283"/>
      <c r="U11" s="308"/>
      <c r="V11" s="308"/>
      <c r="W11" s="208"/>
      <c r="X11" s="208"/>
      <c r="Y11" s="208"/>
      <c r="Z11" s="208"/>
      <c r="AA11" s="208"/>
      <c r="AB11" s="208"/>
      <c r="AC11" s="209"/>
    </row>
    <row r="12" spans="1:29" ht="17.149999999999999" customHeight="1" x14ac:dyDescent="0.35">
      <c r="A12" t="s">
        <v>1852</v>
      </c>
      <c r="B12" s="741" t="s">
        <v>466</v>
      </c>
      <c r="C12" s="239" t="s">
        <v>467</v>
      </c>
      <c r="D12" s="590">
        <f>'Haver Pivoted'!GO31</f>
        <v>2223</v>
      </c>
      <c r="E12" s="546">
        <f>'Haver Pivoted'!GP31</f>
        <v>2303.8000000000002</v>
      </c>
      <c r="F12" s="546">
        <f>'Haver Pivoted'!GQ31</f>
        <v>2321.6999999999998</v>
      </c>
      <c r="G12" s="546">
        <f>'Haver Pivoted'!GR31</f>
        <v>2337.1</v>
      </c>
      <c r="H12" s="546">
        <f>'Haver Pivoted'!GS31</f>
        <v>2349.5</v>
      </c>
      <c r="I12" s="546">
        <f>'Haver Pivoted'!GT31</f>
        <v>2414.4</v>
      </c>
      <c r="J12" s="546">
        <f>'Haver Pivoted'!GU31</f>
        <v>4654.1000000000004</v>
      </c>
      <c r="K12" s="546">
        <f>'Haver Pivoted'!GV31</f>
        <v>3504.7</v>
      </c>
      <c r="L12" s="546">
        <f>'Haver Pivoted'!GW31</f>
        <v>2888.4</v>
      </c>
      <c r="M12" s="546">
        <f>'Haver Pivoted'!GX31</f>
        <v>5138.1000000000004</v>
      </c>
      <c r="N12" s="546">
        <f>'Haver Pivoted'!GY31</f>
        <v>3397.8</v>
      </c>
      <c r="O12" s="546">
        <f>'Haver Pivoted'!GZ31</f>
        <v>3124.9</v>
      </c>
      <c r="P12" s="546">
        <f>'Haver Pivoted'!HA31</f>
        <v>2952.6</v>
      </c>
      <c r="Q12" s="546">
        <f>'Haver Pivoted'!HB31</f>
        <v>2970.9</v>
      </c>
      <c r="R12" s="546">
        <f>'Haver Pivoted'!HC31</f>
        <v>2976.2</v>
      </c>
      <c r="S12" s="554">
        <f>'Haver Pivoted'!HD31</f>
        <v>2970.4</v>
      </c>
      <c r="T12" s="554">
        <f>'Haver Pivoted'!HE31</f>
        <v>3024.4</v>
      </c>
      <c r="U12" s="554">
        <f>'Haver Pivoted'!HF31</f>
        <v>3038.4</v>
      </c>
      <c r="V12" s="554">
        <f>'Haver Pivoted'!HG31</f>
        <v>3049.1</v>
      </c>
      <c r="W12" s="547">
        <f t="shared" ref="W12:AC12" si="0">SUM(W14:W39)-W38</f>
        <v>3234.0849999999996</v>
      </c>
      <c r="X12" s="547">
        <f t="shared" si="0"/>
        <v>3252.9990000000003</v>
      </c>
      <c r="Y12" s="547">
        <f t="shared" si="0"/>
        <v>3315.8425447000004</v>
      </c>
      <c r="Z12" s="547">
        <f t="shared" si="0"/>
        <v>3340.4425447000008</v>
      </c>
      <c r="AA12" s="547">
        <f t="shared" si="0"/>
        <v>3371.0425447000007</v>
      </c>
      <c r="AB12" s="547">
        <f t="shared" si="0"/>
        <v>3402.3124796148531</v>
      </c>
      <c r="AC12" s="715">
        <f t="shared" si="0"/>
        <v>3452.802786250737</v>
      </c>
    </row>
    <row r="13" spans="1:29" ht="15.65" customHeight="1" x14ac:dyDescent="0.35">
      <c r="A13" t="s">
        <v>1852</v>
      </c>
      <c r="B13" s="740" t="s">
        <v>797</v>
      </c>
      <c r="C13" s="239" t="s">
        <v>824</v>
      </c>
      <c r="D13" s="270">
        <v>30</v>
      </c>
      <c r="E13" s="231">
        <v>30</v>
      </c>
      <c r="F13" s="231">
        <v>30</v>
      </c>
      <c r="G13" s="231">
        <v>30</v>
      </c>
      <c r="H13" s="231">
        <v>30</v>
      </c>
      <c r="I13" s="231">
        <v>30</v>
      </c>
      <c r="J13" s="231">
        <v>30</v>
      </c>
      <c r="K13" s="227">
        <v>30.2</v>
      </c>
      <c r="L13" s="227">
        <v>30.2</v>
      </c>
      <c r="M13" s="227">
        <f>'Haver Pivoted'!GX89</f>
        <v>34.4</v>
      </c>
      <c r="N13" s="227">
        <f>'Haver Pivoted'!GY89</f>
        <v>34.4</v>
      </c>
      <c r="O13" s="227">
        <f>'Haver Pivoted'!GZ89</f>
        <v>218.933333333333</v>
      </c>
      <c r="P13" s="227">
        <f>'Haver Pivoted'!HA89</f>
        <v>223.13333333333301</v>
      </c>
      <c r="Q13" s="227">
        <f>'Haver Pivoted'!HB89</f>
        <v>94.3</v>
      </c>
      <c r="R13" s="227">
        <f>'Haver Pivoted'!HC89</f>
        <v>94.3</v>
      </c>
      <c r="S13" s="227">
        <f>'Haver Pivoted'!HD89</f>
        <v>94.3</v>
      </c>
      <c r="T13" s="227">
        <f>'Haver Pivoted'!HE89</f>
        <v>94.3</v>
      </c>
      <c r="U13" s="547">
        <v>34</v>
      </c>
      <c r="V13" s="546">
        <v>34</v>
      </c>
      <c r="W13" s="547">
        <v>34</v>
      </c>
      <c r="X13" s="547">
        <v>34</v>
      </c>
      <c r="Y13" s="547">
        <v>34</v>
      </c>
      <c r="Z13" s="547">
        <v>34</v>
      </c>
      <c r="AA13" s="547">
        <v>34</v>
      </c>
      <c r="AB13" s="547">
        <v>34</v>
      </c>
      <c r="AC13" s="715">
        <v>34</v>
      </c>
    </row>
    <row r="14" spans="1:29" ht="15" customHeight="1" x14ac:dyDescent="0.35">
      <c r="A14" t="s">
        <v>1849</v>
      </c>
      <c r="B14" s="666" t="s">
        <v>1841</v>
      </c>
      <c r="C14" s="239"/>
      <c r="D14" s="590">
        <f>'Unemployment Insurance'!D21+'Unemployment Insurance'!D20</f>
        <v>27.1</v>
      </c>
      <c r="E14" s="546">
        <f>'Unemployment Insurance'!E21+'Unemployment Insurance'!E20</f>
        <v>29.6</v>
      </c>
      <c r="F14" s="546">
        <f>'Unemployment Insurance'!F21+'Unemployment Insurance'!F20</f>
        <v>27.3</v>
      </c>
      <c r="G14" s="546">
        <f>'Unemployment Insurance'!G21+'Unemployment Insurance'!G20</f>
        <v>26.4</v>
      </c>
      <c r="H14" s="546">
        <f>'Unemployment Insurance'!H21+'Unemployment Insurance'!H20</f>
        <v>26.7</v>
      </c>
      <c r="I14" s="546">
        <f>'Unemployment Insurance'!I21+'Unemployment Insurance'!I20</f>
        <v>40.1</v>
      </c>
      <c r="J14" s="546">
        <f>'Unemployment Insurance'!J21+'Unemployment Insurance'!J20</f>
        <v>951.5</v>
      </c>
      <c r="K14" s="546">
        <f>'Unemployment Insurance'!K21+'Unemployment Insurance'!K20</f>
        <v>800</v>
      </c>
      <c r="L14" s="546">
        <f>'Unemployment Insurance'!L21+'Unemployment Insurance'!L20</f>
        <v>322.7</v>
      </c>
      <c r="M14" s="546">
        <f>'Unemployment Insurance'!M21+'Unemployment Insurance'!M20</f>
        <v>583.79999999999995</v>
      </c>
      <c r="N14" s="546">
        <f>'Unemployment Insurance'!N21+'Unemployment Insurance'!N20</f>
        <v>440.8</v>
      </c>
      <c r="O14" s="546">
        <f>'Unemployment Insurance'!O21+'Unemployment Insurance'!O20</f>
        <v>212.8</v>
      </c>
      <c r="P14" s="546">
        <f>'Unemployment Insurance'!P21+'Unemployment Insurance'!P20</f>
        <v>31.8</v>
      </c>
      <c r="Q14" s="546">
        <f>'Unemployment Insurance'!Q21+'Unemployment Insurance'!Q20</f>
        <v>24.5</v>
      </c>
      <c r="R14" s="546">
        <f>'Unemployment Insurance'!R21+'Unemployment Insurance'!R20</f>
        <v>21.7</v>
      </c>
      <c r="S14" s="546">
        <f>'Unemployment Insurance'!S21+'Unemployment Insurance'!S20</f>
        <v>23.1</v>
      </c>
      <c r="T14" s="546">
        <f>'Unemployment Insurance'!T21+'Unemployment Insurance'!T20</f>
        <v>25.9</v>
      </c>
      <c r="U14" s="546">
        <f>'Unemployment Insurance'!U21+'Unemployment Insurance'!U20</f>
        <v>30.1</v>
      </c>
      <c r="V14" s="737">
        <f>V15+V16</f>
        <v>30.960000000000004</v>
      </c>
      <c r="W14" s="547">
        <f>'Unemployment Insurance'!W21+'Unemployment Insurance'!W20</f>
        <v>30.960000000000004</v>
      </c>
      <c r="X14" s="547">
        <f>'Unemployment Insurance'!X21+'Unemployment Insurance'!X20</f>
        <v>35.299999999999997</v>
      </c>
      <c r="Y14" s="547">
        <f>'Unemployment Insurance'!Y21+'Unemployment Insurance'!Y20</f>
        <v>34.9</v>
      </c>
      <c r="Z14" s="547">
        <f>'Unemployment Insurance'!Z21+'Unemployment Insurance'!Z20</f>
        <v>34.9</v>
      </c>
      <c r="AA14" s="547">
        <f>'Unemployment Insurance'!AA21+'Unemployment Insurance'!AA20</f>
        <v>35.700000000000003</v>
      </c>
      <c r="AB14" s="547">
        <f>'Unemployment Insurance'!AB21+'Unemployment Insurance'!AB20</f>
        <v>35.700000000000003</v>
      </c>
      <c r="AC14" s="715">
        <f>'Unemployment Insurance'!AC21+'Unemployment Insurance'!AC20</f>
        <v>35.700000000000003</v>
      </c>
    </row>
    <row r="15" spans="1:29" x14ac:dyDescent="0.35">
      <c r="B15" s="413" t="s">
        <v>203</v>
      </c>
      <c r="C15" s="239"/>
      <c r="D15" s="590"/>
      <c r="E15" s="546"/>
      <c r="F15" s="546"/>
      <c r="G15" s="546"/>
      <c r="H15" s="546"/>
      <c r="I15" s="546"/>
      <c r="J15" s="546"/>
      <c r="K15" s="546"/>
      <c r="L15" s="546"/>
      <c r="M15" s="546"/>
      <c r="N15" s="546"/>
      <c r="O15" s="546"/>
      <c r="P15" s="546"/>
      <c r="Q15" s="546"/>
      <c r="R15" s="546"/>
      <c r="S15" s="546"/>
      <c r="T15" s="546"/>
      <c r="U15" s="546"/>
      <c r="V15" s="546">
        <f>'Unemployment Insurance'!V20</f>
        <v>0</v>
      </c>
      <c r="W15" s="547"/>
      <c r="X15" s="547"/>
      <c r="Y15" s="547"/>
      <c r="Z15" s="547"/>
      <c r="AA15" s="547"/>
      <c r="AB15" s="547"/>
      <c r="AC15" s="715"/>
    </row>
    <row r="16" spans="1:29" x14ac:dyDescent="0.35">
      <c r="B16" s="413" t="s">
        <v>205</v>
      </c>
      <c r="C16" s="239"/>
      <c r="D16" s="590"/>
      <c r="E16" s="546"/>
      <c r="F16" s="546"/>
      <c r="G16" s="546"/>
      <c r="H16" s="546"/>
      <c r="I16" s="546"/>
      <c r="J16" s="546"/>
      <c r="K16" s="546"/>
      <c r="L16" s="546"/>
      <c r="M16" s="546"/>
      <c r="N16" s="546"/>
      <c r="O16" s="546"/>
      <c r="P16" s="546"/>
      <c r="Q16" s="546"/>
      <c r="R16" s="546"/>
      <c r="S16" s="546"/>
      <c r="T16" s="546"/>
      <c r="U16" s="546"/>
      <c r="V16" s="546">
        <f>'Unemployment Insurance'!V21</f>
        <v>30.960000000000004</v>
      </c>
      <c r="W16" s="547"/>
      <c r="X16" s="547"/>
      <c r="Y16" s="547"/>
      <c r="Z16" s="547"/>
      <c r="AA16" s="547"/>
      <c r="AB16" s="547"/>
      <c r="AC16" s="715"/>
    </row>
    <row r="17" spans="1:101" ht="17.899999999999999" customHeight="1" x14ac:dyDescent="0.35">
      <c r="A17" t="s">
        <v>1849</v>
      </c>
      <c r="B17" s="666" t="s">
        <v>55</v>
      </c>
      <c r="C17" s="239"/>
      <c r="D17" s="590">
        <f>Medicare!D10</f>
        <v>755</v>
      </c>
      <c r="E17" s="546">
        <f>Medicare!E10</f>
        <v>773.5</v>
      </c>
      <c r="F17" s="546">
        <f>Medicare!F10</f>
        <v>788.5</v>
      </c>
      <c r="G17" s="546">
        <f>Medicare!G10</f>
        <v>798</v>
      </c>
      <c r="H17" s="546">
        <f>Medicare!H10</f>
        <v>802</v>
      </c>
      <c r="I17" s="546">
        <f>Medicare!I10</f>
        <v>801.9</v>
      </c>
      <c r="J17" s="546">
        <f>Medicare!J10</f>
        <v>814.3</v>
      </c>
      <c r="K17" s="546">
        <f>Medicare!K10</f>
        <v>826.6</v>
      </c>
      <c r="L17" s="546">
        <f>Medicare!L10</f>
        <v>838.8</v>
      </c>
      <c r="M17" s="546">
        <f>Medicare!M10</f>
        <v>854.9</v>
      </c>
      <c r="N17" s="546">
        <f>Medicare!N10</f>
        <v>871.2</v>
      </c>
      <c r="O17" s="546">
        <f>Medicare!O10</f>
        <v>887.1</v>
      </c>
      <c r="P17" s="546">
        <f>Medicare!P10</f>
        <v>902.4</v>
      </c>
      <c r="Q17" s="546">
        <f>Medicare!Q10</f>
        <v>917.6</v>
      </c>
      <c r="R17" s="546">
        <f>Medicare!R10</f>
        <v>926.6</v>
      </c>
      <c r="S17" s="546">
        <f>Medicare!S10</f>
        <v>937.4</v>
      </c>
      <c r="T17" s="546">
        <f>Medicare!T10</f>
        <v>958.5</v>
      </c>
      <c r="U17" s="546">
        <f>Medicare!U10</f>
        <v>981.1</v>
      </c>
      <c r="V17" s="737">
        <f>Medicare!V10</f>
        <v>1001.8</v>
      </c>
      <c r="W17" s="547">
        <f>Medicare!W10</f>
        <v>1019.9</v>
      </c>
      <c r="X17" s="547">
        <f>Medicare!X10</f>
        <v>1035.3</v>
      </c>
      <c r="Y17" s="547">
        <f>Medicare!Y10</f>
        <v>1049.2</v>
      </c>
      <c r="Z17" s="547">
        <f>Medicare!Z10</f>
        <v>1067.0999999999999</v>
      </c>
      <c r="AA17" s="547">
        <f>Medicare!AA10</f>
        <v>1090.2</v>
      </c>
      <c r="AB17" s="547">
        <f>Medicare!AB10</f>
        <v>1116.0159349148526</v>
      </c>
      <c r="AC17" s="715">
        <f>Medicare!AC10</f>
        <v>1130.1590311547368</v>
      </c>
    </row>
    <row r="18" spans="1:101" ht="18" customHeight="1" x14ac:dyDescent="0.35">
      <c r="A18" t="s">
        <v>1849</v>
      </c>
      <c r="B18" s="667" t="s">
        <v>468</v>
      </c>
      <c r="C18" s="239"/>
      <c r="D18" s="590"/>
      <c r="E18" s="546"/>
      <c r="F18" s="546"/>
      <c r="G18" s="546"/>
      <c r="H18" s="546">
        <f>'Rebate Checks (expired)'!H10 +'Rebate Checks (expired)'!H11</f>
        <v>0</v>
      </c>
      <c r="I18" s="546">
        <f>'Rebate Checks (expired)'!I10 +'Rebate Checks (expired)'!I11</f>
        <v>0</v>
      </c>
      <c r="J18" s="546">
        <f>'Rebate Checks (expired)'!J10 +'Rebate Checks (expired)'!J11</f>
        <v>1078.0999999999999</v>
      </c>
      <c r="K18" s="546">
        <f>'Rebate Checks (expired)'!K10 +'Rebate Checks (expired)'!K11</f>
        <v>15.6</v>
      </c>
      <c r="L18" s="546">
        <f>'Rebate Checks (expired)'!L10 +'Rebate Checks (expired)'!L11</f>
        <v>5</v>
      </c>
      <c r="M18" s="546">
        <f>'Rebate Checks (expired)'!M10 +'Rebate Checks (expired)'!M11</f>
        <v>1933.6999999999998</v>
      </c>
      <c r="N18" s="546">
        <f>'Rebate Checks (expired)'!N10 +'Rebate Checks (expired)'!N11</f>
        <v>290.10000000000002</v>
      </c>
      <c r="O18" s="546">
        <f>'Rebate Checks (expired)'!O10 +'Rebate Checks (expired)'!O11</f>
        <v>38.9</v>
      </c>
      <c r="P18" s="546">
        <f>'Rebate Checks (expired)'!P10 +'Rebate Checks (expired)'!P11</f>
        <v>14.2</v>
      </c>
      <c r="Q18" s="546">
        <f>'Rebate Checks (expired)'!Q10 +'Rebate Checks (expired)'!Q11</f>
        <v>0</v>
      </c>
      <c r="R18" s="546">
        <f>'Rebate Checks (expired)'!Q10 +'Rebate Checks (expired)'!R11</f>
        <v>0</v>
      </c>
      <c r="S18" s="546">
        <f>'Rebate Checks (expired)'!S10 +'Rebate Checks (expired)'!S11</f>
        <v>0</v>
      </c>
      <c r="T18" s="546">
        <f>'Rebate Checks (expired)'!T10 +'Rebate Checks (expired)'!T11</f>
        <v>0</v>
      </c>
      <c r="U18" s="546">
        <f>'Rebate Checks (expired)'!U10 +'Rebate Checks (expired)'!U11</f>
        <v>0</v>
      </c>
      <c r="V18" s="737">
        <f>V19+V20</f>
        <v>0</v>
      </c>
      <c r="W18" s="547">
        <f>'Rebate Checks (expired)'!W10 +'Rebate Checks (expired)'!W11</f>
        <v>0</v>
      </c>
      <c r="X18" s="547">
        <f>'Rebate Checks (expired)'!X10 +'Rebate Checks (expired)'!X11</f>
        <v>0</v>
      </c>
      <c r="Y18" s="547">
        <f>'Rebate Checks (expired)'!Y10 +'Rebate Checks (expired)'!Y11</f>
        <v>0</v>
      </c>
      <c r="Z18" s="547">
        <f>'Rebate Checks (expired)'!Z10 +'Rebate Checks (expired)'!Z11</f>
        <v>0</v>
      </c>
      <c r="AA18" s="547">
        <f>'Rebate Checks (expired)'!AA10 +'Rebate Checks (expired)'!AA11</f>
        <v>0</v>
      </c>
      <c r="AB18" s="547">
        <f>'Rebate Checks (expired)'!AB10 +'Rebate Checks (expired)'!AB11</f>
        <v>0</v>
      </c>
      <c r="AC18" s="715">
        <f>'Rebate Checks (expired)'!AC10 +'Rebate Checks (expired)'!AC11</f>
        <v>0</v>
      </c>
    </row>
    <row r="19" spans="1:101" ht="18" customHeight="1" x14ac:dyDescent="0.35">
      <c r="B19" s="668" t="s">
        <v>1842</v>
      </c>
      <c r="C19" s="239"/>
      <c r="D19" s="590"/>
      <c r="E19" s="546"/>
      <c r="F19" s="546"/>
      <c r="G19" s="546"/>
      <c r="H19" s="546"/>
      <c r="I19" s="546"/>
      <c r="J19" s="546"/>
      <c r="K19" s="546"/>
      <c r="L19" s="546"/>
      <c r="M19" s="546"/>
      <c r="N19" s="546"/>
      <c r="O19" s="546"/>
      <c r="P19" s="546"/>
      <c r="Q19" s="546"/>
      <c r="R19" s="546"/>
      <c r="S19" s="546"/>
      <c r="T19" s="546"/>
      <c r="U19" s="546"/>
      <c r="V19" s="546">
        <v>0</v>
      </c>
      <c r="W19" s="547"/>
      <c r="X19" s="547"/>
      <c r="Y19" s="547"/>
      <c r="Z19" s="547"/>
      <c r="AA19" s="547"/>
      <c r="AB19" s="547"/>
      <c r="AC19" s="715"/>
    </row>
    <row r="20" spans="1:101" ht="18" customHeight="1" x14ac:dyDescent="0.35">
      <c r="B20" s="668" t="s">
        <v>1843</v>
      </c>
      <c r="C20" s="239"/>
      <c r="D20" s="590"/>
      <c r="E20" s="546"/>
      <c r="F20" s="546"/>
      <c r="G20" s="546"/>
      <c r="H20" s="546"/>
      <c r="I20" s="546"/>
      <c r="J20" s="546"/>
      <c r="K20" s="546"/>
      <c r="L20" s="546"/>
      <c r="M20" s="546"/>
      <c r="N20" s="546"/>
      <c r="O20" s="546"/>
      <c r="P20" s="546"/>
      <c r="Q20" s="546"/>
      <c r="R20" s="546"/>
      <c r="S20" s="546"/>
      <c r="T20" s="546"/>
      <c r="U20" s="546"/>
      <c r="V20" s="546">
        <v>0</v>
      </c>
      <c r="W20" s="547"/>
      <c r="X20" s="547"/>
      <c r="Y20" s="547"/>
      <c r="Z20" s="547"/>
      <c r="AA20" s="547"/>
      <c r="AB20" s="547"/>
      <c r="AC20" s="715"/>
    </row>
    <row r="21" spans="1:101" ht="18" customHeight="1" x14ac:dyDescent="0.35">
      <c r="A21" t="s">
        <v>1849</v>
      </c>
      <c r="B21" s="669" t="s">
        <v>49</v>
      </c>
      <c r="C21" s="239"/>
      <c r="D21" s="393">
        <f>'Provider Relief (expired)'!D11</f>
        <v>0</v>
      </c>
      <c r="E21" s="399">
        <f>'Provider Relief (expired)'!E11</f>
        <v>0</v>
      </c>
      <c r="F21" s="399">
        <f>'Provider Relief (expired)'!F11</f>
        <v>0</v>
      </c>
      <c r="G21" s="399">
        <f>'Provider Relief (expired)'!G11</f>
        <v>0</v>
      </c>
      <c r="H21" s="399">
        <f>'Provider Relief (expired)'!H11</f>
        <v>0</v>
      </c>
      <c r="I21" s="399">
        <f>'Provider Relief (expired)'!I11</f>
        <v>0</v>
      </c>
      <c r="J21" s="399">
        <f>'Provider Relief (expired)'!J11</f>
        <v>160.9</v>
      </c>
      <c r="K21" s="399">
        <f>'Provider Relief (expired)'!K11</f>
        <v>58.4</v>
      </c>
      <c r="L21" s="399">
        <f>'Provider Relief (expired)'!L11</f>
        <v>34.5</v>
      </c>
      <c r="M21" s="399">
        <f>'Provider Relief (expired)'!M11</f>
        <v>21.4</v>
      </c>
      <c r="N21" s="399">
        <f>'Provider Relief (expired)'!N11</f>
        <v>13.3</v>
      </c>
      <c r="O21" s="399">
        <f>'Provider Relief (expired)'!O11</f>
        <v>18.7</v>
      </c>
      <c r="P21" s="399">
        <f>'Provider Relief (expired)'!P11</f>
        <v>32.200000000000003</v>
      </c>
      <c r="Q21" s="399">
        <f>'Provider Relief (expired)'!Q11</f>
        <v>26.9</v>
      </c>
      <c r="R21" s="399">
        <f>'Provider Relief (expired)'!R11</f>
        <v>20</v>
      </c>
      <c r="S21" s="399">
        <f>'Provider Relief (expired)'!S11</f>
        <v>8.1</v>
      </c>
      <c r="T21" s="399">
        <f>'Provider Relief (expired)'!T11</f>
        <v>4.9000000000000004</v>
      </c>
      <c r="U21" s="399">
        <v>0</v>
      </c>
      <c r="V21" s="737">
        <v>0</v>
      </c>
      <c r="W21" s="547">
        <v>0</v>
      </c>
      <c r="X21" s="547">
        <v>0</v>
      </c>
      <c r="Y21" s="547">
        <v>0</v>
      </c>
      <c r="Z21" s="547">
        <v>0</v>
      </c>
      <c r="AA21" s="547">
        <v>0</v>
      </c>
      <c r="AB21" s="547">
        <v>0</v>
      </c>
      <c r="AC21" s="715">
        <v>0</v>
      </c>
    </row>
    <row r="22" spans="1:101" ht="21.65" customHeight="1" x14ac:dyDescent="0.35">
      <c r="B22" s="422" t="s">
        <v>469</v>
      </c>
      <c r="C22" s="239"/>
      <c r="D22" s="590"/>
      <c r="E22" s="546"/>
      <c r="F22" s="546"/>
      <c r="G22" s="546"/>
      <c r="H22" s="546"/>
      <c r="I22" s="546"/>
      <c r="J22" s="546">
        <f>'PPP (expired)'!J53</f>
        <v>57.2</v>
      </c>
      <c r="K22" s="546">
        <f>'PPP (expired)'!K53</f>
        <v>81.2</v>
      </c>
      <c r="L22" s="546">
        <f>'PPP (expired)'!L53</f>
        <v>24.4</v>
      </c>
      <c r="M22" s="546">
        <f>'PPP (expired)'!M53</f>
        <v>11.7</v>
      </c>
      <c r="N22" s="546">
        <f>'PPP (expired)'!N53</f>
        <v>28.5</v>
      </c>
      <c r="O22" s="546">
        <f>'PPP (expired)'!O53</f>
        <v>18.8</v>
      </c>
      <c r="P22" s="546">
        <f>'PPP (expired)'!P53</f>
        <v>1.6</v>
      </c>
      <c r="Q22" s="546">
        <f>'PPP (expired)'!Q53</f>
        <v>0</v>
      </c>
      <c r="R22" s="546">
        <f>'PPP (expired)'!R53</f>
        <v>0</v>
      </c>
      <c r="S22" s="546">
        <f>'PPP (expired)'!S53</f>
        <v>0</v>
      </c>
      <c r="T22" s="546">
        <f>'PPP (expired)'!T53</f>
        <v>0</v>
      </c>
      <c r="U22" s="546">
        <f>'PPP (expired)'!U53</f>
        <v>0</v>
      </c>
      <c r="V22" s="546">
        <f>'PPP (expired)'!V53</f>
        <v>0</v>
      </c>
      <c r="W22" s="547">
        <f>'PPP (expired)'!W53</f>
        <v>0</v>
      </c>
      <c r="X22" s="547">
        <f>'PPP (expired)'!X53</f>
        <v>0</v>
      </c>
      <c r="Y22" s="547">
        <f>'PPP (expired)'!Y53</f>
        <v>0</v>
      </c>
      <c r="Z22" s="547">
        <f>'PPP (expired)'!Z53</f>
        <v>0</v>
      </c>
      <c r="AA22" s="547">
        <f>'PPP (expired)'!AA53</f>
        <v>0</v>
      </c>
      <c r="AB22" s="547">
        <f>'PPP (expired)'!AB53</f>
        <v>0</v>
      </c>
      <c r="AC22" s="547">
        <f>'PPP (expired)'!AC53</f>
        <v>0</v>
      </c>
    </row>
    <row r="23" spans="1:101" ht="22.4" customHeight="1" x14ac:dyDescent="0.35">
      <c r="B23" s="422" t="s">
        <v>218</v>
      </c>
      <c r="C23" s="674"/>
      <c r="D23" s="393"/>
      <c r="E23" s="399"/>
      <c r="F23" s="399"/>
      <c r="G23" s="399"/>
      <c r="H23" s="399"/>
      <c r="I23" s="399"/>
      <c r="J23" s="399"/>
      <c r="K23" s="399"/>
      <c r="L23" s="399"/>
      <c r="M23" s="546">
        <f>'ARP Quarterly'!C4</f>
        <v>0</v>
      </c>
      <c r="N23" s="546">
        <f>'ARP Quarterly'!D4</f>
        <v>0</v>
      </c>
      <c r="O23" s="546">
        <f>'ARP Quarterly'!E4</f>
        <v>3.1040000000000418</v>
      </c>
      <c r="P23" s="546">
        <f>'ARP Quarterly'!F4</f>
        <v>19.719000000000005</v>
      </c>
      <c r="Q23" s="546">
        <f>'ARP Quarterly'!G4</f>
        <v>19.719000000000005</v>
      </c>
      <c r="R23" s="546">
        <f>'ARP Quarterly'!H4</f>
        <v>19.719000000000005</v>
      </c>
      <c r="S23" s="546">
        <f>'ARP Quarterly'!I4</f>
        <v>19.719000000000005</v>
      </c>
      <c r="T23" s="546">
        <f>'ARP Quarterly'!J4</f>
        <v>1.4159999999999999</v>
      </c>
      <c r="U23" s="546">
        <f>'ARP Quarterly'!K4</f>
        <v>1.4159999999999999</v>
      </c>
      <c r="V23" s="546">
        <f>'ARP Quarterly'!L4</f>
        <v>1.4159999999999999</v>
      </c>
      <c r="W23" s="547">
        <f>'ARP Quarterly'!M4</f>
        <v>1.4159999999999999</v>
      </c>
      <c r="X23" s="547">
        <f>'ARP Quarterly'!N4</f>
        <v>1.4790000000000001</v>
      </c>
      <c r="Y23" s="547">
        <f>'ARP Quarterly'!O4</f>
        <v>1.4790000000000001</v>
      </c>
      <c r="Z23" s="547">
        <f>'ARP Quarterly'!P4</f>
        <v>1.4790000000000001</v>
      </c>
      <c r="AA23" s="547">
        <f>'ARP Quarterly'!Q4</f>
        <v>1.4790000000000001</v>
      </c>
      <c r="AB23" s="547">
        <f>'ARP Quarterly'!R4</f>
        <v>1.63</v>
      </c>
      <c r="AC23" s="547">
        <f>'ARP Quarterly'!S4</f>
        <v>1.63</v>
      </c>
      <c r="AE23" s="674"/>
      <c r="AF23" s="674"/>
      <c r="AG23" s="674"/>
      <c r="AH23" s="674"/>
      <c r="AI23" s="674"/>
      <c r="AJ23" s="674"/>
      <c r="AK23" s="674"/>
      <c r="AL23" s="674"/>
      <c r="AM23" s="674"/>
      <c r="AN23" s="674"/>
      <c r="AO23" s="674"/>
      <c r="AP23" s="674"/>
      <c r="AQ23" s="674"/>
      <c r="AR23" s="674"/>
      <c r="AS23" s="674"/>
      <c r="AT23" s="674"/>
      <c r="AU23" s="674"/>
      <c r="AV23" s="674"/>
      <c r="AW23" s="674"/>
      <c r="AX23" s="674"/>
      <c r="AY23" s="674"/>
      <c r="AZ23" s="674"/>
      <c r="BA23" s="674"/>
      <c r="BB23" s="674"/>
      <c r="BC23" s="674"/>
      <c r="BD23" s="674"/>
      <c r="BE23" s="674"/>
      <c r="BF23" s="674"/>
      <c r="BG23" s="674"/>
      <c r="BH23" s="674"/>
      <c r="BI23" s="674"/>
      <c r="BJ23" s="674"/>
      <c r="BK23" s="674"/>
      <c r="BL23" s="674"/>
      <c r="BM23" s="674"/>
      <c r="BN23" s="674"/>
      <c r="BO23" s="674"/>
      <c r="BP23" s="674"/>
      <c r="BQ23" s="674"/>
      <c r="BR23" s="674"/>
      <c r="BS23" s="674"/>
      <c r="BT23" s="674"/>
      <c r="BU23" s="674"/>
      <c r="BV23" s="674"/>
      <c r="BW23" s="674"/>
      <c r="BX23" s="674"/>
      <c r="BY23" s="674"/>
      <c r="BZ23" s="674"/>
      <c r="CA23" s="674"/>
      <c r="CB23" s="674"/>
      <c r="CC23" s="674"/>
      <c r="CD23" s="674"/>
      <c r="CE23" s="674"/>
      <c r="CF23" s="674"/>
      <c r="CG23" s="674"/>
      <c r="CH23" s="674"/>
      <c r="CI23" s="674"/>
      <c r="CJ23" s="674"/>
      <c r="CK23" s="674"/>
      <c r="CL23" s="674"/>
      <c r="CM23" s="674"/>
      <c r="CN23" s="674"/>
      <c r="CO23" s="674"/>
      <c r="CP23" s="674"/>
      <c r="CQ23" s="674"/>
      <c r="CR23" s="674"/>
      <c r="CS23" s="674"/>
      <c r="CT23" s="674"/>
      <c r="CU23" s="674"/>
      <c r="CV23" s="674"/>
      <c r="CW23" s="674"/>
    </row>
    <row r="24" spans="1:101" ht="36.65" customHeight="1" x14ac:dyDescent="0.35">
      <c r="B24" s="246" t="s">
        <v>1432</v>
      </c>
      <c r="C24" s="239"/>
      <c r="D24" s="590">
        <f>D85</f>
        <v>0</v>
      </c>
      <c r="E24" s="546">
        <f t="shared" ref="E24:AC24" si="1">E85</f>
        <v>0</v>
      </c>
      <c r="F24" s="546">
        <f t="shared" si="1"/>
        <v>0</v>
      </c>
      <c r="G24" s="546">
        <f t="shared" si="1"/>
        <v>0</v>
      </c>
      <c r="H24" s="546">
        <f t="shared" si="1"/>
        <v>0</v>
      </c>
      <c r="I24" s="546">
        <f t="shared" si="1"/>
        <v>6.9120000000000061</v>
      </c>
      <c r="J24" s="546">
        <f t="shared" si="1"/>
        <v>50.955000000000005</v>
      </c>
      <c r="K24" s="546">
        <f t="shared" si="1"/>
        <v>51.173999999999999</v>
      </c>
      <c r="L24" s="546">
        <f t="shared" si="1"/>
        <v>51.893999999999998</v>
      </c>
      <c r="M24" s="546">
        <f t="shared" si="1"/>
        <v>91.075000000000017</v>
      </c>
      <c r="N24" s="546">
        <f t="shared" si="1"/>
        <v>100.63400000000001</v>
      </c>
      <c r="O24" s="546">
        <f t="shared" si="1"/>
        <v>93.89100000000002</v>
      </c>
      <c r="P24" s="546">
        <f t="shared" si="1"/>
        <v>100.22800000000001</v>
      </c>
      <c r="Q24" s="546">
        <f t="shared" si="1"/>
        <v>76.838999999999999</v>
      </c>
      <c r="R24" s="546">
        <f t="shared" si="1"/>
        <v>73.637</v>
      </c>
      <c r="S24" s="546">
        <f t="shared" si="1"/>
        <v>70.649000000000001</v>
      </c>
      <c r="T24" s="546">
        <f t="shared" si="1"/>
        <v>91.718000000000018</v>
      </c>
      <c r="U24" s="546">
        <f t="shared" si="1"/>
        <v>83.695999999999998</v>
      </c>
      <c r="V24" s="546">
        <f t="shared" si="1"/>
        <v>51.979000000000006</v>
      </c>
      <c r="W24" s="547">
        <f t="shared" si="1"/>
        <v>51.979000000000006</v>
      </c>
      <c r="X24" s="547">
        <f t="shared" si="1"/>
        <v>51.979000000000006</v>
      </c>
      <c r="Y24" s="547">
        <f t="shared" si="1"/>
        <v>51.979000000000006</v>
      </c>
      <c r="Z24" s="547">
        <f t="shared" si="1"/>
        <v>51.979000000000006</v>
      </c>
      <c r="AA24" s="547">
        <f t="shared" si="1"/>
        <v>51.979000000000006</v>
      </c>
      <c r="AB24" s="547">
        <f t="shared" si="1"/>
        <v>51.979000000000006</v>
      </c>
      <c r="AC24" s="547">
        <f t="shared" si="1"/>
        <v>51.979000000000006</v>
      </c>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c r="BQ24" s="239"/>
      <c r="BR24" s="239"/>
      <c r="BS24" s="239"/>
      <c r="BT24" s="239"/>
      <c r="BU24" s="239"/>
      <c r="BV24" s="239"/>
      <c r="BW24" s="239"/>
      <c r="BX24" s="239"/>
      <c r="BY24" s="239"/>
      <c r="BZ24" s="239"/>
      <c r="CA24" s="239"/>
      <c r="CB24" s="239"/>
      <c r="CC24" s="239"/>
      <c r="CD24" s="239"/>
      <c r="CE24" s="239"/>
      <c r="CF24" s="239"/>
      <c r="CG24" s="239"/>
      <c r="CH24" s="239"/>
      <c r="CI24" s="239"/>
      <c r="CJ24" s="239"/>
      <c r="CK24" s="239"/>
      <c r="CL24" s="239"/>
      <c r="CM24" s="239"/>
      <c r="CN24" s="239"/>
      <c r="CO24" s="239"/>
      <c r="CP24" s="239"/>
      <c r="CQ24" s="239"/>
      <c r="CR24" s="239"/>
      <c r="CS24" s="239"/>
      <c r="CT24" s="239"/>
      <c r="CU24" s="239"/>
      <c r="CV24" s="239"/>
    </row>
    <row r="25" spans="1:101" ht="17.149999999999999" customHeight="1" x14ac:dyDescent="0.35">
      <c r="A25" t="s">
        <v>1852</v>
      </c>
      <c r="B25" s="741" t="s">
        <v>466</v>
      </c>
      <c r="C25" s="239" t="s">
        <v>467</v>
      </c>
      <c r="D25" s="546">
        <f>'Haver Pivoted'!GO31</f>
        <v>2223</v>
      </c>
      <c r="E25" s="546">
        <f>'Haver Pivoted'!GP31</f>
        <v>2303.8000000000002</v>
      </c>
      <c r="F25" s="546">
        <f>'Haver Pivoted'!GQ31</f>
        <v>2321.6999999999998</v>
      </c>
      <c r="G25" s="546">
        <f>'Haver Pivoted'!GR31</f>
        <v>2337.1</v>
      </c>
      <c r="H25" s="546">
        <f>'Haver Pivoted'!GS31</f>
        <v>2349.5</v>
      </c>
      <c r="I25" s="546">
        <f>'Haver Pivoted'!GT31</f>
        <v>2414.4</v>
      </c>
      <c r="J25" s="546">
        <f>'Haver Pivoted'!GU31</f>
        <v>4654.1000000000004</v>
      </c>
      <c r="K25" s="546">
        <f>'Haver Pivoted'!GV31</f>
        <v>3504.7</v>
      </c>
      <c r="L25" s="546">
        <f>'Haver Pivoted'!GW31</f>
        <v>2888.4</v>
      </c>
      <c r="M25" s="546">
        <f>'Haver Pivoted'!GX31</f>
        <v>5138.1000000000004</v>
      </c>
      <c r="N25" s="546">
        <f>'Haver Pivoted'!GY31</f>
        <v>3397.8</v>
      </c>
      <c r="O25" s="546">
        <f>'Haver Pivoted'!GZ31</f>
        <v>3124.9</v>
      </c>
      <c r="P25" s="546">
        <f>'Haver Pivoted'!HA31</f>
        <v>2952.6</v>
      </c>
      <c r="Q25" s="546">
        <f>'Haver Pivoted'!HB31</f>
        <v>2970.9</v>
      </c>
      <c r="R25" s="546">
        <f>'Haver Pivoted'!HC31</f>
        <v>2976.2</v>
      </c>
      <c r="S25" s="546">
        <f>'Haver Pivoted'!HD31</f>
        <v>2970.4</v>
      </c>
      <c r="T25" s="546">
        <f>'Haver Pivoted'!HE31</f>
        <v>3024.4</v>
      </c>
      <c r="U25" s="546">
        <f>'Haver Pivoted'!HF31</f>
        <v>3038.4</v>
      </c>
      <c r="V25" s="546">
        <f>'Haver Pivoted'!HG31</f>
        <v>3049.1</v>
      </c>
      <c r="W25" s="547"/>
      <c r="X25" s="547"/>
      <c r="Y25" s="547"/>
      <c r="Z25" s="547"/>
      <c r="AA25" s="547"/>
      <c r="AB25" s="547"/>
      <c r="AC25" s="547"/>
    </row>
    <row r="26" spans="1:101" ht="17.149999999999999" customHeight="1" x14ac:dyDescent="0.35">
      <c r="B26" s="262" t="s">
        <v>1851</v>
      </c>
      <c r="C26" s="239"/>
      <c r="D26" s="546">
        <f>D27+D28</f>
        <v>812.1</v>
      </c>
      <c r="E26" s="546">
        <f t="shared" ref="E26:V26" si="2">E27+E28</f>
        <v>833.1</v>
      </c>
      <c r="F26" s="546">
        <f t="shared" si="2"/>
        <v>845.8</v>
      </c>
      <c r="G26" s="546">
        <f t="shared" si="2"/>
        <v>854.4</v>
      </c>
      <c r="H26" s="546">
        <f t="shared" si="2"/>
        <v>858.7</v>
      </c>
      <c r="I26" s="546">
        <f t="shared" si="2"/>
        <v>878.91200000000003</v>
      </c>
      <c r="J26" s="546">
        <f t="shared" si="2"/>
        <v>2982.0549999999998</v>
      </c>
      <c r="K26" s="546">
        <f t="shared" si="2"/>
        <v>1804.7740000000001</v>
      </c>
      <c r="L26" s="546">
        <f t="shared" si="2"/>
        <v>1272.9939999999999</v>
      </c>
      <c r="M26" s="546">
        <f>M27+M28</f>
        <v>3509.5749999999998</v>
      </c>
      <c r="N26" s="546">
        <f t="shared" si="2"/>
        <v>1765.634</v>
      </c>
      <c r="O26" s="546">
        <f t="shared" si="2"/>
        <v>1473.5283333333332</v>
      </c>
      <c r="P26" s="546">
        <f t="shared" si="2"/>
        <v>1293.0803333333331</v>
      </c>
      <c r="Q26" s="546">
        <f t="shared" si="2"/>
        <v>1132.9580000000001</v>
      </c>
      <c r="R26" s="546">
        <f t="shared" si="2"/>
        <v>1135.9559999999999</v>
      </c>
      <c r="S26" s="546">
        <f t="shared" si="2"/>
        <v>1145.1679999999999</v>
      </c>
      <c r="T26" s="546">
        <f t="shared" si="2"/>
        <v>1171.8340000000001</v>
      </c>
      <c r="U26" s="546">
        <f t="shared" si="2"/>
        <v>1130.3120000000001</v>
      </c>
      <c r="V26" s="546">
        <f t="shared" si="2"/>
        <v>1120.155</v>
      </c>
      <c r="W26" s="547">
        <f>W27+W28</f>
        <v>53.395000000000003</v>
      </c>
      <c r="X26" s="547">
        <f t="shared" ref="X26" si="3">X27+X28</f>
        <v>53.458000000000006</v>
      </c>
      <c r="Y26" s="547">
        <f t="shared" ref="Y26" si="4">Y27+Y28</f>
        <v>53.458000000000006</v>
      </c>
      <c r="Z26" s="547">
        <f t="shared" ref="Z26" si="5">Z27+Z28</f>
        <v>53.458000000000006</v>
      </c>
      <c r="AA26" s="547">
        <f t="shared" ref="AA26" si="6">AA27+AA28</f>
        <v>53.458000000000006</v>
      </c>
      <c r="AB26" s="547">
        <f t="shared" ref="AB26" si="7">AB27+AB28</f>
        <v>53.609000000000009</v>
      </c>
      <c r="AC26" s="547">
        <f t="shared" ref="AC26" si="8">AC27+AC28</f>
        <v>53.609000000000009</v>
      </c>
    </row>
    <row r="27" spans="1:101" ht="17.149999999999999" customHeight="1" x14ac:dyDescent="0.35">
      <c r="B27" s="413" t="s">
        <v>1850</v>
      </c>
      <c r="C27" s="239"/>
      <c r="D27" s="590">
        <f t="shared" ref="D27:V27" si="9">D13+D14+D17</f>
        <v>812.1</v>
      </c>
      <c r="E27" s="546">
        <f t="shared" si="9"/>
        <v>833.1</v>
      </c>
      <c r="F27" s="546">
        <f t="shared" si="9"/>
        <v>845.8</v>
      </c>
      <c r="G27" s="546">
        <f t="shared" si="9"/>
        <v>854.4</v>
      </c>
      <c r="H27" s="546">
        <f t="shared" si="9"/>
        <v>858.7</v>
      </c>
      <c r="I27" s="546">
        <f t="shared" si="9"/>
        <v>872</v>
      </c>
      <c r="J27" s="546">
        <f t="shared" si="9"/>
        <v>1795.8</v>
      </c>
      <c r="K27" s="546">
        <f t="shared" si="9"/>
        <v>1656.8000000000002</v>
      </c>
      <c r="L27" s="546">
        <f t="shared" si="9"/>
        <v>1191.6999999999998</v>
      </c>
      <c r="M27" s="546">
        <f t="shared" si="9"/>
        <v>1473.1</v>
      </c>
      <c r="N27" s="546">
        <f t="shared" si="9"/>
        <v>1346.4</v>
      </c>
      <c r="O27" s="546">
        <f t="shared" si="9"/>
        <v>1318.833333333333</v>
      </c>
      <c r="P27" s="546">
        <f t="shared" si="9"/>
        <v>1157.333333333333</v>
      </c>
      <c r="Q27" s="546">
        <f t="shared" si="9"/>
        <v>1036.4000000000001</v>
      </c>
      <c r="R27" s="546">
        <f t="shared" si="9"/>
        <v>1042.5999999999999</v>
      </c>
      <c r="S27" s="546">
        <f t="shared" si="9"/>
        <v>1054.8</v>
      </c>
      <c r="T27" s="546">
        <f t="shared" si="9"/>
        <v>1078.7</v>
      </c>
      <c r="U27" s="546">
        <f t="shared" si="9"/>
        <v>1045.2</v>
      </c>
      <c r="V27" s="546">
        <f t="shared" si="9"/>
        <v>1066.76</v>
      </c>
      <c r="W27" s="547"/>
      <c r="X27" s="547"/>
      <c r="Y27" s="547"/>
      <c r="Z27" s="547"/>
      <c r="AA27" s="547"/>
      <c r="AB27" s="547"/>
      <c r="AC27" s="715"/>
    </row>
    <row r="28" spans="1:101" ht="28.5" customHeight="1" x14ac:dyDescent="0.35">
      <c r="B28" s="413" t="s">
        <v>1847</v>
      </c>
      <c r="C28" s="239"/>
      <c r="D28" s="393">
        <f t="shared" ref="D28:AC28" si="10">D18+D23+D24+D22</f>
        <v>0</v>
      </c>
      <c r="E28" s="399">
        <f t="shared" si="10"/>
        <v>0</v>
      </c>
      <c r="F28" s="399">
        <f t="shared" si="10"/>
        <v>0</v>
      </c>
      <c r="G28" s="399">
        <f t="shared" si="10"/>
        <v>0</v>
      </c>
      <c r="H28" s="399">
        <f t="shared" si="10"/>
        <v>0</v>
      </c>
      <c r="I28" s="399">
        <f t="shared" si="10"/>
        <v>6.9120000000000061</v>
      </c>
      <c r="J28" s="399">
        <f t="shared" si="10"/>
        <v>1186.2549999999999</v>
      </c>
      <c r="K28" s="399">
        <f t="shared" si="10"/>
        <v>147.97399999999999</v>
      </c>
      <c r="L28" s="399">
        <f t="shared" si="10"/>
        <v>81.293999999999997</v>
      </c>
      <c r="M28" s="399">
        <f t="shared" si="10"/>
        <v>2036.4749999999999</v>
      </c>
      <c r="N28" s="399">
        <f t="shared" si="10"/>
        <v>419.23400000000004</v>
      </c>
      <c r="O28" s="399">
        <f t="shared" si="10"/>
        <v>154.69500000000008</v>
      </c>
      <c r="P28" s="399">
        <f t="shared" si="10"/>
        <v>135.74700000000001</v>
      </c>
      <c r="Q28" s="399">
        <f t="shared" si="10"/>
        <v>96.558000000000007</v>
      </c>
      <c r="R28" s="399">
        <f t="shared" si="10"/>
        <v>93.356000000000009</v>
      </c>
      <c r="S28" s="399">
        <f t="shared" si="10"/>
        <v>90.368000000000009</v>
      </c>
      <c r="T28" s="399">
        <f t="shared" si="10"/>
        <v>93.134000000000015</v>
      </c>
      <c r="U28" s="399">
        <f t="shared" si="10"/>
        <v>85.111999999999995</v>
      </c>
      <c r="V28" s="399">
        <f t="shared" si="10"/>
        <v>53.395000000000003</v>
      </c>
      <c r="W28" s="346">
        <f t="shared" si="10"/>
        <v>53.395000000000003</v>
      </c>
      <c r="X28" s="346">
        <f t="shared" si="10"/>
        <v>53.458000000000006</v>
      </c>
      <c r="Y28" s="346">
        <f t="shared" si="10"/>
        <v>53.458000000000006</v>
      </c>
      <c r="Z28" s="346">
        <f t="shared" si="10"/>
        <v>53.458000000000006</v>
      </c>
      <c r="AA28" s="346">
        <f t="shared" si="10"/>
        <v>53.458000000000006</v>
      </c>
      <c r="AB28" s="346">
        <f t="shared" si="10"/>
        <v>53.609000000000009</v>
      </c>
      <c r="AC28" s="346">
        <f t="shared" si="10"/>
        <v>53.609000000000009</v>
      </c>
    </row>
    <row r="29" spans="1:101" x14ac:dyDescent="0.35">
      <c r="B29" s="422" t="s">
        <v>1853</v>
      </c>
      <c r="C29" s="239"/>
      <c r="D29" s="399">
        <f>D25-D26</f>
        <v>1410.9</v>
      </c>
      <c r="E29" s="399">
        <f t="shared" ref="E29:V29" si="11">E25-E26</f>
        <v>1470.7000000000003</v>
      </c>
      <c r="F29" s="399">
        <f t="shared" si="11"/>
        <v>1475.8999999999999</v>
      </c>
      <c r="G29" s="399">
        <f t="shared" si="11"/>
        <v>1482.6999999999998</v>
      </c>
      <c r="H29" s="399">
        <f t="shared" si="11"/>
        <v>1490.8</v>
      </c>
      <c r="I29" s="399">
        <f t="shared" si="11"/>
        <v>1535.4880000000001</v>
      </c>
      <c r="J29" s="399">
        <f t="shared" si="11"/>
        <v>1672.0450000000005</v>
      </c>
      <c r="K29" s="399">
        <f t="shared" si="11"/>
        <v>1699.9259999999997</v>
      </c>
      <c r="L29" s="399">
        <f t="shared" si="11"/>
        <v>1615.4060000000002</v>
      </c>
      <c r="M29" s="399">
        <f t="shared" si="11"/>
        <v>1628.5250000000005</v>
      </c>
      <c r="N29" s="399">
        <f t="shared" si="11"/>
        <v>1632.1660000000002</v>
      </c>
      <c r="O29" s="399">
        <f t="shared" si="11"/>
        <v>1651.3716666666669</v>
      </c>
      <c r="P29" s="399">
        <f t="shared" si="11"/>
        <v>1659.5196666666668</v>
      </c>
      <c r="Q29" s="399">
        <f t="shared" si="11"/>
        <v>1837.942</v>
      </c>
      <c r="R29" s="399">
        <f t="shared" si="11"/>
        <v>1840.2439999999999</v>
      </c>
      <c r="S29" s="399">
        <f t="shared" si="11"/>
        <v>1825.2320000000002</v>
      </c>
      <c r="T29" s="399">
        <f t="shared" si="11"/>
        <v>1852.566</v>
      </c>
      <c r="U29" s="399">
        <f t="shared" si="11"/>
        <v>1908.088</v>
      </c>
      <c r="V29" s="399">
        <f t="shared" si="11"/>
        <v>1928.9449999999999</v>
      </c>
      <c r="W29" s="346"/>
      <c r="X29" s="346"/>
      <c r="Y29" s="346"/>
      <c r="Z29" s="346"/>
      <c r="AA29" s="346"/>
      <c r="AB29" s="346"/>
      <c r="AC29" s="346"/>
    </row>
    <row r="30" spans="1:101" ht="18" customHeight="1" x14ac:dyDescent="0.35">
      <c r="B30" s="288" t="s">
        <v>1844</v>
      </c>
      <c r="C30" s="239"/>
      <c r="D30" s="270"/>
      <c r="E30" s="231"/>
      <c r="F30" s="231"/>
      <c r="G30" s="231"/>
      <c r="H30" s="231"/>
      <c r="I30" s="231"/>
      <c r="J30" s="231"/>
      <c r="K30" s="231"/>
      <c r="L30" s="231"/>
      <c r="M30" s="231"/>
      <c r="N30" s="231"/>
      <c r="O30" s="231"/>
      <c r="P30" s="231"/>
      <c r="Q30" s="231"/>
      <c r="R30" s="231"/>
      <c r="S30" s="231"/>
      <c r="T30" s="231"/>
      <c r="U30" s="231"/>
      <c r="V30" s="546"/>
      <c r="W30" s="547"/>
      <c r="X30" s="547"/>
      <c r="Y30" s="547"/>
      <c r="Z30" s="547"/>
      <c r="AA30" s="547"/>
      <c r="AB30" s="547"/>
      <c r="AC30" s="715"/>
    </row>
    <row r="31" spans="1:101" ht="18" customHeight="1" x14ac:dyDescent="0.35">
      <c r="B31" s="288" t="s">
        <v>1845</v>
      </c>
      <c r="C31" s="239"/>
      <c r="D31" s="270"/>
      <c r="E31" s="231"/>
      <c r="F31" s="231"/>
      <c r="G31" s="231"/>
      <c r="H31" s="231"/>
      <c r="I31" s="231"/>
      <c r="J31" s="231"/>
      <c r="K31" s="231"/>
      <c r="L31" s="231"/>
      <c r="M31" s="231"/>
      <c r="N31" s="231"/>
      <c r="O31" s="231"/>
      <c r="P31" s="231"/>
      <c r="Q31" s="231"/>
      <c r="R31" s="231"/>
      <c r="S31" s="231"/>
      <c r="T31" s="231"/>
      <c r="U31" s="231"/>
      <c r="V31" s="546"/>
      <c r="W31" s="547"/>
      <c r="X31" s="547"/>
      <c r="Y31" s="547"/>
      <c r="Z31" s="547"/>
      <c r="AA31" s="547"/>
      <c r="AB31" s="547"/>
      <c r="AC31" s="715"/>
    </row>
    <row r="32" spans="1:101" ht="20.149999999999999" customHeight="1" x14ac:dyDescent="0.35">
      <c r="B32" s="265" t="s">
        <v>471</v>
      </c>
      <c r="C32" s="260"/>
      <c r="D32" s="717"/>
      <c r="E32" s="630"/>
      <c r="F32" s="630"/>
      <c r="G32" s="630"/>
      <c r="H32" s="549"/>
      <c r="I32" s="549"/>
      <c r="J32" s="549"/>
      <c r="K32" s="549"/>
      <c r="L32" s="549"/>
      <c r="M32" s="549">
        <f>'ARP Quarterly'!C5</f>
        <v>0</v>
      </c>
      <c r="N32" s="549">
        <f>'ARP Quarterly'!D5</f>
        <v>33.921840000000024</v>
      </c>
      <c r="O32" s="549">
        <f>'ARP Quarterly'!E5</f>
        <v>44.966160000000031</v>
      </c>
      <c r="P32" s="549">
        <f>'ARP Quarterly'!F5</f>
        <v>52.756999999999998</v>
      </c>
      <c r="Q32" s="549">
        <f>'ARP Quarterly'!G5</f>
        <v>52.756999999999998</v>
      </c>
      <c r="R32" s="549">
        <f>'ARP Quarterly'!H5</f>
        <v>52.756999999999998</v>
      </c>
      <c r="S32" s="549">
        <f>'ARP Quarterly'!I5</f>
        <v>52.756999999999998</v>
      </c>
      <c r="T32" s="549">
        <v>30</v>
      </c>
      <c r="U32" s="549">
        <f>'ARP Quarterly'!K5</f>
        <v>12</v>
      </c>
      <c r="V32" s="738">
        <f>'ARP Quarterly'!L5</f>
        <v>12</v>
      </c>
      <c r="W32" s="553">
        <f>'ARP Quarterly'!M5</f>
        <v>12</v>
      </c>
      <c r="X32" s="553">
        <f>'ARP Quarterly'!N5</f>
        <v>4.2219999999999995</v>
      </c>
      <c r="Y32" s="553">
        <f>'ARP Quarterly'!O5</f>
        <v>4.2219999999999995</v>
      </c>
      <c r="Z32" s="553">
        <f>'ARP Quarterly'!P5</f>
        <v>4.2219999999999995</v>
      </c>
      <c r="AA32" s="553">
        <f>'ARP Quarterly'!Q5</f>
        <v>4.2219999999999995</v>
      </c>
      <c r="AB32" s="553">
        <f>'ARP Quarterly'!R5</f>
        <v>2.3719999999999999</v>
      </c>
      <c r="AC32" s="682">
        <f>'ARP Quarterly'!S5</f>
        <v>2.3719999999999999</v>
      </c>
    </row>
    <row r="33" spans="2:101" ht="22.4" customHeight="1" x14ac:dyDescent="0.35">
      <c r="B33" s="246" t="s">
        <v>218</v>
      </c>
      <c r="C33" s="674"/>
      <c r="D33" s="270"/>
      <c r="E33" s="231"/>
      <c r="F33" s="231"/>
      <c r="G33" s="231"/>
      <c r="H33" s="231"/>
      <c r="I33" s="231"/>
      <c r="J33" s="231"/>
      <c r="K33" s="231"/>
      <c r="L33" s="231"/>
      <c r="M33" s="546">
        <f>'ARP Quarterly'!C4</f>
        <v>0</v>
      </c>
      <c r="N33" s="546">
        <f>'ARP Quarterly'!D4</f>
        <v>0</v>
      </c>
      <c r="O33" s="546">
        <f>'ARP Quarterly'!E4</f>
        <v>3.1040000000000418</v>
      </c>
      <c r="P33" s="546">
        <f>'ARP Quarterly'!F4</f>
        <v>19.719000000000005</v>
      </c>
      <c r="Q33" s="546">
        <f>'ARP Quarterly'!G4</f>
        <v>19.719000000000005</v>
      </c>
      <c r="R33" s="546">
        <f>'ARP Quarterly'!H4</f>
        <v>19.719000000000005</v>
      </c>
      <c r="S33" s="546">
        <f>'ARP Quarterly'!I4</f>
        <v>19.719000000000005</v>
      </c>
      <c r="T33" s="546">
        <f>'ARP Quarterly'!J4</f>
        <v>1.4159999999999999</v>
      </c>
      <c r="U33" s="546">
        <f>'ARP Quarterly'!K4</f>
        <v>1.4159999999999999</v>
      </c>
      <c r="V33" s="546">
        <f>'ARP Quarterly'!L4</f>
        <v>1.4159999999999999</v>
      </c>
      <c r="W33" s="547">
        <f>'ARP Quarterly'!M4</f>
        <v>1.4159999999999999</v>
      </c>
      <c r="X33" s="547">
        <f>'ARP Quarterly'!N4</f>
        <v>1.4790000000000001</v>
      </c>
      <c r="Y33" s="547">
        <f>'ARP Quarterly'!O4</f>
        <v>1.4790000000000001</v>
      </c>
      <c r="Z33" s="547">
        <f>'ARP Quarterly'!P4</f>
        <v>1.4790000000000001</v>
      </c>
      <c r="AA33" s="547">
        <f>'ARP Quarterly'!Q4</f>
        <v>1.4790000000000001</v>
      </c>
      <c r="AB33" s="547">
        <f>'ARP Quarterly'!R4</f>
        <v>1.63</v>
      </c>
      <c r="AC33" s="715">
        <f>'ARP Quarterly'!S4</f>
        <v>1.63</v>
      </c>
      <c r="AE33" s="674"/>
      <c r="AF33" s="674"/>
      <c r="AG33" s="674"/>
      <c r="AH33" s="674"/>
      <c r="AI33" s="674"/>
      <c r="AJ33" s="674"/>
      <c r="AK33" s="674"/>
      <c r="AL33" s="674"/>
      <c r="AM33" s="674"/>
      <c r="AN33" s="674"/>
      <c r="AO33" s="674"/>
      <c r="AP33" s="674"/>
      <c r="AQ33" s="674"/>
      <c r="AR33" s="674"/>
      <c r="AS33" s="674"/>
      <c r="AT33" s="674"/>
      <c r="AU33" s="674"/>
      <c r="AV33" s="674"/>
      <c r="AW33" s="674"/>
      <c r="AX33" s="674"/>
      <c r="AY33" s="674"/>
      <c r="AZ33" s="674"/>
      <c r="BA33" s="674"/>
      <c r="BB33" s="674"/>
      <c r="BC33" s="674"/>
      <c r="BD33" s="674"/>
      <c r="BE33" s="674"/>
      <c r="BF33" s="674"/>
      <c r="BG33" s="674"/>
      <c r="BH33" s="674"/>
      <c r="BI33" s="674"/>
      <c r="BJ33" s="674"/>
      <c r="BK33" s="674"/>
      <c r="BL33" s="674"/>
      <c r="BM33" s="674"/>
      <c r="BN33" s="674"/>
      <c r="BO33" s="674"/>
      <c r="BP33" s="674"/>
      <c r="BQ33" s="674"/>
      <c r="BR33" s="674"/>
      <c r="BS33" s="674"/>
      <c r="BT33" s="674"/>
      <c r="BU33" s="674"/>
      <c r="BV33" s="674"/>
      <c r="BW33" s="674"/>
      <c r="BX33" s="674"/>
      <c r="BY33" s="674"/>
      <c r="BZ33" s="674"/>
      <c r="CA33" s="674"/>
      <c r="CB33" s="674"/>
      <c r="CC33" s="674"/>
      <c r="CD33" s="674"/>
      <c r="CE33" s="674"/>
      <c r="CF33" s="674"/>
      <c r="CG33" s="674"/>
      <c r="CH33" s="674"/>
      <c r="CI33" s="674"/>
      <c r="CJ33" s="674"/>
      <c r="CK33" s="674"/>
      <c r="CL33" s="674"/>
      <c r="CM33" s="674"/>
      <c r="CN33" s="674"/>
      <c r="CO33" s="674"/>
      <c r="CP33" s="674"/>
      <c r="CQ33" s="674"/>
      <c r="CR33" s="674"/>
      <c r="CS33" s="674"/>
      <c r="CT33" s="674"/>
      <c r="CU33" s="674"/>
      <c r="CV33" s="674"/>
      <c r="CW33" s="674"/>
    </row>
    <row r="34" spans="2:101" ht="36.65" customHeight="1" x14ac:dyDescent="0.35">
      <c r="B34" s="246" t="s">
        <v>1432</v>
      </c>
      <c r="C34" s="239"/>
      <c r="D34" s="271">
        <f>D85</f>
        <v>0</v>
      </c>
      <c r="E34" s="219">
        <f t="shared" ref="E34:AC34" si="12">E85</f>
        <v>0</v>
      </c>
      <c r="F34" s="219">
        <f t="shared" si="12"/>
        <v>0</v>
      </c>
      <c r="G34" s="219">
        <f t="shared" si="12"/>
        <v>0</v>
      </c>
      <c r="H34" s="219">
        <f t="shared" si="12"/>
        <v>0</v>
      </c>
      <c r="I34" s="546">
        <f t="shared" si="12"/>
        <v>6.9120000000000061</v>
      </c>
      <c r="J34" s="546">
        <f t="shared" si="12"/>
        <v>50.955000000000005</v>
      </c>
      <c r="K34" s="546">
        <f t="shared" si="12"/>
        <v>51.173999999999999</v>
      </c>
      <c r="L34" s="546">
        <f t="shared" si="12"/>
        <v>51.893999999999998</v>
      </c>
      <c r="M34" s="546">
        <f t="shared" si="12"/>
        <v>91.075000000000017</v>
      </c>
      <c r="N34" s="546">
        <f t="shared" si="12"/>
        <v>100.63400000000001</v>
      </c>
      <c r="O34" s="546">
        <f t="shared" si="12"/>
        <v>93.89100000000002</v>
      </c>
      <c r="P34" s="546">
        <f t="shared" si="12"/>
        <v>100.22800000000001</v>
      </c>
      <c r="Q34" s="546">
        <f t="shared" si="12"/>
        <v>76.838999999999999</v>
      </c>
      <c r="R34" s="546">
        <f t="shared" si="12"/>
        <v>73.637</v>
      </c>
      <c r="S34" s="546">
        <f t="shared" si="12"/>
        <v>70.649000000000001</v>
      </c>
      <c r="T34" s="546">
        <f t="shared" si="12"/>
        <v>91.718000000000018</v>
      </c>
      <c r="U34" s="546">
        <f t="shared" si="12"/>
        <v>83.695999999999998</v>
      </c>
      <c r="V34" s="546">
        <f>V85</f>
        <v>51.979000000000006</v>
      </c>
      <c r="W34" s="547">
        <f>W85</f>
        <v>51.979000000000006</v>
      </c>
      <c r="X34" s="547">
        <f t="shared" si="12"/>
        <v>51.979000000000006</v>
      </c>
      <c r="Y34" s="547">
        <f t="shared" si="12"/>
        <v>51.979000000000006</v>
      </c>
      <c r="Z34" s="547">
        <f t="shared" si="12"/>
        <v>51.979000000000006</v>
      </c>
      <c r="AA34" s="547">
        <f t="shared" si="12"/>
        <v>51.979000000000006</v>
      </c>
      <c r="AB34" s="547">
        <f t="shared" si="12"/>
        <v>51.979000000000006</v>
      </c>
      <c r="AC34" s="715">
        <f t="shared" si="12"/>
        <v>51.979000000000006</v>
      </c>
      <c r="AE34" s="239"/>
      <c r="AF34" s="239"/>
      <c r="AG34" s="239"/>
      <c r="AH34" s="239"/>
      <c r="AI34" s="239"/>
      <c r="AJ34" s="239"/>
      <c r="AK34" s="239"/>
      <c r="AL34" s="239"/>
      <c r="AM34" s="239"/>
      <c r="AN34" s="239"/>
      <c r="AO34" s="239"/>
      <c r="AP34" s="239"/>
      <c r="AQ34" s="239"/>
      <c r="AR34" s="239"/>
      <c r="AS34" s="239"/>
      <c r="AT34" s="239"/>
      <c r="AU34" s="239"/>
      <c r="AV34" s="239"/>
      <c r="AW34" s="239"/>
      <c r="AX34" s="239"/>
      <c r="AY34" s="239"/>
      <c r="AZ34" s="239"/>
      <c r="BA34" s="239"/>
      <c r="BB34" s="239"/>
      <c r="BC34" s="239"/>
      <c r="BD34" s="239"/>
      <c r="BE34" s="239"/>
      <c r="BF34" s="239"/>
      <c r="BG34" s="239"/>
      <c r="BH34" s="239"/>
      <c r="BI34" s="239"/>
      <c r="BJ34" s="239"/>
      <c r="BK34" s="239"/>
      <c r="BL34" s="239"/>
      <c r="BM34" s="239"/>
      <c r="BN34" s="239"/>
      <c r="BO34" s="239"/>
      <c r="BP34" s="239"/>
      <c r="BQ34" s="239"/>
      <c r="BR34" s="239"/>
      <c r="BS34" s="239"/>
      <c r="BT34" s="239"/>
      <c r="BU34" s="239"/>
      <c r="BV34" s="239"/>
      <c r="BW34" s="239"/>
      <c r="BX34" s="239"/>
      <c r="BY34" s="239"/>
      <c r="BZ34" s="239"/>
      <c r="CA34" s="239"/>
      <c r="CB34" s="239"/>
      <c r="CC34" s="239"/>
      <c r="CD34" s="239"/>
      <c r="CE34" s="239"/>
      <c r="CF34" s="239"/>
      <c r="CG34" s="239"/>
      <c r="CH34" s="239"/>
      <c r="CI34" s="239"/>
      <c r="CJ34" s="239"/>
      <c r="CK34" s="239"/>
      <c r="CL34" s="239"/>
      <c r="CM34" s="239"/>
      <c r="CN34" s="239"/>
      <c r="CO34" s="239"/>
      <c r="CP34" s="239"/>
      <c r="CQ34" s="239"/>
      <c r="CR34" s="239"/>
      <c r="CS34" s="239"/>
      <c r="CT34" s="239"/>
      <c r="CU34" s="239"/>
      <c r="CV34" s="239"/>
    </row>
    <row r="35" spans="2:101" ht="15.65" customHeight="1" x14ac:dyDescent="0.35">
      <c r="B35" s="739" t="s">
        <v>797</v>
      </c>
      <c r="C35" s="239" t="s">
        <v>824</v>
      </c>
      <c r="D35" s="270">
        <v>30</v>
      </c>
      <c r="E35" s="231">
        <v>30</v>
      </c>
      <c r="F35" s="231">
        <v>30</v>
      </c>
      <c r="G35" s="231">
        <v>30</v>
      </c>
      <c r="H35" s="231">
        <v>30</v>
      </c>
      <c r="I35" s="231">
        <v>30</v>
      </c>
      <c r="J35" s="231">
        <v>30</v>
      </c>
      <c r="K35" s="227">
        <v>30.2</v>
      </c>
      <c r="L35" s="227">
        <v>30.2</v>
      </c>
      <c r="M35" s="227">
        <f>'Haver Pivoted'!GX89</f>
        <v>34.4</v>
      </c>
      <c r="N35" s="227">
        <f>'Haver Pivoted'!GY89</f>
        <v>34.4</v>
      </c>
      <c r="O35" s="227">
        <f>'Haver Pivoted'!GZ89</f>
        <v>218.933333333333</v>
      </c>
      <c r="P35" s="227">
        <f>'Haver Pivoted'!HA89</f>
        <v>223.13333333333301</v>
      </c>
      <c r="Q35" s="227">
        <f>'Haver Pivoted'!HB89</f>
        <v>94.3</v>
      </c>
      <c r="R35" s="227">
        <f>'Haver Pivoted'!HC89</f>
        <v>94.3</v>
      </c>
      <c r="S35" s="441">
        <f>'Haver Pivoted'!HD89</f>
        <v>94.3</v>
      </c>
      <c r="T35" s="441">
        <f>'Haver Pivoted'!HE89</f>
        <v>94.3</v>
      </c>
      <c r="U35" s="547">
        <v>34</v>
      </c>
      <c r="V35" s="546">
        <v>34</v>
      </c>
      <c r="W35" s="547">
        <v>34</v>
      </c>
      <c r="X35" s="547">
        <v>34</v>
      </c>
      <c r="Y35" s="547">
        <v>34</v>
      </c>
      <c r="Z35" s="547">
        <v>34</v>
      </c>
      <c r="AA35" s="547">
        <v>34</v>
      </c>
      <c r="AB35" s="547">
        <v>34</v>
      </c>
      <c r="AC35" s="715">
        <v>34</v>
      </c>
    </row>
    <row r="36" spans="2:101" ht="21.65" customHeight="1" x14ac:dyDescent="0.35">
      <c r="B36" s="246" t="s">
        <v>469</v>
      </c>
      <c r="C36" s="239"/>
      <c r="D36" s="271"/>
      <c r="E36" s="219"/>
      <c r="F36" s="219"/>
      <c r="G36" s="219"/>
      <c r="H36" s="546"/>
      <c r="I36" s="546"/>
      <c r="J36" s="546">
        <f>'PPP (expired)'!J53</f>
        <v>57.2</v>
      </c>
      <c r="K36" s="546">
        <f>'PPP (expired)'!K53</f>
        <v>81.2</v>
      </c>
      <c r="L36" s="546">
        <f>'PPP (expired)'!L53</f>
        <v>24.4</v>
      </c>
      <c r="M36" s="546">
        <f>'PPP (expired)'!M53</f>
        <v>11.7</v>
      </c>
      <c r="N36" s="546">
        <f>'PPP (expired)'!N53</f>
        <v>28.5</v>
      </c>
      <c r="O36" s="546">
        <f>'PPP (expired)'!O53</f>
        <v>18.8</v>
      </c>
      <c r="P36" s="546">
        <f>'PPP (expired)'!P53</f>
        <v>1.6</v>
      </c>
      <c r="Q36" s="546">
        <f>'PPP (expired)'!Q53</f>
        <v>0</v>
      </c>
      <c r="R36" s="546">
        <f>'PPP (expired)'!Q61</f>
        <v>0</v>
      </c>
      <c r="S36" s="546">
        <f>'PPP (expired)'!S53</f>
        <v>0</v>
      </c>
      <c r="T36" s="546">
        <f>'PPP (expired)'!T53</f>
        <v>0</v>
      </c>
      <c r="U36" s="546">
        <f>'PPP (expired)'!U53</f>
        <v>0</v>
      </c>
      <c r="V36" s="546">
        <f>'PPP (expired)'!V53</f>
        <v>0</v>
      </c>
      <c r="W36" s="547">
        <f>'PPP (expired)'!W53</f>
        <v>0</v>
      </c>
      <c r="X36" s="547">
        <f>'PPP (expired)'!X53</f>
        <v>0</v>
      </c>
      <c r="Y36" s="547">
        <f>'PPP (expired)'!Y53</f>
        <v>0</v>
      </c>
      <c r="Z36" s="547">
        <f>'PPP (expired)'!Z53</f>
        <v>0</v>
      </c>
      <c r="AA36" s="547">
        <f>'PPP (expired)'!AA53</f>
        <v>0</v>
      </c>
      <c r="AB36" s="547">
        <f>'PPP (expired)'!AB53</f>
        <v>0</v>
      </c>
      <c r="AC36" s="715">
        <f>'PPP (expired)'!AC53</f>
        <v>0</v>
      </c>
    </row>
    <row r="37" spans="2:101" ht="21.65" customHeight="1" x14ac:dyDescent="0.35">
      <c r="B37" s="288" t="s">
        <v>798</v>
      </c>
      <c r="C37" s="239"/>
      <c r="D37" s="590">
        <f t="shared" ref="D37:AC37" si="13">D109</f>
        <v>0</v>
      </c>
      <c r="E37" s="546">
        <f t="shared" si="13"/>
        <v>0</v>
      </c>
      <c r="F37" s="546">
        <f t="shared" si="13"/>
        <v>0</v>
      </c>
      <c r="G37" s="546">
        <f t="shared" si="13"/>
        <v>0</v>
      </c>
      <c r="H37" s="546">
        <f t="shared" si="13"/>
        <v>0</v>
      </c>
      <c r="I37" s="546">
        <f t="shared" si="13"/>
        <v>-6.9120000000000346</v>
      </c>
      <c r="J37" s="546">
        <f t="shared" si="13"/>
        <v>-37.9549999999997</v>
      </c>
      <c r="K37" s="546">
        <f t="shared" si="13"/>
        <v>85.725999999999658</v>
      </c>
      <c r="L37" s="546">
        <f t="shared" si="13"/>
        <v>18.405999999999722</v>
      </c>
      <c r="M37" s="546">
        <f t="shared" si="13"/>
        <v>20.282000000000153</v>
      </c>
      <c r="N37" s="546">
        <f t="shared" si="13"/>
        <v>-8.5988400000003367</v>
      </c>
      <c r="O37" s="546">
        <f t="shared" si="13"/>
        <v>-12.537493333333487</v>
      </c>
      <c r="P37" s="546">
        <f t="shared" si="13"/>
        <v>-32.38033333333351</v>
      </c>
      <c r="Q37" s="546">
        <f t="shared" si="13"/>
        <v>72.734879999999521</v>
      </c>
      <c r="R37" s="546">
        <f t="shared" si="13"/>
        <v>75.236879999999019</v>
      </c>
      <c r="S37" s="546">
        <f t="shared" si="13"/>
        <v>65.424879999999348</v>
      </c>
      <c r="T37" s="546">
        <f t="shared" si="13"/>
        <v>112.01587999999924</v>
      </c>
      <c r="U37" s="736">
        <f t="shared" si="13"/>
        <v>77.109026999999287</v>
      </c>
      <c r="V37" s="546">
        <f>V109</f>
        <v>91.266026999999212</v>
      </c>
      <c r="W37" s="547">
        <f t="shared" si="13"/>
        <v>91.266026999999212</v>
      </c>
      <c r="X37" s="547">
        <f t="shared" si="13"/>
        <v>91.266026999999212</v>
      </c>
      <c r="Y37" s="547">
        <f t="shared" si="13"/>
        <v>91.266026999999212</v>
      </c>
      <c r="Z37" s="547">
        <f t="shared" si="13"/>
        <v>91.266026999999212</v>
      </c>
      <c r="AA37" s="547">
        <f t="shared" si="13"/>
        <v>91.266026999999212</v>
      </c>
      <c r="AB37" s="547">
        <f t="shared" si="13"/>
        <v>91.266026999999212</v>
      </c>
      <c r="AC37" s="715">
        <f t="shared" si="13"/>
        <v>91.266026999999212</v>
      </c>
    </row>
    <row r="38" spans="2:101" ht="21" customHeight="1" x14ac:dyDescent="0.35">
      <c r="B38" s="265" t="s">
        <v>795</v>
      </c>
      <c r="C38" s="260"/>
      <c r="D38" s="717">
        <f t="shared" ref="D38:AC38" si="14">D33+D21</f>
        <v>0</v>
      </c>
      <c r="E38" s="630">
        <f t="shared" si="14"/>
        <v>0</v>
      </c>
      <c r="F38" s="630">
        <f t="shared" si="14"/>
        <v>0</v>
      </c>
      <c r="G38" s="630">
        <f t="shared" si="14"/>
        <v>0</v>
      </c>
      <c r="H38" s="630">
        <f t="shared" si="14"/>
        <v>0</v>
      </c>
      <c r="I38" s="630">
        <f t="shared" si="14"/>
        <v>0</v>
      </c>
      <c r="J38" s="630">
        <f t="shared" si="14"/>
        <v>160.9</v>
      </c>
      <c r="K38" s="630">
        <f t="shared" si="14"/>
        <v>58.4</v>
      </c>
      <c r="L38" s="630">
        <f t="shared" si="14"/>
        <v>34.5</v>
      </c>
      <c r="M38" s="630">
        <f t="shared" si="14"/>
        <v>21.4</v>
      </c>
      <c r="N38" s="630">
        <f t="shared" si="14"/>
        <v>13.3</v>
      </c>
      <c r="O38" s="630">
        <f t="shared" si="14"/>
        <v>21.804000000000041</v>
      </c>
      <c r="P38" s="549">
        <f t="shared" si="14"/>
        <v>51.919000000000011</v>
      </c>
      <c r="Q38" s="630">
        <f t="shared" si="14"/>
        <v>46.619</v>
      </c>
      <c r="R38" s="630">
        <f t="shared" si="14"/>
        <v>39.719000000000008</v>
      </c>
      <c r="S38" s="630">
        <f t="shared" si="14"/>
        <v>27.819000000000003</v>
      </c>
      <c r="T38" s="549">
        <f t="shared" si="14"/>
        <v>6.3160000000000007</v>
      </c>
      <c r="U38" s="549">
        <f t="shared" si="14"/>
        <v>1.4159999999999999</v>
      </c>
      <c r="V38" s="738">
        <f t="shared" si="14"/>
        <v>1.4159999999999999</v>
      </c>
      <c r="W38" s="553">
        <f t="shared" si="14"/>
        <v>1.4159999999999999</v>
      </c>
      <c r="X38" s="553">
        <f t="shared" si="14"/>
        <v>1.4790000000000001</v>
      </c>
      <c r="Y38" s="553">
        <f t="shared" si="14"/>
        <v>1.4790000000000001</v>
      </c>
      <c r="Z38" s="553">
        <f t="shared" si="14"/>
        <v>1.4790000000000001</v>
      </c>
      <c r="AA38" s="553">
        <f t="shared" si="14"/>
        <v>1.4790000000000001</v>
      </c>
      <c r="AB38" s="553">
        <f t="shared" si="14"/>
        <v>1.63</v>
      </c>
      <c r="AC38" s="553">
        <f t="shared" si="14"/>
        <v>1.63</v>
      </c>
    </row>
    <row r="39" spans="2:101" ht="44.9" customHeight="1" x14ac:dyDescent="0.35">
      <c r="B39" s="246" t="s">
        <v>802</v>
      </c>
      <c r="C39" s="239"/>
      <c r="D39" s="590">
        <f t="shared" ref="D39:AC39" si="15">D101</f>
        <v>1410.9</v>
      </c>
      <c r="E39" s="546">
        <f t="shared" si="15"/>
        <v>1470.7000000000003</v>
      </c>
      <c r="F39" s="546">
        <f t="shared" si="15"/>
        <v>1475.8999999999996</v>
      </c>
      <c r="G39" s="546">
        <f t="shared" si="15"/>
        <v>1482.6999999999998</v>
      </c>
      <c r="H39" s="546">
        <f t="shared" si="15"/>
        <v>1490.8000000000002</v>
      </c>
      <c r="I39" s="546">
        <f t="shared" si="15"/>
        <v>1542.4</v>
      </c>
      <c r="J39" s="546">
        <f t="shared" si="15"/>
        <v>1549.1000000000001</v>
      </c>
      <c r="K39" s="546">
        <f t="shared" si="15"/>
        <v>1555.8000000000002</v>
      </c>
      <c r="L39" s="546">
        <f t="shared" si="15"/>
        <v>1562.5000000000002</v>
      </c>
      <c r="M39" s="546">
        <f t="shared" si="15"/>
        <v>1586.8430000000003</v>
      </c>
      <c r="N39" s="546">
        <f t="shared" si="15"/>
        <v>1593.5430000000003</v>
      </c>
      <c r="O39" s="546">
        <f t="shared" si="15"/>
        <v>1600.2430000000004</v>
      </c>
      <c r="P39" s="546">
        <f t="shared" si="15"/>
        <v>1606.9430000000004</v>
      </c>
      <c r="Q39" s="546">
        <f t="shared" si="15"/>
        <v>1685.5501200000006</v>
      </c>
      <c r="R39" s="546">
        <f t="shared" si="15"/>
        <v>1692.2501200000006</v>
      </c>
      <c r="S39" s="546">
        <f t="shared" si="15"/>
        <v>1698.9501200000007</v>
      </c>
      <c r="T39" s="546">
        <f t="shared" si="15"/>
        <v>1705.6501200000007</v>
      </c>
      <c r="U39" s="546">
        <f t="shared" si="15"/>
        <v>1818.9789730000007</v>
      </c>
      <c r="V39" s="546">
        <f t="shared" si="15"/>
        <v>1825.6789730000007</v>
      </c>
      <c r="W39" s="547">
        <f t="shared" si="15"/>
        <v>1832.3789730000008</v>
      </c>
      <c r="X39" s="547">
        <f t="shared" si="15"/>
        <v>1839.0789730000008</v>
      </c>
      <c r="Y39" s="547">
        <f t="shared" si="15"/>
        <v>1888.4225177000008</v>
      </c>
      <c r="Z39" s="547">
        <f t="shared" si="15"/>
        <v>1895.1225177000008</v>
      </c>
      <c r="AA39" s="547">
        <f t="shared" si="15"/>
        <v>1901.8225177000008</v>
      </c>
      <c r="AB39" s="547">
        <f t="shared" si="15"/>
        <v>1908.5225177000009</v>
      </c>
      <c r="AC39" s="715">
        <f t="shared" si="15"/>
        <v>1944.8697280960009</v>
      </c>
    </row>
    <row r="40" spans="2:101" ht="44.9" customHeight="1" x14ac:dyDescent="0.35">
      <c r="B40" s="423" t="s">
        <v>1184</v>
      </c>
      <c r="D40" s="590"/>
      <c r="E40" s="546"/>
      <c r="F40" s="546"/>
      <c r="G40" s="546"/>
      <c r="H40" s="546"/>
      <c r="I40" s="546"/>
      <c r="J40" s="546"/>
      <c r="K40" s="546"/>
      <c r="L40" s="546"/>
      <c r="M40" s="546"/>
      <c r="N40" s="546"/>
      <c r="O40" s="546"/>
      <c r="P40" s="546"/>
      <c r="Q40" s="546"/>
      <c r="R40" s="546"/>
      <c r="S40" s="662">
        <f>'IRA and CHIPS'!E191</f>
        <v>-0.622</v>
      </c>
      <c r="T40" s="662">
        <f>'IRA and CHIPS'!F191</f>
        <v>21.89</v>
      </c>
      <c r="U40" s="662">
        <f>'IRA and CHIPS'!G191</f>
        <v>21.89</v>
      </c>
      <c r="V40" s="662">
        <f>'IRA and CHIPS'!H191</f>
        <v>21.89</v>
      </c>
      <c r="W40" s="673">
        <f>'IRA and CHIPS'!I191</f>
        <v>21.89</v>
      </c>
      <c r="X40" s="673">
        <f>'IRA and CHIPS'!J191</f>
        <v>15.439</v>
      </c>
      <c r="Y40" s="673">
        <f>'IRA and CHIPS'!K191</f>
        <v>15.439</v>
      </c>
      <c r="Z40" s="673">
        <f>'IRA and CHIPS'!L191</f>
        <v>15.439</v>
      </c>
      <c r="AA40" s="673">
        <f>'IRA and CHIPS'!M191</f>
        <v>15.439</v>
      </c>
      <c r="AB40" s="673">
        <f>'IRA and CHIPS'!N191</f>
        <v>16.966999999999999</v>
      </c>
      <c r="AC40" s="742">
        <f>'IRA and CHIPS'!O191</f>
        <v>16.966999999999999</v>
      </c>
    </row>
    <row r="41" spans="2:101" ht="31.4" customHeight="1" x14ac:dyDescent="0.35">
      <c r="B41" s="578" t="s">
        <v>799</v>
      </c>
      <c r="C41" s="260"/>
      <c r="D41" s="549">
        <f t="shared" ref="D41:R41" si="16">D39+SUM(D34:D37)+D40</f>
        <v>1440.9</v>
      </c>
      <c r="E41" s="549">
        <f t="shared" si="16"/>
        <v>1500.7000000000003</v>
      </c>
      <c r="F41" s="549">
        <f t="shared" si="16"/>
        <v>1505.8999999999996</v>
      </c>
      <c r="G41" s="549">
        <f t="shared" si="16"/>
        <v>1512.6999999999998</v>
      </c>
      <c r="H41" s="549">
        <f t="shared" si="16"/>
        <v>1520.8000000000002</v>
      </c>
      <c r="I41" s="549">
        <f t="shared" si="16"/>
        <v>1572.4</v>
      </c>
      <c r="J41" s="549">
        <f t="shared" si="16"/>
        <v>1649.3000000000004</v>
      </c>
      <c r="K41" s="549">
        <f t="shared" si="16"/>
        <v>1804.1</v>
      </c>
      <c r="L41" s="549">
        <f t="shared" si="16"/>
        <v>1687.3999999999999</v>
      </c>
      <c r="M41" s="549">
        <f t="shared" si="16"/>
        <v>1744.3000000000004</v>
      </c>
      <c r="N41" s="549">
        <f t="shared" si="16"/>
        <v>1748.4781600000001</v>
      </c>
      <c r="O41" s="549">
        <f t="shared" si="16"/>
        <v>1919.3298399999999</v>
      </c>
      <c r="P41" s="549">
        <f t="shared" si="16"/>
        <v>1899.5239999999999</v>
      </c>
      <c r="Q41" s="549">
        <f t="shared" si="16"/>
        <v>1929.424</v>
      </c>
      <c r="R41" s="549">
        <f t="shared" si="16"/>
        <v>1935.4239999999995</v>
      </c>
      <c r="S41" s="549">
        <f>S39+SUM(S34:S37)+S40</f>
        <v>1928.702</v>
      </c>
      <c r="T41" s="689">
        <f>T39+SUM(T34:T37)+T40</f>
        <v>2025.5740000000001</v>
      </c>
      <c r="U41" s="689">
        <f>U39+SUM(U34:U37)+U40</f>
        <v>2035.674</v>
      </c>
      <c r="V41" s="738">
        <f>V39+SUM(V34:V37)+V40</f>
        <v>2024.8140000000001</v>
      </c>
      <c r="W41" s="553">
        <f t="shared" ref="W41:AC41" si="17">W39+SUM(W34:W37)+W40</f>
        <v>2031.5140000000001</v>
      </c>
      <c r="X41" s="553">
        <f t="shared" si="17"/>
        <v>2031.7630000000001</v>
      </c>
      <c r="Y41" s="553">
        <f t="shared" si="17"/>
        <v>2081.1065446999996</v>
      </c>
      <c r="Z41" s="553">
        <f t="shared" si="17"/>
        <v>2087.8065446999999</v>
      </c>
      <c r="AA41" s="553">
        <f t="shared" si="17"/>
        <v>2094.5065446999997</v>
      </c>
      <c r="AB41" s="553">
        <f t="shared" si="17"/>
        <v>2102.7345447000002</v>
      </c>
      <c r="AC41" s="553">
        <f t="shared" si="17"/>
        <v>2139.0817550960001</v>
      </c>
    </row>
    <row r="42" spans="2:101" ht="31.4" customHeight="1" x14ac:dyDescent="0.35">
      <c r="B42" s="578"/>
      <c r="C42" s="260"/>
      <c r="D42" s="549"/>
      <c r="E42" s="549"/>
      <c r="F42" s="549"/>
      <c r="G42" s="549"/>
      <c r="H42" s="549"/>
      <c r="I42" s="549"/>
      <c r="J42" s="549"/>
      <c r="K42" s="549"/>
      <c r="L42" s="549"/>
      <c r="M42" s="549"/>
      <c r="N42" s="549"/>
      <c r="O42" s="549"/>
      <c r="P42" s="549"/>
      <c r="Q42" s="549"/>
      <c r="R42" s="549"/>
      <c r="S42" s="549"/>
      <c r="T42" s="549"/>
      <c r="U42" s="549"/>
      <c r="V42" s="549">
        <f>V12-SUM(V14,V17,V18,V21,V32,V33,V34,V35)+V40</f>
        <v>1938.835</v>
      </c>
      <c r="W42" s="553"/>
      <c r="X42" s="553"/>
      <c r="Y42" s="553"/>
      <c r="Z42" s="553"/>
      <c r="AA42" s="553"/>
      <c r="AB42" s="553"/>
      <c r="AC42" s="553"/>
    </row>
    <row r="43" spans="2:101" ht="31.4" customHeight="1" x14ac:dyDescent="0.35">
      <c r="B43" s="1367" t="s">
        <v>472</v>
      </c>
      <c r="C43" s="1368"/>
      <c r="D43" s="573"/>
      <c r="E43" s="574"/>
      <c r="F43" s="574"/>
      <c r="G43" s="574"/>
      <c r="H43" s="574"/>
      <c r="I43" s="574"/>
      <c r="J43" s="574"/>
      <c r="K43" s="574"/>
      <c r="L43" s="574"/>
      <c r="M43" s="574"/>
      <c r="N43" s="574"/>
      <c r="O43" s="574"/>
      <c r="P43" s="574"/>
      <c r="Q43" s="574"/>
      <c r="R43" s="574"/>
      <c r="S43" s="574"/>
      <c r="T43" s="549"/>
      <c r="U43" s="574"/>
      <c r="V43" s="549">
        <f>V39+V37</f>
        <v>1916.9449999999999</v>
      </c>
      <c r="W43" s="553"/>
      <c r="X43" s="553"/>
      <c r="Y43" s="553"/>
      <c r="Z43" s="553"/>
      <c r="AA43" s="553"/>
      <c r="AB43" s="553"/>
      <c r="AC43" s="682"/>
    </row>
    <row r="44" spans="2:101" x14ac:dyDescent="0.35">
      <c r="B44" s="288" t="s">
        <v>804</v>
      </c>
      <c r="C44" s="239" t="s">
        <v>473</v>
      </c>
      <c r="D44" s="271">
        <f>'Haver Pivoted'!GO37</f>
        <v>733.6</v>
      </c>
      <c r="E44" s="219">
        <f>'Haver Pivoted'!GP37</f>
        <v>744.3</v>
      </c>
      <c r="F44" s="219">
        <f>'Haver Pivoted'!GQ37</f>
        <v>762.3</v>
      </c>
      <c r="G44" s="219">
        <f>'Haver Pivoted'!GR37</f>
        <v>772.2</v>
      </c>
      <c r="H44" s="219">
        <f>'Haver Pivoted'!GS37</f>
        <v>772.1</v>
      </c>
      <c r="I44" s="219">
        <f>'Haver Pivoted'!GT37</f>
        <v>760.8</v>
      </c>
      <c r="J44" s="219">
        <f>'Haver Pivoted'!GU37</f>
        <v>811.3</v>
      </c>
      <c r="K44" s="219">
        <f>'Haver Pivoted'!GV37</f>
        <v>850.3</v>
      </c>
      <c r="L44" s="219">
        <f>'Haver Pivoted'!GW37</f>
        <v>840.3</v>
      </c>
      <c r="M44" s="219">
        <f>'Haver Pivoted'!GX37</f>
        <v>869.7</v>
      </c>
      <c r="N44" s="219">
        <f>'Haver Pivoted'!GY37</f>
        <v>913.8</v>
      </c>
      <c r="O44" s="219">
        <f>'Haver Pivoted'!GZ37</f>
        <v>923.8</v>
      </c>
      <c r="P44" s="219">
        <f>'Haver Pivoted'!HA37</f>
        <v>923.5</v>
      </c>
      <c r="Q44" s="219">
        <f>'Haver Pivoted'!HB37</f>
        <v>973.6</v>
      </c>
      <c r="R44" s="219">
        <f>'Haver Pivoted'!HC37</f>
        <v>1010.5</v>
      </c>
      <c r="S44" s="629">
        <f>'Haver Pivoted'!HD37</f>
        <v>1032.5999999999999</v>
      </c>
      <c r="T44" s="629">
        <f>'Haver Pivoted'!HE37</f>
        <v>1096.5999999999999</v>
      </c>
      <c r="U44" s="629">
        <f>'Haver Pivoted'!HF37</f>
        <v>1083.2</v>
      </c>
      <c r="V44" s="629">
        <f>'Haver Pivoted'!HG37</f>
        <v>1111.0999999999999</v>
      </c>
      <c r="W44" s="657"/>
      <c r="X44" s="657"/>
      <c r="Y44" s="657"/>
      <c r="Z44" s="657"/>
      <c r="AA44" s="657"/>
      <c r="AB44" s="657"/>
      <c r="AC44" s="728"/>
    </row>
    <row r="45" spans="2:101" x14ac:dyDescent="0.35">
      <c r="B45" s="548" t="s">
        <v>209</v>
      </c>
      <c r="C45" s="239"/>
      <c r="D45" s="590">
        <f>Medicaid!D27</f>
        <v>589.5</v>
      </c>
      <c r="E45" s="546">
        <f>Medicaid!E27</f>
        <v>598.70000000000005</v>
      </c>
      <c r="F45" s="546">
        <f>Medicaid!F27</f>
        <v>614.4</v>
      </c>
      <c r="G45" s="546">
        <f>Medicaid!G27</f>
        <v>622.4</v>
      </c>
      <c r="H45" s="546">
        <f>Medicaid!H27</f>
        <v>620.6</v>
      </c>
      <c r="I45" s="546">
        <f>Medicaid!I27</f>
        <v>606.5</v>
      </c>
      <c r="J45" s="546">
        <f>Medicaid!J27</f>
        <v>654.6</v>
      </c>
      <c r="K45" s="546">
        <f>Medicaid!K27</f>
        <v>690.8</v>
      </c>
      <c r="L45" s="546">
        <f>Medicaid!L27</f>
        <v>678.6</v>
      </c>
      <c r="M45" s="546">
        <f>Medicaid!M27</f>
        <v>704.9</v>
      </c>
      <c r="N45" s="546">
        <f>Medicaid!N27</f>
        <v>745.6</v>
      </c>
      <c r="O45" s="546">
        <f>Medicaid!O27</f>
        <v>749.2</v>
      </c>
      <c r="P45" s="546">
        <f>Medicaid!P27</f>
        <v>746.3</v>
      </c>
      <c r="Q45" s="546">
        <f>Medicaid!Q27</f>
        <v>791.9</v>
      </c>
      <c r="R45" s="546">
        <f>Medicaid!R27</f>
        <v>819.2</v>
      </c>
      <c r="S45" s="629">
        <f>Medicaid!S27</f>
        <v>819</v>
      </c>
      <c r="T45" s="546">
        <f>Medicaid!T27</f>
        <v>827.5</v>
      </c>
      <c r="U45" s="546">
        <f>Medicaid!U27</f>
        <v>877.6</v>
      </c>
      <c r="V45" s="546">
        <f>Medicaid!V27</f>
        <v>911.6</v>
      </c>
      <c r="W45" s="547">
        <f>Medicaid!W27</f>
        <v>867.2</v>
      </c>
      <c r="X45" s="547">
        <f>Medicaid!X27</f>
        <v>856.2</v>
      </c>
      <c r="Y45" s="547">
        <f>Medicaid!Y27</f>
        <v>904.8</v>
      </c>
      <c r="Z45" s="547">
        <f>Medicaid!Z27</f>
        <v>924.7</v>
      </c>
      <c r="AA45" s="547">
        <f>Medicaid!AA27</f>
        <v>919.4</v>
      </c>
      <c r="AB45" s="547">
        <f>Medicaid!AB27</f>
        <v>927.68973287497272</v>
      </c>
      <c r="AC45" s="715">
        <f>Medicaid!AC27</f>
        <v>928.99109457419343</v>
      </c>
    </row>
    <row r="46" spans="2:101" ht="14.9" customHeight="1" x14ac:dyDescent="0.35">
      <c r="B46" s="578" t="s">
        <v>805</v>
      </c>
      <c r="C46" s="260"/>
      <c r="D46" s="589">
        <f>D44-D45</f>
        <v>144.10000000000002</v>
      </c>
      <c r="E46" s="549">
        <f t="shared" ref="E46:O46" si="18">E44-E45</f>
        <v>145.59999999999991</v>
      </c>
      <c r="F46" s="549">
        <f t="shared" si="18"/>
        <v>147.89999999999998</v>
      </c>
      <c r="G46" s="549">
        <f t="shared" si="18"/>
        <v>149.80000000000007</v>
      </c>
      <c r="H46" s="549">
        <f t="shared" si="18"/>
        <v>151.5</v>
      </c>
      <c r="I46" s="549">
        <f t="shared" si="18"/>
        <v>154.29999999999995</v>
      </c>
      <c r="J46" s="549">
        <f t="shared" si="18"/>
        <v>156.69999999999993</v>
      </c>
      <c r="K46" s="549">
        <f t="shared" si="18"/>
        <v>159.5</v>
      </c>
      <c r="L46" s="549">
        <f t="shared" si="18"/>
        <v>161.69999999999993</v>
      </c>
      <c r="M46" s="549">
        <f t="shared" si="18"/>
        <v>164.80000000000007</v>
      </c>
      <c r="N46" s="549">
        <f t="shared" si="18"/>
        <v>168.19999999999993</v>
      </c>
      <c r="O46" s="549">
        <f t="shared" si="18"/>
        <v>174.59999999999991</v>
      </c>
      <c r="P46" s="549">
        <f>P44-P45</f>
        <v>177.20000000000005</v>
      </c>
      <c r="Q46" s="549">
        <f>Q44-Q45</f>
        <v>181.70000000000005</v>
      </c>
      <c r="R46" s="549">
        <f>R44-R45</f>
        <v>191.29999999999995</v>
      </c>
      <c r="S46" s="629">
        <f>S44-S45</f>
        <v>213.59999999999991</v>
      </c>
      <c r="T46" s="629">
        <f>T44-T45</f>
        <v>269.09999999999991</v>
      </c>
      <c r="U46" s="549">
        <f>T46*(1+AVERAGE($F$48:$I$48))+U47</f>
        <v>203.03380700109631</v>
      </c>
      <c r="V46" s="738">
        <f>U46*(1+AVERAGE($F$48:$I$48))+V47</f>
        <v>206.0018330562437</v>
      </c>
      <c r="W46" s="553">
        <f t="shared" ref="W46:AC46" si="19">V46*(1+AVERAGE($F$48:$I$48))</f>
        <v>209.01324685451698</v>
      </c>
      <c r="X46" s="553">
        <f t="shared" si="19"/>
        <v>212.06868265458453</v>
      </c>
      <c r="Y46" s="553">
        <f t="shared" si="19"/>
        <v>215.16878398695127</v>
      </c>
      <c r="Z46" s="553">
        <f t="shared" si="19"/>
        <v>218.31420378949775</v>
      </c>
      <c r="AA46" s="553">
        <f t="shared" si="19"/>
        <v>221.50560454500092</v>
      </c>
      <c r="AB46" s="553">
        <f t="shared" si="19"/>
        <v>224.74365842066501</v>
      </c>
      <c r="AC46" s="682">
        <f t="shared" si="19"/>
        <v>228.02904740969223</v>
      </c>
    </row>
    <row r="47" spans="2:101" ht="14.9" customHeight="1" x14ac:dyDescent="0.35">
      <c r="B47" s="578" t="s">
        <v>1694</v>
      </c>
      <c r="C47" s="260"/>
      <c r="D47" s="589"/>
      <c r="E47" s="549"/>
      <c r="F47" s="549"/>
      <c r="G47" s="549"/>
      <c r="H47" s="549"/>
      <c r="I47" s="549"/>
      <c r="J47" s="549"/>
      <c r="K47" s="549"/>
      <c r="L47" s="549"/>
      <c r="M47" s="549"/>
      <c r="N47" s="549"/>
      <c r="O47" s="549"/>
      <c r="P47" s="549"/>
      <c r="Q47" s="549"/>
      <c r="R47" s="549"/>
      <c r="S47" s="629"/>
      <c r="T47" s="549"/>
      <c r="U47" s="549">
        <v>-70</v>
      </c>
      <c r="V47" s="549"/>
      <c r="W47" s="553"/>
      <c r="X47" s="553"/>
      <c r="Y47" s="553"/>
      <c r="Z47" s="553"/>
      <c r="AA47" s="553"/>
      <c r="AB47" s="553"/>
      <c r="AC47" s="682"/>
    </row>
    <row r="48" spans="2:101" x14ac:dyDescent="0.35">
      <c r="B48" s="709" t="s">
        <v>806</v>
      </c>
      <c r="C48" s="357"/>
      <c r="D48" s="591"/>
      <c r="E48" s="577">
        <f>E46/D46-1</f>
        <v>1.0409437890353201E-2</v>
      </c>
      <c r="F48" s="577">
        <f t="shared" ref="F48:N48" si="20">F46/E46-1</f>
        <v>1.5796703296703685E-2</v>
      </c>
      <c r="G48" s="577">
        <f t="shared" si="20"/>
        <v>1.2846517917512346E-2</v>
      </c>
      <c r="H48" s="577">
        <f t="shared" si="20"/>
        <v>1.1348464619492127E-2</v>
      </c>
      <c r="I48" s="577">
        <f t="shared" si="20"/>
        <v>1.8481848184818128E-2</v>
      </c>
      <c r="J48" s="577">
        <f t="shared" si="20"/>
        <v>1.5554115359688758E-2</v>
      </c>
      <c r="K48" s="577">
        <f t="shared" si="20"/>
        <v>1.7868538608807105E-2</v>
      </c>
      <c r="L48" s="577">
        <f t="shared" si="20"/>
        <v>1.3793103448275446E-2</v>
      </c>
      <c r="M48" s="577">
        <f t="shared" si="20"/>
        <v>1.9171304885591489E-2</v>
      </c>
      <c r="N48" s="577">
        <f t="shared" si="20"/>
        <v>2.0631067961164318E-2</v>
      </c>
      <c r="O48" s="577">
        <f>O46/N46-1</f>
        <v>3.8049940546967864E-2</v>
      </c>
      <c r="P48" s="577">
        <f t="shared" ref="P48:S48" si="21">P46/O46-1</f>
        <v>1.4891179839634283E-2</v>
      </c>
      <c r="Q48" s="577">
        <f t="shared" si="21"/>
        <v>2.5395033860045046E-2</v>
      </c>
      <c r="R48" s="577">
        <f t="shared" si="21"/>
        <v>5.2834342322509054E-2</v>
      </c>
      <c r="S48" s="649">
        <f t="shared" si="21"/>
        <v>0.11657083115525335</v>
      </c>
      <c r="T48" s="551"/>
      <c r="U48" s="551"/>
      <c r="V48" s="551"/>
      <c r="W48" s="585"/>
      <c r="X48" s="585"/>
      <c r="Y48" s="585"/>
      <c r="Z48" s="585"/>
      <c r="AA48" s="585"/>
      <c r="AB48" s="585"/>
      <c r="AC48" s="681"/>
    </row>
    <row r="51" spans="2:39" x14ac:dyDescent="0.35">
      <c r="B51" s="1310"/>
      <c r="C51" s="1310"/>
      <c r="U51" s="219"/>
      <c r="V51" s="219"/>
      <c r="W51" s="219"/>
      <c r="X51" s="219"/>
      <c r="Y51" s="219"/>
      <c r="Z51" s="219"/>
      <c r="AA51" s="219"/>
      <c r="AB51" s="219"/>
      <c r="AC51" s="219"/>
    </row>
    <row r="52" spans="2:39" x14ac:dyDescent="0.35">
      <c r="B52" s="220"/>
      <c r="C52" s="239"/>
      <c r="U52" s="546"/>
      <c r="V52" s="546">
        <f>V40+V39+V34+V35+V36+V37</f>
        <v>2024.8140000000001</v>
      </c>
      <c r="W52" s="546"/>
      <c r="X52" s="546"/>
      <c r="Y52" s="546"/>
      <c r="Z52" s="546"/>
      <c r="AA52" s="546"/>
      <c r="AB52" s="546"/>
      <c r="AC52" s="546"/>
      <c r="AD52" s="515"/>
      <c r="AE52" s="515"/>
      <c r="AF52" s="515"/>
      <c r="AG52" s="515"/>
      <c r="AH52" s="515"/>
      <c r="AI52" s="515"/>
      <c r="AJ52" s="515"/>
      <c r="AK52" s="515"/>
      <c r="AL52" s="515"/>
      <c r="AM52" s="515"/>
    </row>
    <row r="53" spans="2:39" x14ac:dyDescent="0.35">
      <c r="B53" s="220"/>
      <c r="C53" s="239"/>
      <c r="U53" s="219"/>
      <c r="V53" s="219"/>
      <c r="W53" s="219"/>
      <c r="X53" s="219"/>
      <c r="Y53" s="219"/>
      <c r="Z53" s="219"/>
      <c r="AA53" s="219"/>
      <c r="AB53" s="219"/>
      <c r="AC53" s="219"/>
      <c r="AD53" s="515"/>
      <c r="AE53" s="515"/>
      <c r="AF53" s="515"/>
      <c r="AG53" s="515"/>
      <c r="AH53" s="515"/>
      <c r="AI53" s="515"/>
      <c r="AJ53" s="515"/>
      <c r="AK53" s="515"/>
      <c r="AL53" s="515"/>
      <c r="AM53" s="515"/>
    </row>
    <row r="54" spans="2:39" ht="28.5" customHeight="1" x14ac:dyDescent="0.35">
      <c r="B54" s="247"/>
      <c r="C54" s="239"/>
      <c r="U54" s="546"/>
      <c r="V54" s="546"/>
      <c r="W54" s="546"/>
      <c r="X54" s="546"/>
      <c r="Y54" s="546"/>
      <c r="Z54" s="546"/>
      <c r="AA54" s="546"/>
      <c r="AB54" s="546"/>
      <c r="AC54" s="546"/>
      <c r="AD54" s="515"/>
      <c r="AE54" s="515"/>
      <c r="AF54" s="515"/>
      <c r="AG54" s="515"/>
      <c r="AH54" s="515"/>
      <c r="AI54" s="515"/>
      <c r="AJ54" s="515"/>
      <c r="AK54" s="515"/>
      <c r="AL54" s="515"/>
      <c r="AM54" s="515"/>
    </row>
    <row r="55" spans="2:39" x14ac:dyDescent="0.35">
      <c r="B55" s="247"/>
      <c r="C55" s="239"/>
      <c r="U55" s="546"/>
      <c r="V55" s="546"/>
      <c r="W55" s="546"/>
      <c r="X55" s="546"/>
      <c r="Y55" s="546"/>
      <c r="Z55" s="546"/>
      <c r="AA55" s="546"/>
      <c r="AB55" s="546"/>
      <c r="AC55" s="546"/>
      <c r="AD55" s="515"/>
      <c r="AE55" s="515"/>
      <c r="AF55" s="515"/>
      <c r="AG55" s="515"/>
      <c r="AH55" s="515"/>
      <c r="AI55" s="515"/>
      <c r="AJ55" s="515"/>
      <c r="AK55" s="515"/>
      <c r="AL55" s="515"/>
      <c r="AM55" s="515"/>
    </row>
    <row r="56" spans="2:39" x14ac:dyDescent="0.35">
      <c r="B56" s="220"/>
      <c r="C56" s="239"/>
      <c r="U56" s="546"/>
      <c r="V56" s="546"/>
      <c r="W56" s="546"/>
      <c r="X56" s="546"/>
      <c r="Y56" s="546"/>
      <c r="Z56" s="546"/>
      <c r="AA56" s="546"/>
      <c r="AB56" s="546"/>
      <c r="AC56" s="546"/>
      <c r="AD56" s="515"/>
      <c r="AE56" s="515"/>
      <c r="AF56" s="515"/>
      <c r="AG56" s="515"/>
      <c r="AH56" s="515"/>
      <c r="AI56" s="515"/>
      <c r="AJ56" s="515"/>
      <c r="AK56" s="515"/>
      <c r="AL56" s="515"/>
      <c r="AM56" s="515"/>
    </row>
    <row r="57" spans="2:39" x14ac:dyDescent="0.35">
      <c r="B57" s="252"/>
      <c r="C57" s="260"/>
      <c r="U57" s="549"/>
      <c r="V57" s="549"/>
      <c r="W57" s="549"/>
      <c r="X57" s="549"/>
      <c r="Y57" s="549"/>
      <c r="Z57" s="549"/>
      <c r="AA57" s="549"/>
      <c r="AB57" s="549"/>
      <c r="AC57" s="549"/>
      <c r="AD57" s="515"/>
      <c r="AE57" s="515"/>
      <c r="AF57" s="515"/>
      <c r="AG57" s="515"/>
      <c r="AH57" s="515"/>
      <c r="AI57" s="515"/>
      <c r="AJ57" s="515"/>
      <c r="AK57" s="515"/>
      <c r="AL57" s="515"/>
      <c r="AM57" s="515"/>
    </row>
    <row r="58" spans="2:39" x14ac:dyDescent="0.35">
      <c r="B58" s="247"/>
      <c r="C58" s="674"/>
      <c r="U58" s="546"/>
      <c r="V58" s="546"/>
      <c r="W58" s="546"/>
      <c r="X58" s="546"/>
      <c r="Y58" s="546"/>
      <c r="Z58" s="546"/>
      <c r="AA58" s="546"/>
      <c r="AB58" s="546"/>
      <c r="AC58" s="546"/>
      <c r="AD58" s="515"/>
      <c r="AE58" s="515"/>
      <c r="AF58" s="515"/>
      <c r="AG58" s="515"/>
      <c r="AH58" s="515"/>
      <c r="AI58" s="515"/>
      <c r="AJ58" s="515"/>
      <c r="AK58" s="515"/>
      <c r="AL58" s="515"/>
      <c r="AM58" s="515"/>
    </row>
    <row r="59" spans="2:39" x14ac:dyDescent="0.35">
      <c r="B59" s="247"/>
      <c r="C59" s="674"/>
      <c r="U59" s="231"/>
      <c r="V59" s="231"/>
      <c r="W59" s="231"/>
      <c r="X59" s="231"/>
      <c r="Y59" s="231"/>
      <c r="Z59" s="231"/>
      <c r="AA59" s="231"/>
      <c r="AB59" s="231"/>
      <c r="AC59" s="231"/>
      <c r="AD59" s="515"/>
      <c r="AE59" s="515"/>
      <c r="AF59" s="515"/>
      <c r="AG59" s="515"/>
      <c r="AH59" s="515"/>
      <c r="AI59" s="515"/>
      <c r="AJ59" s="515"/>
      <c r="AK59" s="515"/>
      <c r="AL59" s="515"/>
      <c r="AM59" s="515"/>
    </row>
    <row r="60" spans="2:39" x14ac:dyDescent="0.35">
      <c r="B60" s="247"/>
      <c r="C60" s="239"/>
      <c r="U60" s="546"/>
      <c r="V60" s="546"/>
      <c r="W60" s="546"/>
      <c r="X60" s="546"/>
      <c r="Y60" s="546"/>
      <c r="Z60" s="546"/>
      <c r="AA60" s="546"/>
      <c r="AB60" s="546"/>
      <c r="AC60" s="546"/>
      <c r="AD60" s="515"/>
      <c r="AE60" s="515"/>
      <c r="AF60" s="515"/>
      <c r="AG60" s="515"/>
      <c r="AH60" s="515"/>
      <c r="AI60" s="515"/>
      <c r="AJ60" s="515"/>
      <c r="AK60" s="515"/>
      <c r="AL60" s="515"/>
      <c r="AM60" s="515"/>
    </row>
    <row r="61" spans="2:39" x14ac:dyDescent="0.35">
      <c r="B61" s="247"/>
      <c r="C61" s="239"/>
      <c r="U61" s="546"/>
      <c r="V61" s="546"/>
      <c r="W61" s="546"/>
      <c r="X61" s="546"/>
      <c r="Y61" s="546"/>
      <c r="Z61" s="546"/>
      <c r="AA61" s="546"/>
      <c r="AB61" s="546"/>
      <c r="AC61" s="546"/>
      <c r="AD61" s="515"/>
      <c r="AE61" s="515"/>
      <c r="AF61" s="515"/>
      <c r="AG61" s="515"/>
      <c r="AH61" s="515"/>
      <c r="AI61" s="515"/>
      <c r="AJ61" s="515"/>
      <c r="AK61" s="515"/>
      <c r="AL61" s="515"/>
      <c r="AM61" s="515"/>
    </row>
    <row r="62" spans="2:39" x14ac:dyDescent="0.35">
      <c r="B62" s="247"/>
      <c r="C62" s="239"/>
      <c r="U62" s="546"/>
      <c r="V62" s="546"/>
      <c r="W62" s="546"/>
      <c r="X62" s="546"/>
      <c r="Y62" s="546"/>
      <c r="Z62" s="546"/>
      <c r="AA62" s="546"/>
      <c r="AB62" s="546"/>
      <c r="AC62" s="546"/>
      <c r="AD62" s="515"/>
      <c r="AE62" s="515"/>
      <c r="AF62" s="515"/>
      <c r="AG62" s="515"/>
      <c r="AH62" s="515"/>
      <c r="AI62" s="515"/>
      <c r="AJ62" s="515"/>
      <c r="AK62" s="515"/>
      <c r="AL62" s="515"/>
      <c r="AM62" s="515"/>
    </row>
    <row r="63" spans="2:39" x14ac:dyDescent="0.35">
      <c r="B63" s="220"/>
      <c r="C63" s="239"/>
      <c r="U63" s="546"/>
      <c r="V63" s="546"/>
      <c r="W63" s="546"/>
      <c r="X63" s="546"/>
      <c r="Y63" s="546"/>
      <c r="Z63" s="546"/>
      <c r="AA63" s="546"/>
      <c r="AB63" s="546"/>
      <c r="AC63" s="546"/>
      <c r="AD63" s="515"/>
      <c r="AE63" s="515"/>
      <c r="AF63" s="515"/>
      <c r="AG63" s="515"/>
      <c r="AH63" s="515"/>
      <c r="AI63" s="515"/>
      <c r="AJ63" s="515"/>
      <c r="AK63" s="515"/>
      <c r="AL63" s="515"/>
      <c r="AM63" s="515"/>
    </row>
    <row r="64" spans="2:39" x14ac:dyDescent="0.35">
      <c r="B64" s="252"/>
      <c r="C64" s="260"/>
      <c r="U64" s="630"/>
      <c r="V64" s="630"/>
      <c r="W64" s="630"/>
      <c r="X64" s="630"/>
      <c r="Y64" s="630"/>
      <c r="Z64" s="630"/>
      <c r="AA64" s="630"/>
      <c r="AB64" s="630"/>
      <c r="AC64" s="630"/>
      <c r="AD64" s="515"/>
      <c r="AE64" s="515"/>
      <c r="AF64" s="515"/>
      <c r="AG64" s="515"/>
      <c r="AH64" s="515"/>
      <c r="AI64" s="515"/>
      <c r="AJ64" s="515"/>
      <c r="AK64" s="515"/>
      <c r="AL64" s="515"/>
      <c r="AM64" s="515"/>
    </row>
    <row r="65" spans="2:39" ht="28.5" customHeight="1" x14ac:dyDescent="0.35">
      <c r="B65" s="247"/>
      <c r="C65" s="239"/>
      <c r="U65" s="546"/>
      <c r="V65" s="546"/>
      <c r="W65" s="546"/>
      <c r="X65" s="546"/>
      <c r="Y65" s="546"/>
      <c r="Z65" s="546"/>
      <c r="AA65" s="546"/>
      <c r="AB65" s="546"/>
      <c r="AC65" s="546"/>
      <c r="AD65" s="515"/>
      <c r="AE65" s="515"/>
      <c r="AF65" s="515"/>
      <c r="AG65" s="515"/>
      <c r="AH65" s="515"/>
      <c r="AI65" s="515"/>
      <c r="AJ65" s="515"/>
      <c r="AK65" s="515"/>
      <c r="AL65" s="515"/>
      <c r="AM65" s="515"/>
    </row>
    <row r="66" spans="2:39" x14ac:dyDescent="0.35">
      <c r="B66" s="378"/>
      <c r="C66" s="57"/>
      <c r="U66" s="662"/>
      <c r="V66" s="662"/>
      <c r="W66" s="662"/>
      <c r="X66" s="662"/>
      <c r="Y66" s="662"/>
      <c r="Z66" s="662"/>
      <c r="AA66" s="662"/>
      <c r="AB66" s="662"/>
      <c r="AC66" s="662"/>
      <c r="AD66" s="515"/>
      <c r="AE66" s="515"/>
      <c r="AF66" s="515"/>
      <c r="AG66" s="515"/>
      <c r="AH66" s="515"/>
      <c r="AI66" s="515"/>
      <c r="AJ66" s="515"/>
      <c r="AK66" s="515"/>
      <c r="AL66" s="515"/>
      <c r="AM66" s="515"/>
    </row>
    <row r="67" spans="2:39" x14ac:dyDescent="0.35">
      <c r="B67" s="260"/>
      <c r="C67" s="260"/>
      <c r="U67" s="549"/>
      <c r="V67" s="549"/>
      <c r="W67" s="549"/>
      <c r="X67" s="549"/>
      <c r="Y67" s="549"/>
      <c r="Z67" s="549"/>
      <c r="AA67" s="549"/>
      <c r="AB67" s="549"/>
      <c r="AC67" s="549"/>
      <c r="AD67" s="515"/>
      <c r="AE67" s="515"/>
      <c r="AF67" s="515"/>
      <c r="AG67" s="515"/>
      <c r="AH67" s="515"/>
      <c r="AI67" s="515"/>
      <c r="AJ67" s="515"/>
      <c r="AK67" s="515"/>
      <c r="AL67" s="515"/>
      <c r="AM67" s="515"/>
    </row>
    <row r="68" spans="2:39" x14ac:dyDescent="0.35">
      <c r="B68" s="1310"/>
      <c r="C68" s="1310"/>
      <c r="U68" s="549"/>
      <c r="V68" s="549"/>
      <c r="W68" s="549"/>
      <c r="X68" s="549"/>
      <c r="Y68" s="549"/>
      <c r="Z68" s="549"/>
      <c r="AA68" s="549"/>
      <c r="AB68" s="549"/>
      <c r="AC68" s="549"/>
      <c r="AD68" s="515"/>
      <c r="AE68" s="515"/>
      <c r="AF68" s="515"/>
      <c r="AG68" s="515"/>
      <c r="AH68" s="515"/>
      <c r="AI68" s="515"/>
      <c r="AJ68" s="515"/>
      <c r="AK68" s="515"/>
      <c r="AL68" s="515"/>
      <c r="AM68" s="515"/>
    </row>
    <row r="69" spans="2:39" x14ac:dyDescent="0.35">
      <c r="B69" s="220"/>
      <c r="C69" s="239"/>
      <c r="U69" s="239"/>
      <c r="V69" s="239"/>
      <c r="W69" s="239"/>
      <c r="X69" s="239"/>
      <c r="Y69" s="239"/>
      <c r="Z69" s="239"/>
      <c r="AA69" s="239"/>
      <c r="AB69" s="239"/>
      <c r="AC69" s="239"/>
      <c r="AD69" s="515"/>
      <c r="AE69" s="515"/>
      <c r="AF69" s="515"/>
      <c r="AG69" s="515"/>
      <c r="AH69" s="515"/>
      <c r="AI69" s="515"/>
      <c r="AJ69" s="515"/>
      <c r="AK69" s="515"/>
      <c r="AL69" s="515"/>
      <c r="AM69" s="515"/>
    </row>
    <row r="70" spans="2:39" x14ac:dyDescent="0.35">
      <c r="B70" s="239"/>
      <c r="C70" s="239"/>
      <c r="U70" s="546"/>
      <c r="V70" s="546"/>
      <c r="W70" s="546"/>
      <c r="X70" s="546"/>
      <c r="Y70" s="546"/>
      <c r="Z70" s="546"/>
      <c r="AA70" s="546"/>
      <c r="AB70" s="546"/>
      <c r="AC70" s="546"/>
      <c r="AD70" s="515"/>
      <c r="AE70" s="515"/>
      <c r="AF70" s="515"/>
      <c r="AG70" s="515"/>
      <c r="AH70" s="515"/>
      <c r="AI70" s="515"/>
      <c r="AJ70" s="515"/>
      <c r="AK70" s="515"/>
      <c r="AL70" s="515"/>
      <c r="AM70" s="515"/>
    </row>
    <row r="71" spans="2:39" x14ac:dyDescent="0.35">
      <c r="B71" s="260"/>
      <c r="C71" s="260"/>
      <c r="U71" s="549"/>
      <c r="V71" s="549"/>
      <c r="W71" s="549"/>
      <c r="X71" s="549"/>
      <c r="Y71" s="549"/>
      <c r="Z71" s="549"/>
      <c r="AA71" s="549"/>
      <c r="AB71" s="549"/>
      <c r="AC71" s="549"/>
      <c r="AD71" s="515"/>
      <c r="AE71" s="515"/>
      <c r="AF71" s="515"/>
      <c r="AG71" s="515"/>
      <c r="AH71" s="515"/>
      <c r="AI71" s="515"/>
      <c r="AJ71" s="515"/>
      <c r="AK71" s="515"/>
      <c r="AL71" s="515"/>
      <c r="AM71" s="515"/>
    </row>
    <row r="72" spans="2:39" x14ac:dyDescent="0.35">
      <c r="B72" s="260"/>
      <c r="C72" s="260"/>
      <c r="U72" s="549"/>
      <c r="V72" s="549"/>
      <c r="W72" s="549"/>
      <c r="X72" s="549"/>
      <c r="Y72" s="549"/>
      <c r="Z72" s="549"/>
      <c r="AA72" s="549"/>
      <c r="AB72" s="549"/>
      <c r="AC72" s="549"/>
      <c r="AD72" s="515"/>
      <c r="AE72" s="515"/>
      <c r="AF72" s="515"/>
      <c r="AG72" s="515"/>
      <c r="AH72" s="515"/>
      <c r="AI72" s="515"/>
      <c r="AJ72" s="515"/>
      <c r="AK72" s="515"/>
      <c r="AL72" s="515"/>
      <c r="AM72" s="515"/>
    </row>
    <row r="73" spans="2:39" x14ac:dyDescent="0.35">
      <c r="B73" s="735"/>
      <c r="C73" s="239"/>
      <c r="U73" s="546"/>
      <c r="V73" s="546"/>
      <c r="W73" s="546"/>
      <c r="X73" s="546"/>
      <c r="Y73" s="546"/>
      <c r="Z73" s="546"/>
      <c r="AA73" s="546"/>
      <c r="AB73" s="546"/>
      <c r="AC73" s="546"/>
      <c r="AD73" s="515"/>
      <c r="AE73" s="515"/>
      <c r="AF73" s="515"/>
      <c r="AG73" s="515"/>
      <c r="AH73" s="515"/>
      <c r="AI73" s="515"/>
      <c r="AJ73" s="515"/>
      <c r="AK73" s="515"/>
      <c r="AL73" s="515"/>
      <c r="AM73" s="515"/>
    </row>
    <row r="75" spans="2:39" x14ac:dyDescent="0.35">
      <c r="U75" s="1373"/>
      <c r="V75" s="1373"/>
      <c r="W75" s="1373"/>
      <c r="X75" s="1373"/>
    </row>
    <row r="76" spans="2:39" x14ac:dyDescent="0.35">
      <c r="U76" s="1373"/>
      <c r="V76" s="1373"/>
      <c r="W76" s="1373"/>
      <c r="X76" s="1373"/>
    </row>
    <row r="77" spans="2:39" x14ac:dyDescent="0.35">
      <c r="U77" s="1373"/>
      <c r="V77" s="1373"/>
      <c r="W77" s="1373"/>
      <c r="X77" s="1373"/>
    </row>
    <row r="79" spans="2:39" x14ac:dyDescent="0.35">
      <c r="P79" s="482"/>
      <c r="Q79" s="482"/>
    </row>
    <row r="80" spans="2:39" x14ac:dyDescent="0.35">
      <c r="B80" s="512" t="s">
        <v>351</v>
      </c>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c r="AB80" s="546"/>
      <c r="AC80" s="546"/>
    </row>
    <row r="81" spans="2:33" ht="45.75" customHeight="1" x14ac:dyDescent="0.35">
      <c r="B81" s="1369" t="s">
        <v>476</v>
      </c>
      <c r="C81" s="1369"/>
      <c r="D81" s="1369"/>
      <c r="E81" s="1369"/>
      <c r="F81" s="1369"/>
      <c r="G81" s="1369"/>
      <c r="H81" s="1369"/>
      <c r="I81" s="1369"/>
      <c r="J81" s="1369"/>
      <c r="K81" s="1369"/>
      <c r="L81" s="1369"/>
      <c r="M81" s="1369"/>
      <c r="N81" s="1369"/>
      <c r="O81" s="1369"/>
      <c r="P81" s="1369"/>
      <c r="Q81" s="1369"/>
      <c r="R81" s="1369"/>
      <c r="S81" s="1369"/>
      <c r="T81" s="1369"/>
      <c r="U81" s="1369"/>
      <c r="V81" s="1369"/>
      <c r="W81" s="1369"/>
      <c r="X81" s="1369"/>
      <c r="Y81" s="1369"/>
      <c r="Z81" s="1369"/>
      <c r="AA81" s="1369"/>
      <c r="AB81" s="1369"/>
      <c r="AC81" s="1369"/>
    </row>
    <row r="82" spans="2:33" ht="14.9" customHeight="1" x14ac:dyDescent="0.35">
      <c r="B82" s="1278" t="s">
        <v>477</v>
      </c>
      <c r="C82" s="1279"/>
      <c r="D82" s="1338" t="s">
        <v>279</v>
      </c>
      <c r="E82" s="1339"/>
      <c r="F82" s="1339"/>
      <c r="G82" s="1339"/>
      <c r="H82" s="1339"/>
      <c r="I82" s="1339"/>
      <c r="J82" s="1339"/>
      <c r="K82" s="1339"/>
      <c r="L82" s="1339"/>
      <c r="M82" s="1339"/>
      <c r="N82" s="1339"/>
      <c r="O82" s="1339"/>
      <c r="P82" s="1339"/>
      <c r="Q82" s="1339"/>
      <c r="R82" s="1339"/>
      <c r="S82" s="1339"/>
      <c r="T82" s="1339"/>
      <c r="U82" s="1339"/>
      <c r="V82" s="1370"/>
      <c r="W82" s="1302" t="s">
        <v>280</v>
      </c>
      <c r="X82" s="1303"/>
      <c r="Y82" s="1303"/>
      <c r="Z82" s="1303"/>
      <c r="AA82" s="1303"/>
      <c r="AB82" s="1303"/>
      <c r="AC82" s="1303"/>
      <c r="AD82" s="1303"/>
      <c r="AE82" s="1303"/>
      <c r="AF82" s="1303"/>
      <c r="AG82" s="1303"/>
    </row>
    <row r="83" spans="2:33" x14ac:dyDescent="0.35">
      <c r="B83" s="1278"/>
      <c r="C83" s="1279"/>
      <c r="D83" s="215">
        <v>2018</v>
      </c>
      <c r="E83" s="1282">
        <v>2019</v>
      </c>
      <c r="F83" s="1283"/>
      <c r="G83" s="1283"/>
      <c r="H83" s="1284"/>
      <c r="I83" s="1282">
        <v>2020</v>
      </c>
      <c r="J83" s="1283"/>
      <c r="K83" s="1283"/>
      <c r="L83" s="1283"/>
      <c r="M83" s="1282">
        <v>2021</v>
      </c>
      <c r="N83" s="1283"/>
      <c r="O83" s="1283"/>
      <c r="P83" s="1283"/>
      <c r="Q83" s="1282">
        <v>2022</v>
      </c>
      <c r="R83" s="1305"/>
      <c r="S83" s="1305"/>
      <c r="T83" s="1284"/>
      <c r="U83" s="284"/>
      <c r="V83" s="556">
        <v>2023</v>
      </c>
      <c r="W83" s="552"/>
      <c r="X83" s="257"/>
      <c r="Y83" s="1268">
        <v>2024</v>
      </c>
      <c r="Z83" s="1292"/>
      <c r="AA83" s="1292"/>
      <c r="AB83" s="1270"/>
      <c r="AC83" s="1268">
        <v>2025</v>
      </c>
      <c r="AD83" s="1292"/>
      <c r="AE83" s="1292"/>
      <c r="AF83" s="1270"/>
      <c r="AG83" s="734">
        <v>2026</v>
      </c>
    </row>
    <row r="84" spans="2:33" x14ac:dyDescent="0.35">
      <c r="B84" s="1280"/>
      <c r="C84" s="1281"/>
      <c r="D84" s="212" t="s">
        <v>281</v>
      </c>
      <c r="E84" s="212" t="s">
        <v>282</v>
      </c>
      <c r="F84" s="213" t="s">
        <v>283</v>
      </c>
      <c r="G84" s="213" t="s">
        <v>238</v>
      </c>
      <c r="H84" s="214" t="s">
        <v>281</v>
      </c>
      <c r="I84" s="213" t="s">
        <v>282</v>
      </c>
      <c r="J84" s="213" t="s">
        <v>283</v>
      </c>
      <c r="K84" s="213" t="s">
        <v>238</v>
      </c>
      <c r="L84" s="213" t="s">
        <v>281</v>
      </c>
      <c r="M84" s="212" t="s">
        <v>282</v>
      </c>
      <c r="N84" s="213" t="s">
        <v>283</v>
      </c>
      <c r="O84" s="213" t="s">
        <v>238</v>
      </c>
      <c r="P84" s="213" t="s">
        <v>281</v>
      </c>
      <c r="Q84" s="212" t="s">
        <v>282</v>
      </c>
      <c r="R84" s="213" t="s">
        <v>283</v>
      </c>
      <c r="S84" s="213" t="s">
        <v>238</v>
      </c>
      <c r="T84" s="214" t="s">
        <v>281</v>
      </c>
      <c r="U84" s="213" t="s">
        <v>282</v>
      </c>
      <c r="V84" s="282" t="s">
        <v>283</v>
      </c>
      <c r="W84" s="267" t="s">
        <v>238</v>
      </c>
      <c r="X84" s="268" t="s">
        <v>281</v>
      </c>
      <c r="Y84" s="266" t="s">
        <v>282</v>
      </c>
      <c r="Z84" s="264" t="s">
        <v>283</v>
      </c>
      <c r="AA84" s="267" t="s">
        <v>238</v>
      </c>
      <c r="AB84" s="267" t="s">
        <v>281</v>
      </c>
      <c r="AC84" s="266" t="s">
        <v>282</v>
      </c>
      <c r="AD84" s="264" t="s">
        <v>283</v>
      </c>
      <c r="AE84" s="267" t="s">
        <v>238</v>
      </c>
      <c r="AF84" s="267" t="s">
        <v>281</v>
      </c>
      <c r="AG84" s="266" t="s">
        <v>282</v>
      </c>
    </row>
    <row r="85" spans="2:33" x14ac:dyDescent="0.35">
      <c r="B85" s="548" t="s">
        <v>1433</v>
      </c>
      <c r="D85" s="250"/>
      <c r="E85" s="308"/>
      <c r="F85" s="308"/>
      <c r="G85" s="308"/>
      <c r="H85" s="308"/>
      <c r="I85" s="570">
        <f>(I86-AVERAGE($E86:$H86))</f>
        <v>6.9120000000000061</v>
      </c>
      <c r="J85" s="570">
        <f t="shared" ref="J85:U85" si="22">(J86-AVERAGE($E86:$H86))</f>
        <v>50.955000000000005</v>
      </c>
      <c r="K85" s="570">
        <f t="shared" si="22"/>
        <v>51.173999999999999</v>
      </c>
      <c r="L85" s="570">
        <f t="shared" si="22"/>
        <v>51.893999999999998</v>
      </c>
      <c r="M85" s="570">
        <f t="shared" si="22"/>
        <v>91.075000000000017</v>
      </c>
      <c r="N85" s="570">
        <f t="shared" si="22"/>
        <v>100.63400000000001</v>
      </c>
      <c r="O85" s="570">
        <f t="shared" si="22"/>
        <v>93.89100000000002</v>
      </c>
      <c r="P85" s="570">
        <f t="shared" si="22"/>
        <v>100.22800000000001</v>
      </c>
      <c r="Q85" s="570">
        <f t="shared" si="22"/>
        <v>76.838999999999999</v>
      </c>
      <c r="R85" s="570">
        <f t="shared" si="22"/>
        <v>73.637</v>
      </c>
      <c r="S85" s="571">
        <f t="shared" si="22"/>
        <v>70.649000000000001</v>
      </c>
      <c r="T85" s="558">
        <f t="shared" si="22"/>
        <v>91.718000000000018</v>
      </c>
      <c r="U85" s="571">
        <f t="shared" si="22"/>
        <v>83.695999999999998</v>
      </c>
      <c r="V85" s="571">
        <f>(V86-AVERAGE($E86:$H86))</f>
        <v>51.979000000000006</v>
      </c>
      <c r="W85" s="718">
        <f>V85</f>
        <v>51.979000000000006</v>
      </c>
      <c r="X85" s="718">
        <f t="shared" ref="X85:AG85" si="23">W85</f>
        <v>51.979000000000006</v>
      </c>
      <c r="Y85" s="718">
        <f t="shared" si="23"/>
        <v>51.979000000000006</v>
      </c>
      <c r="Z85" s="718">
        <f t="shared" si="23"/>
        <v>51.979000000000006</v>
      </c>
      <c r="AA85" s="718">
        <f t="shared" si="23"/>
        <v>51.979000000000006</v>
      </c>
      <c r="AB85" s="718">
        <f t="shared" si="23"/>
        <v>51.979000000000006</v>
      </c>
      <c r="AC85" s="679">
        <f t="shared" si="23"/>
        <v>51.979000000000006</v>
      </c>
      <c r="AD85" s="718">
        <f t="shared" si="23"/>
        <v>51.979000000000006</v>
      </c>
      <c r="AE85" s="718">
        <f t="shared" si="23"/>
        <v>51.979000000000006</v>
      </c>
      <c r="AF85" s="718">
        <f t="shared" si="23"/>
        <v>51.979000000000006</v>
      </c>
      <c r="AG85" s="718">
        <f t="shared" si="23"/>
        <v>51.979000000000006</v>
      </c>
    </row>
    <row r="86" spans="2:33" x14ac:dyDescent="0.35">
      <c r="B86" s="548" t="s">
        <v>160</v>
      </c>
      <c r="C86" s="239" t="s">
        <v>478</v>
      </c>
      <c r="D86" s="271">
        <f>'Haver Pivoted'!GO66</f>
        <v>57.017000000000003</v>
      </c>
      <c r="E86" s="219">
        <f>'Haver Pivoted'!GP66</f>
        <v>55.875</v>
      </c>
      <c r="F86" s="219">
        <f>'Haver Pivoted'!GQ66</f>
        <v>54.335999999999999</v>
      </c>
      <c r="G86" s="219">
        <f>'Haver Pivoted'!GR66</f>
        <v>54.345999999999997</v>
      </c>
      <c r="H86" s="219">
        <f>'Haver Pivoted'!GS66</f>
        <v>54.290999999999997</v>
      </c>
      <c r="I86" s="219">
        <f>'Haver Pivoted'!GT66</f>
        <v>61.624000000000002</v>
      </c>
      <c r="J86" s="219">
        <f>'Haver Pivoted'!GU66</f>
        <v>105.667</v>
      </c>
      <c r="K86" s="219">
        <f>'Haver Pivoted'!GV66</f>
        <v>105.886</v>
      </c>
      <c r="L86" s="219">
        <f>'Haver Pivoted'!GW66</f>
        <v>106.60599999999999</v>
      </c>
      <c r="M86" s="219">
        <f>'Haver Pivoted'!GX66</f>
        <v>145.78700000000001</v>
      </c>
      <c r="N86" s="219">
        <f>'Haver Pivoted'!GY66</f>
        <v>155.346</v>
      </c>
      <c r="O86" s="219">
        <f>'Haver Pivoted'!GZ66</f>
        <v>148.60300000000001</v>
      </c>
      <c r="P86" s="219">
        <f>'Haver Pivoted'!HA66</f>
        <v>154.94</v>
      </c>
      <c r="Q86" s="219">
        <f>'Haver Pivoted'!HB66</f>
        <v>131.55099999999999</v>
      </c>
      <c r="R86" s="219">
        <f>'Haver Pivoted'!HC66</f>
        <v>128.34899999999999</v>
      </c>
      <c r="S86" s="213">
        <f>'Haver Pivoted'!HD66</f>
        <v>125.361</v>
      </c>
      <c r="T86" s="213">
        <f>'Haver Pivoted'!HE66</f>
        <v>146.43</v>
      </c>
      <c r="U86" s="213">
        <f>'Haver Pivoted'!HF66</f>
        <v>138.40799999999999</v>
      </c>
      <c r="V86" s="213">
        <f>'Haver Pivoted'!HG66</f>
        <v>106.691</v>
      </c>
      <c r="W86" s="329"/>
      <c r="X86" s="329"/>
      <c r="Y86" s="329"/>
      <c r="Z86" s="329"/>
      <c r="AA86" s="329"/>
      <c r="AB86" s="329"/>
      <c r="AC86" s="329"/>
      <c r="AD86" s="503"/>
      <c r="AE86" s="503"/>
      <c r="AF86" s="503"/>
      <c r="AG86" s="503"/>
    </row>
    <row r="87" spans="2:33" ht="29.15" customHeight="1" x14ac:dyDescent="0.35">
      <c r="B87" s="356" t="s">
        <v>479</v>
      </c>
      <c r="C87" s="357"/>
      <c r="D87" s="713"/>
      <c r="E87" s="561"/>
      <c r="F87" s="561"/>
      <c r="G87" s="561"/>
      <c r="H87" s="561"/>
      <c r="I87" s="561"/>
      <c r="J87" s="561">
        <f t="shared" ref="J87:V87" si="24">J86-$H86</f>
        <v>51.376000000000005</v>
      </c>
      <c r="K87" s="561">
        <f t="shared" si="24"/>
        <v>51.594999999999999</v>
      </c>
      <c r="L87" s="561">
        <f t="shared" si="24"/>
        <v>52.314999999999998</v>
      </c>
      <c r="M87" s="561">
        <f t="shared" si="24"/>
        <v>91.496000000000009</v>
      </c>
      <c r="N87" s="561">
        <f>N86-$H86</f>
        <v>101.05500000000001</v>
      </c>
      <c r="O87" s="561">
        <f>O86-$H86</f>
        <v>94.312000000000012</v>
      </c>
      <c r="P87" s="561">
        <f t="shared" si="24"/>
        <v>100.649</v>
      </c>
      <c r="Q87" s="561">
        <f t="shared" si="24"/>
        <v>77.259999999999991</v>
      </c>
      <c r="R87" s="561">
        <f t="shared" si="24"/>
        <v>74.057999999999993</v>
      </c>
      <c r="S87" s="282">
        <f t="shared" si="24"/>
        <v>71.070000000000007</v>
      </c>
      <c r="T87" s="282">
        <f t="shared" si="24"/>
        <v>92.13900000000001</v>
      </c>
      <c r="U87" s="282">
        <f t="shared" si="24"/>
        <v>84.11699999999999</v>
      </c>
      <c r="V87" s="282">
        <f t="shared" si="24"/>
        <v>52.400000000000006</v>
      </c>
      <c r="W87" s="267"/>
      <c r="X87" s="267"/>
      <c r="Y87" s="267"/>
      <c r="Z87" s="267"/>
      <c r="AA87" s="267"/>
      <c r="AB87" s="267"/>
      <c r="AC87" s="267"/>
      <c r="AD87" s="503"/>
      <c r="AE87" s="503"/>
      <c r="AF87" s="503"/>
      <c r="AG87" s="503"/>
    </row>
    <row r="88" spans="2:33" ht="29.15" customHeight="1" x14ac:dyDescent="0.35">
      <c r="B88" s="239"/>
      <c r="C88" s="239"/>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row>
    <row r="89" spans="2:33" ht="29.15" customHeight="1" x14ac:dyDescent="0.35">
      <c r="B89" s="239"/>
      <c r="C89" s="239"/>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row>
    <row r="90" spans="2:33" ht="29.15" customHeight="1" x14ac:dyDescent="0.35">
      <c r="B90" s="239"/>
      <c r="C90" s="239"/>
      <c r="D90" s="219"/>
      <c r="E90" s="219"/>
      <c r="F90" s="219"/>
      <c r="G90" s="219"/>
      <c r="H90" s="219"/>
      <c r="I90" s="219"/>
      <c r="J90" s="219"/>
      <c r="K90" s="219"/>
      <c r="L90" s="219"/>
      <c r="M90" s="219"/>
      <c r="N90" s="219"/>
      <c r="O90" s="219"/>
      <c r="P90" s="219"/>
      <c r="Q90" s="219"/>
      <c r="R90" s="219"/>
      <c r="S90" s="219"/>
      <c r="T90" s="219"/>
      <c r="U90" s="219"/>
      <c r="V90" s="219"/>
      <c r="W90" s="219"/>
      <c r="X90" s="219"/>
      <c r="Y90" s="219"/>
      <c r="Z90" s="219"/>
      <c r="AA90" s="219"/>
      <c r="AB90" s="219"/>
      <c r="AC90" s="219"/>
    </row>
    <row r="91" spans="2:33" ht="35.9" customHeight="1" x14ac:dyDescent="0.35"/>
    <row r="92" spans="2:33" x14ac:dyDescent="0.35">
      <c r="B92" s="512" t="s">
        <v>364</v>
      </c>
    </row>
    <row r="93" spans="2:33" x14ac:dyDescent="0.35">
      <c r="B93" s="1363" t="s">
        <v>803</v>
      </c>
      <c r="C93" s="1364"/>
      <c r="D93" s="1280" t="s">
        <v>279</v>
      </c>
      <c r="E93" s="1290"/>
      <c r="F93" s="1290"/>
      <c r="G93" s="1290"/>
      <c r="H93" s="1290"/>
      <c r="I93" s="1290"/>
      <c r="J93" s="1290"/>
      <c r="K93" s="1290"/>
      <c r="L93" s="1290"/>
      <c r="M93" s="1290"/>
      <c r="N93" s="1290"/>
      <c r="O93" s="1290"/>
      <c r="P93" s="1290"/>
      <c r="Q93" s="1290"/>
      <c r="R93" s="1290"/>
      <c r="S93" s="1290"/>
      <c r="T93" s="1290"/>
      <c r="U93" s="1290"/>
      <c r="V93" s="1281"/>
      <c r="W93" s="1302" t="s">
        <v>280</v>
      </c>
      <c r="X93" s="1303"/>
      <c r="Y93" s="1303"/>
      <c r="Z93" s="1303"/>
      <c r="AA93" s="1303"/>
      <c r="AB93" s="1303"/>
      <c r="AC93" s="1303"/>
      <c r="AD93" s="1303"/>
      <c r="AE93" s="1303"/>
      <c r="AF93" s="1303"/>
      <c r="AG93" s="1303"/>
    </row>
    <row r="94" spans="2:33" x14ac:dyDescent="0.35">
      <c r="B94" s="1365"/>
      <c r="C94" s="1366"/>
      <c r="D94" s="215">
        <v>2018</v>
      </c>
      <c r="E94" s="1282">
        <v>2019</v>
      </c>
      <c r="F94" s="1283"/>
      <c r="G94" s="1283"/>
      <c r="H94" s="1284"/>
      <c r="I94" s="1282">
        <v>2020</v>
      </c>
      <c r="J94" s="1283"/>
      <c r="K94" s="1283"/>
      <c r="L94" s="1283"/>
      <c r="M94" s="1282">
        <v>2021</v>
      </c>
      <c r="N94" s="1283"/>
      <c r="O94" s="1283"/>
      <c r="P94" s="1283"/>
      <c r="Q94" s="1282">
        <v>2022</v>
      </c>
      <c r="R94" s="1305"/>
      <c r="S94" s="1305"/>
      <c r="T94" s="1284"/>
      <c r="U94" s="284"/>
      <c r="V94" s="556">
        <v>2023</v>
      </c>
      <c r="W94" s="552"/>
      <c r="X94" s="257"/>
      <c r="Y94" s="1268">
        <v>2024</v>
      </c>
      <c r="Z94" s="1292"/>
      <c r="AA94" s="1292"/>
      <c r="AB94" s="1270"/>
      <c r="AC94" s="1268">
        <v>2025</v>
      </c>
      <c r="AD94" s="1292"/>
      <c r="AE94" s="1292"/>
      <c r="AF94" s="1270"/>
      <c r="AG94" s="734">
        <v>2026</v>
      </c>
    </row>
    <row r="95" spans="2:33" x14ac:dyDescent="0.35">
      <c r="B95" s="1365"/>
      <c r="C95" s="1366"/>
      <c r="D95" s="212" t="s">
        <v>281</v>
      </c>
      <c r="E95" s="212" t="s">
        <v>282</v>
      </c>
      <c r="F95" s="213" t="s">
        <v>283</v>
      </c>
      <c r="G95" s="213" t="s">
        <v>238</v>
      </c>
      <c r="H95" s="214" t="s">
        <v>281</v>
      </c>
      <c r="I95" s="213" t="s">
        <v>282</v>
      </c>
      <c r="J95" s="213" t="s">
        <v>283</v>
      </c>
      <c r="K95" s="213" t="s">
        <v>238</v>
      </c>
      <c r="L95" s="213" t="s">
        <v>281</v>
      </c>
      <c r="M95" s="212" t="s">
        <v>282</v>
      </c>
      <c r="N95" s="213" t="s">
        <v>283</v>
      </c>
      <c r="O95" s="213" t="s">
        <v>238</v>
      </c>
      <c r="P95" s="213" t="s">
        <v>281</v>
      </c>
      <c r="Q95" s="212" t="s">
        <v>282</v>
      </c>
      <c r="R95" s="213" t="s">
        <v>283</v>
      </c>
      <c r="S95" s="213" t="s">
        <v>238</v>
      </c>
      <c r="T95" s="214" t="s">
        <v>281</v>
      </c>
      <c r="U95" s="213" t="s">
        <v>282</v>
      </c>
      <c r="V95" s="282" t="s">
        <v>283</v>
      </c>
      <c r="W95" s="267" t="s">
        <v>238</v>
      </c>
      <c r="X95" s="268" t="s">
        <v>281</v>
      </c>
      <c r="Y95" s="266" t="s">
        <v>282</v>
      </c>
      <c r="Z95" s="264" t="s">
        <v>283</v>
      </c>
      <c r="AA95" s="267" t="s">
        <v>238</v>
      </c>
      <c r="AB95" s="267" t="s">
        <v>281</v>
      </c>
      <c r="AC95" s="266" t="s">
        <v>282</v>
      </c>
      <c r="AD95" s="264" t="s">
        <v>283</v>
      </c>
      <c r="AE95" s="267" t="s">
        <v>238</v>
      </c>
      <c r="AF95" s="267" t="s">
        <v>281</v>
      </c>
      <c r="AG95" s="266" t="s">
        <v>282</v>
      </c>
    </row>
    <row r="96" spans="2:33" ht="25.75" customHeight="1" x14ac:dyDescent="0.35">
      <c r="B96" s="671" t="s">
        <v>466</v>
      </c>
      <c r="C96" s="442" t="s">
        <v>467</v>
      </c>
      <c r="D96" s="365">
        <f>'Haver Pivoted'!GO31</f>
        <v>2223</v>
      </c>
      <c r="E96" s="366">
        <f>'Haver Pivoted'!GP31</f>
        <v>2303.8000000000002</v>
      </c>
      <c r="F96" s="366">
        <f>'Haver Pivoted'!GQ31</f>
        <v>2321.6999999999998</v>
      </c>
      <c r="G96" s="366">
        <f>'Haver Pivoted'!GR31</f>
        <v>2337.1</v>
      </c>
      <c r="H96" s="366">
        <f>'Haver Pivoted'!GS31</f>
        <v>2349.5</v>
      </c>
      <c r="I96" s="366">
        <f>'Haver Pivoted'!GT31</f>
        <v>2414.4</v>
      </c>
      <c r="J96" s="366">
        <f>'Haver Pivoted'!GU31</f>
        <v>4654.1000000000004</v>
      </c>
      <c r="K96" s="366">
        <f>'Haver Pivoted'!GV31</f>
        <v>3504.7</v>
      </c>
      <c r="L96" s="366">
        <f>'Haver Pivoted'!GW31</f>
        <v>2888.4</v>
      </c>
      <c r="M96" s="366">
        <f>'Haver Pivoted'!GX31</f>
        <v>5138.1000000000004</v>
      </c>
      <c r="N96" s="366">
        <f>'Haver Pivoted'!GY31</f>
        <v>3397.8</v>
      </c>
      <c r="O96" s="366">
        <f>'Haver Pivoted'!GZ31</f>
        <v>3124.9</v>
      </c>
      <c r="P96" s="366">
        <f>'Haver Pivoted'!HA31</f>
        <v>2952.6</v>
      </c>
      <c r="Q96" s="366">
        <f>'Haver Pivoted'!HB31</f>
        <v>2970.9</v>
      </c>
      <c r="R96" s="366">
        <f>'Haver Pivoted'!HC31</f>
        <v>2976.2</v>
      </c>
      <c r="S96" s="367">
        <f>'Haver Pivoted'!HD31</f>
        <v>2970.4</v>
      </c>
      <c r="T96" s="680">
        <f>'Haver Pivoted'!HE31</f>
        <v>3024.4</v>
      </c>
      <c r="U96" s="367">
        <f>'Haver Pivoted'!HF31</f>
        <v>3038.4</v>
      </c>
      <c r="V96" s="367">
        <f>'Haver Pivoted'!HG31</f>
        <v>3049.1</v>
      </c>
      <c r="W96" s="690"/>
      <c r="X96" s="690"/>
      <c r="Y96" s="690"/>
      <c r="Z96" s="690"/>
      <c r="AA96" s="690"/>
      <c r="AB96" s="690"/>
      <c r="AC96" s="732"/>
      <c r="AD96" s="732"/>
      <c r="AE96" s="732"/>
      <c r="AF96" s="732"/>
      <c r="AG96" s="503"/>
    </row>
    <row r="97" spans="2:33" ht="25.75" customHeight="1" x14ac:dyDescent="0.35">
      <c r="B97" s="477" t="s">
        <v>1848</v>
      </c>
      <c r="C97" s="239"/>
      <c r="D97" s="708">
        <f>D98+D99</f>
        <v>812.1</v>
      </c>
      <c r="E97" s="436">
        <f>E98+E99</f>
        <v>833.1</v>
      </c>
      <c r="F97" s="436">
        <f>F98+F99</f>
        <v>845.8</v>
      </c>
      <c r="G97" s="436">
        <f t="shared" ref="G97:N97" si="25">G98+G99</f>
        <v>854.4</v>
      </c>
      <c r="H97" s="436">
        <f t="shared" si="25"/>
        <v>858.7</v>
      </c>
      <c r="I97" s="436">
        <f t="shared" si="25"/>
        <v>878.91200000000003</v>
      </c>
      <c r="J97" s="436">
        <f t="shared" si="25"/>
        <v>3142.9549999999999</v>
      </c>
      <c r="K97" s="436">
        <f t="shared" si="25"/>
        <v>1863.174</v>
      </c>
      <c r="L97" s="436">
        <f t="shared" si="25"/>
        <v>1307.4940000000001</v>
      </c>
      <c r="M97" s="436">
        <f t="shared" si="25"/>
        <v>3530.9749999999999</v>
      </c>
      <c r="N97" s="436">
        <f t="shared" si="25"/>
        <v>1812.8558400000002</v>
      </c>
      <c r="O97" s="436">
        <f>O98+O99</f>
        <v>1537.1944933333332</v>
      </c>
      <c r="P97" s="436">
        <f t="shared" ref="P97:R97" si="26">P98+P99</f>
        <v>1378.037333333333</v>
      </c>
      <c r="Q97" s="436">
        <f t="shared" si="26"/>
        <v>1212.615</v>
      </c>
      <c r="R97" s="436">
        <f t="shared" si="26"/>
        <v>1208.7130000000002</v>
      </c>
      <c r="S97" s="675">
        <f>S98+S99</f>
        <v>1206.0250000000001</v>
      </c>
      <c r="T97" s="675">
        <f t="shared" ref="T97:U97" si="27">T98+T99</f>
        <v>1206.7340000000002</v>
      </c>
      <c r="U97" s="675">
        <f t="shared" si="27"/>
        <v>1142.3120000000001</v>
      </c>
      <c r="V97" s="675">
        <f>V98+V99</f>
        <v>1132.155</v>
      </c>
      <c r="W97" s="658"/>
      <c r="X97" s="658"/>
      <c r="Y97" s="658"/>
      <c r="Z97" s="658"/>
      <c r="AA97" s="658"/>
      <c r="AB97" s="658"/>
      <c r="AC97" s="658"/>
      <c r="AD97" s="658"/>
      <c r="AE97" s="658"/>
      <c r="AF97" s="658"/>
      <c r="AG97" s="503"/>
    </row>
    <row r="98" spans="2:33" ht="25.75" customHeight="1" x14ac:dyDescent="0.35">
      <c r="B98" s="422" t="s">
        <v>1846</v>
      </c>
      <c r="C98" s="239"/>
      <c r="D98" s="708">
        <f t="shared" ref="D98:V98" si="28">D14+D17+D35</f>
        <v>812.1</v>
      </c>
      <c r="E98" s="708">
        <f t="shared" si="28"/>
        <v>833.1</v>
      </c>
      <c r="F98" s="436">
        <f t="shared" si="28"/>
        <v>845.8</v>
      </c>
      <c r="G98" s="436">
        <f t="shared" si="28"/>
        <v>854.4</v>
      </c>
      <c r="H98" s="436">
        <f t="shared" si="28"/>
        <v>858.7</v>
      </c>
      <c r="I98" s="436">
        <f t="shared" si="28"/>
        <v>872</v>
      </c>
      <c r="J98" s="436">
        <f t="shared" si="28"/>
        <v>1795.8</v>
      </c>
      <c r="K98" s="436">
        <f t="shared" si="28"/>
        <v>1656.8</v>
      </c>
      <c r="L98" s="436">
        <f t="shared" si="28"/>
        <v>1191.7</v>
      </c>
      <c r="M98" s="436">
        <f t="shared" si="28"/>
        <v>1473.1</v>
      </c>
      <c r="N98" s="436">
        <f t="shared" si="28"/>
        <v>1346.4</v>
      </c>
      <c r="O98" s="436">
        <f t="shared" si="28"/>
        <v>1318.833333333333</v>
      </c>
      <c r="P98" s="436">
        <f t="shared" si="28"/>
        <v>1157.333333333333</v>
      </c>
      <c r="Q98" s="436">
        <f t="shared" si="28"/>
        <v>1036.4000000000001</v>
      </c>
      <c r="R98" s="436">
        <f t="shared" si="28"/>
        <v>1042.6000000000001</v>
      </c>
      <c r="S98" s="675">
        <f t="shared" si="28"/>
        <v>1054.8</v>
      </c>
      <c r="T98" s="675">
        <f t="shared" si="28"/>
        <v>1078.7</v>
      </c>
      <c r="U98" s="675">
        <f t="shared" si="28"/>
        <v>1045.2</v>
      </c>
      <c r="V98" s="675">
        <f t="shared" si="28"/>
        <v>1066.76</v>
      </c>
      <c r="W98" s="658"/>
      <c r="X98" s="658"/>
      <c r="Y98" s="658"/>
      <c r="Z98" s="658"/>
      <c r="AA98" s="658"/>
      <c r="AB98" s="658"/>
      <c r="AC98" s="658"/>
      <c r="AD98" s="658"/>
      <c r="AE98" s="658"/>
      <c r="AF98" s="658"/>
      <c r="AG98" s="658"/>
    </row>
    <row r="99" spans="2:33" ht="36" customHeight="1" x14ac:dyDescent="0.35">
      <c r="B99" s="422" t="s">
        <v>1847</v>
      </c>
      <c r="C99" s="239"/>
      <c r="D99" s="436">
        <f t="shared" ref="D99:AG99" si="29">D18+D21+D32+D33+D34+D36</f>
        <v>0</v>
      </c>
      <c r="E99" s="436">
        <f t="shared" si="29"/>
        <v>0</v>
      </c>
      <c r="F99" s="436">
        <f t="shared" si="29"/>
        <v>0</v>
      </c>
      <c r="G99" s="436">
        <f t="shared" si="29"/>
        <v>0</v>
      </c>
      <c r="H99" s="436">
        <f t="shared" si="29"/>
        <v>0</v>
      </c>
      <c r="I99" s="436">
        <f t="shared" si="29"/>
        <v>6.9120000000000061</v>
      </c>
      <c r="J99" s="436">
        <f t="shared" si="29"/>
        <v>1347.155</v>
      </c>
      <c r="K99" s="436">
        <f t="shared" si="29"/>
        <v>206.37400000000002</v>
      </c>
      <c r="L99" s="436">
        <f t="shared" si="29"/>
        <v>115.79400000000001</v>
      </c>
      <c r="M99" s="436">
        <f t="shared" si="29"/>
        <v>2057.875</v>
      </c>
      <c r="N99" s="436">
        <f t="shared" si="29"/>
        <v>466.45584000000008</v>
      </c>
      <c r="O99" s="436">
        <f t="shared" si="29"/>
        <v>218.3611600000001</v>
      </c>
      <c r="P99" s="436">
        <f t="shared" si="29"/>
        <v>220.70400000000004</v>
      </c>
      <c r="Q99" s="436">
        <f t="shared" si="29"/>
        <v>176.215</v>
      </c>
      <c r="R99" s="436">
        <f t="shared" si="29"/>
        <v>166.113</v>
      </c>
      <c r="S99" s="675">
        <f t="shared" si="29"/>
        <v>151.22500000000002</v>
      </c>
      <c r="T99" s="675">
        <f t="shared" si="29"/>
        <v>128.03400000000002</v>
      </c>
      <c r="U99" s="675">
        <f t="shared" si="29"/>
        <v>97.111999999999995</v>
      </c>
      <c r="V99" s="675">
        <f t="shared" si="29"/>
        <v>65.39500000000001</v>
      </c>
      <c r="W99" s="658">
        <f t="shared" si="29"/>
        <v>65.39500000000001</v>
      </c>
      <c r="X99" s="658">
        <f t="shared" si="29"/>
        <v>57.680000000000007</v>
      </c>
      <c r="Y99" s="658">
        <f t="shared" si="29"/>
        <v>57.680000000000007</v>
      </c>
      <c r="Z99" s="658">
        <f t="shared" si="29"/>
        <v>57.680000000000007</v>
      </c>
      <c r="AA99" s="658">
        <f t="shared" si="29"/>
        <v>57.680000000000007</v>
      </c>
      <c r="AB99" s="658">
        <f t="shared" si="29"/>
        <v>55.981000000000009</v>
      </c>
      <c r="AC99" s="658">
        <f t="shared" si="29"/>
        <v>55.981000000000009</v>
      </c>
      <c r="AD99" s="658">
        <f t="shared" si="29"/>
        <v>0</v>
      </c>
      <c r="AE99" s="658">
        <f t="shared" si="29"/>
        <v>0</v>
      </c>
      <c r="AF99" s="658">
        <f t="shared" si="29"/>
        <v>0</v>
      </c>
      <c r="AG99" s="658">
        <f t="shared" si="29"/>
        <v>0</v>
      </c>
    </row>
    <row r="100" spans="2:33" ht="25.75" customHeight="1" x14ac:dyDescent="0.35">
      <c r="B100" s="477" t="s">
        <v>800</v>
      </c>
      <c r="C100" s="239"/>
      <c r="D100" s="708">
        <f>D96-D97</f>
        <v>1410.9</v>
      </c>
      <c r="E100" s="436">
        <f t="shared" ref="E100:T100" si="30">E96-E97</f>
        <v>1470.7000000000003</v>
      </c>
      <c r="F100" s="436">
        <f t="shared" si="30"/>
        <v>1475.8999999999999</v>
      </c>
      <c r="G100" s="436">
        <f t="shared" si="30"/>
        <v>1482.6999999999998</v>
      </c>
      <c r="H100" s="436">
        <f t="shared" si="30"/>
        <v>1490.8</v>
      </c>
      <c r="I100" s="436">
        <f t="shared" si="30"/>
        <v>1535.4880000000001</v>
      </c>
      <c r="J100" s="436">
        <f t="shared" si="30"/>
        <v>1511.1450000000004</v>
      </c>
      <c r="K100" s="436">
        <f t="shared" si="30"/>
        <v>1641.5259999999998</v>
      </c>
      <c r="L100" s="436">
        <f t="shared" si="30"/>
        <v>1580.9059999999999</v>
      </c>
      <c r="M100" s="436">
        <f t="shared" si="30"/>
        <v>1607.1250000000005</v>
      </c>
      <c r="N100" s="436">
        <f t="shared" si="30"/>
        <v>1584.94416</v>
      </c>
      <c r="O100" s="436">
        <f t="shared" si="30"/>
        <v>1587.7055066666669</v>
      </c>
      <c r="P100" s="436">
        <f t="shared" si="30"/>
        <v>1574.5626666666669</v>
      </c>
      <c r="Q100" s="436">
        <f t="shared" si="30"/>
        <v>1758.2850000000001</v>
      </c>
      <c r="R100" s="436">
        <f t="shared" si="30"/>
        <v>1767.4869999999996</v>
      </c>
      <c r="S100" s="675">
        <f t="shared" si="30"/>
        <v>1764.375</v>
      </c>
      <c r="T100" s="675">
        <f t="shared" si="30"/>
        <v>1817.6659999999999</v>
      </c>
      <c r="U100" s="675">
        <f>U96-U97</f>
        <v>1896.088</v>
      </c>
      <c r="V100" s="675">
        <f>V96-V97</f>
        <v>1916.9449999999999</v>
      </c>
      <c r="W100" s="658"/>
      <c r="X100" s="658"/>
      <c r="Y100" s="658"/>
      <c r="Z100" s="658"/>
      <c r="AA100" s="658"/>
      <c r="AB100" s="658"/>
      <c r="AC100" s="658"/>
      <c r="AD100" s="658"/>
      <c r="AE100" s="658"/>
      <c r="AF100" s="658"/>
      <c r="AG100" s="503"/>
    </row>
    <row r="101" spans="2:33" ht="20.5" customHeight="1" x14ac:dyDescent="0.35">
      <c r="B101" s="691" t="s">
        <v>801</v>
      </c>
      <c r="C101" s="692"/>
      <c r="D101" s="698">
        <f t="shared" ref="D101:I101" si="31">D12-D14-D17-D35</f>
        <v>1410.9</v>
      </c>
      <c r="E101" s="663">
        <f t="shared" si="31"/>
        <v>1470.7000000000003</v>
      </c>
      <c r="F101" s="663">
        <f t="shared" si="31"/>
        <v>1475.8999999999996</v>
      </c>
      <c r="G101" s="663">
        <f t="shared" si="31"/>
        <v>1482.6999999999998</v>
      </c>
      <c r="H101" s="663">
        <f t="shared" si="31"/>
        <v>1490.8000000000002</v>
      </c>
      <c r="I101" s="663">
        <f t="shared" si="31"/>
        <v>1542.4</v>
      </c>
      <c r="J101" s="699">
        <f>I101+($H$101-$E$101)/3</f>
        <v>1549.1000000000001</v>
      </c>
      <c r="K101" s="699">
        <f>J101+($H$101-$E$101)/3</f>
        <v>1555.8000000000002</v>
      </c>
      <c r="L101" s="699">
        <f>K101+($H$101-$E$101)/3</f>
        <v>1562.5000000000002</v>
      </c>
      <c r="M101" s="700">
        <f>L101+($H$101-$E$101)/3 +(M105-L105)</f>
        <v>1586.8430000000003</v>
      </c>
      <c r="N101" s="699">
        <f>M101+($H$101-$E$101)/3</f>
        <v>1593.5430000000003</v>
      </c>
      <c r="O101" s="699">
        <f>N101+($H$101-$E$101)/3</f>
        <v>1600.2430000000004</v>
      </c>
      <c r="P101" s="699">
        <f>O101+($H$101-$E$101)/3</f>
        <v>1606.9430000000004</v>
      </c>
      <c r="Q101" s="700">
        <f>P101+($H$101-$E$101)/3 + 0.06*Q105</f>
        <v>1685.5501200000006</v>
      </c>
      <c r="R101" s="699">
        <f>Q101+($H$101-$E$101)/3</f>
        <v>1692.2501200000006</v>
      </c>
      <c r="S101" s="699">
        <f>R101+($H$101-$E$101)/3</f>
        <v>1698.9501200000007</v>
      </c>
      <c r="T101" s="699">
        <f>S101+($H$101-$E$101)/3</f>
        <v>1705.6501200000007</v>
      </c>
      <c r="U101" s="699">
        <f>T101+U102</f>
        <v>1818.9789730000007</v>
      </c>
      <c r="V101" s="699">
        <f>U101+V102</f>
        <v>1825.6789730000007</v>
      </c>
      <c r="W101" s="693">
        <f t="shared" ref="W101:AF101" si="32">V101+W102</f>
        <v>1832.3789730000008</v>
      </c>
      <c r="X101" s="693">
        <f t="shared" si="32"/>
        <v>1839.0789730000008</v>
      </c>
      <c r="Y101" s="693">
        <f t="shared" si="32"/>
        <v>1888.4225177000008</v>
      </c>
      <c r="Z101" s="693">
        <f t="shared" si="32"/>
        <v>1895.1225177000008</v>
      </c>
      <c r="AA101" s="693">
        <f t="shared" si="32"/>
        <v>1901.8225177000008</v>
      </c>
      <c r="AB101" s="693">
        <f t="shared" si="32"/>
        <v>1908.5225177000009</v>
      </c>
      <c r="AC101" s="693">
        <f t="shared" si="32"/>
        <v>1944.8697280960009</v>
      </c>
      <c r="AD101" s="693">
        <f t="shared" si="32"/>
        <v>1951.569728096001</v>
      </c>
      <c r="AE101" s="693">
        <f t="shared" si="32"/>
        <v>1958.269728096001</v>
      </c>
      <c r="AF101" s="693">
        <f t="shared" si="32"/>
        <v>1964.9697280960011</v>
      </c>
      <c r="AG101" s="503"/>
    </row>
    <row r="102" spans="2:33" ht="20.5" customHeight="1" x14ac:dyDescent="0.35">
      <c r="B102" s="694" t="s">
        <v>1807</v>
      </c>
      <c r="C102" s="239"/>
      <c r="D102" s="708"/>
      <c r="E102" s="436"/>
      <c r="F102" s="436"/>
      <c r="G102" s="436"/>
      <c r="H102" s="436"/>
      <c r="I102" s="436"/>
      <c r="J102" s="676"/>
      <c r="K102" s="676"/>
      <c r="L102" s="676"/>
      <c r="M102" s="701"/>
      <c r="N102" s="676"/>
      <c r="O102" s="676"/>
      <c r="P102" s="676"/>
      <c r="Q102" s="701"/>
      <c r="R102" s="676"/>
      <c r="S102" s="676"/>
      <c r="T102" s="676"/>
      <c r="U102" s="676">
        <f>U103+U104</f>
        <v>113.32885299999995</v>
      </c>
      <c r="V102" s="676">
        <f>V103+V104</f>
        <v>6.69999999999997</v>
      </c>
      <c r="W102" s="658">
        <f t="shared" ref="W102:AF102" si="33">W103+W108*W105</f>
        <v>6.69999999999997</v>
      </c>
      <c r="X102" s="658">
        <f t="shared" si="33"/>
        <v>6.69999999999997</v>
      </c>
      <c r="Y102" s="658">
        <f t="shared" si="33"/>
        <v>49.34354469999996</v>
      </c>
      <c r="Z102" s="658">
        <f t="shared" si="33"/>
        <v>6.69999999999997</v>
      </c>
      <c r="AA102" s="658">
        <f t="shared" si="33"/>
        <v>6.69999999999997</v>
      </c>
      <c r="AB102" s="658">
        <f t="shared" si="33"/>
        <v>6.69999999999997</v>
      </c>
      <c r="AC102" s="658">
        <f t="shared" si="33"/>
        <v>36.347210395999973</v>
      </c>
      <c r="AD102" s="658">
        <f t="shared" si="33"/>
        <v>6.69999999999997</v>
      </c>
      <c r="AE102" s="658">
        <f t="shared" si="33"/>
        <v>6.69999999999997</v>
      </c>
      <c r="AF102" s="658">
        <f t="shared" si="33"/>
        <v>6.69999999999997</v>
      </c>
      <c r="AG102" s="503"/>
    </row>
    <row r="103" spans="2:33" ht="28.4" customHeight="1" x14ac:dyDescent="0.35">
      <c r="B103" s="695" t="s">
        <v>1804</v>
      </c>
      <c r="C103" s="239"/>
      <c r="D103" s="708"/>
      <c r="E103" s="436"/>
      <c r="F103" s="436"/>
      <c r="G103" s="436"/>
      <c r="H103" s="436"/>
      <c r="I103" s="436"/>
      <c r="J103" s="676"/>
      <c r="K103" s="676"/>
      <c r="L103" s="676"/>
      <c r="M103" s="701"/>
      <c r="N103" s="676"/>
      <c r="O103" s="676"/>
      <c r="P103" s="676"/>
      <c r="Q103" s="701"/>
      <c r="R103" s="676"/>
      <c r="S103" s="676"/>
      <c r="T103" s="676"/>
      <c r="U103" s="676">
        <f>($H$101-$E$101)/3</f>
        <v>6.69999999999997</v>
      </c>
      <c r="V103" s="676">
        <f>($H$101-$E$101)/3</f>
        <v>6.69999999999997</v>
      </c>
      <c r="W103" s="658">
        <f t="shared" ref="W103:AF103" si="34">V103</f>
        <v>6.69999999999997</v>
      </c>
      <c r="X103" s="658">
        <f t="shared" si="34"/>
        <v>6.69999999999997</v>
      </c>
      <c r="Y103" s="658">
        <f t="shared" si="34"/>
        <v>6.69999999999997</v>
      </c>
      <c r="Z103" s="658">
        <f t="shared" si="34"/>
        <v>6.69999999999997</v>
      </c>
      <c r="AA103" s="658">
        <f t="shared" si="34"/>
        <v>6.69999999999997</v>
      </c>
      <c r="AB103" s="658">
        <f t="shared" si="34"/>
        <v>6.69999999999997</v>
      </c>
      <c r="AC103" s="658">
        <f t="shared" si="34"/>
        <v>6.69999999999997</v>
      </c>
      <c r="AD103" s="658">
        <f t="shared" si="34"/>
        <v>6.69999999999997</v>
      </c>
      <c r="AE103" s="658">
        <f t="shared" si="34"/>
        <v>6.69999999999997</v>
      </c>
      <c r="AF103" s="658">
        <f t="shared" si="34"/>
        <v>6.69999999999997</v>
      </c>
      <c r="AG103" s="503"/>
    </row>
    <row r="104" spans="2:33" ht="30.65" customHeight="1" x14ac:dyDescent="0.35">
      <c r="B104" s="696" t="s">
        <v>1805</v>
      </c>
      <c r="C104" s="697"/>
      <c r="D104" s="702"/>
      <c r="E104" s="664"/>
      <c r="F104" s="664"/>
      <c r="G104" s="664"/>
      <c r="H104" s="664"/>
      <c r="I104" s="664"/>
      <c r="J104" s="703"/>
      <c r="K104" s="703"/>
      <c r="L104" s="703"/>
      <c r="M104" s="704"/>
      <c r="N104" s="703"/>
      <c r="O104" s="703"/>
      <c r="P104" s="703"/>
      <c r="Q104" s="704"/>
      <c r="R104" s="703"/>
      <c r="S104" s="703"/>
      <c r="T104" s="703"/>
      <c r="U104" s="703">
        <f>U108*T105</f>
        <v>106.62885299999998</v>
      </c>
      <c r="V104" s="703">
        <f>V108*U105</f>
        <v>0</v>
      </c>
      <c r="W104" s="705">
        <f t="shared" ref="W104:AF104" si="35">W108*V105</f>
        <v>0</v>
      </c>
      <c r="X104" s="705">
        <f t="shared" si="35"/>
        <v>0</v>
      </c>
      <c r="Y104" s="705">
        <f>Y108*X105</f>
        <v>41.168489999999998</v>
      </c>
      <c r="Z104" s="705">
        <f t="shared" si="35"/>
        <v>0</v>
      </c>
      <c r="AA104" s="705">
        <f t="shared" si="35"/>
        <v>0</v>
      </c>
      <c r="AB104" s="705">
        <f t="shared" si="35"/>
        <v>0</v>
      </c>
      <c r="AC104" s="705">
        <f t="shared" si="35"/>
        <v>28.909029799999999</v>
      </c>
      <c r="AD104" s="705">
        <f t="shared" si="35"/>
        <v>0</v>
      </c>
      <c r="AE104" s="705">
        <f t="shared" si="35"/>
        <v>0</v>
      </c>
      <c r="AF104" s="705">
        <f t="shared" si="35"/>
        <v>0</v>
      </c>
      <c r="AG104" s="503"/>
    </row>
    <row r="105" spans="2:33" ht="17.5" customHeight="1" x14ac:dyDescent="0.35">
      <c r="B105" s="548" t="s">
        <v>474</v>
      </c>
      <c r="C105" s="239" t="s">
        <v>475</v>
      </c>
      <c r="D105" s="708">
        <f>'Haver Pivoted'!GO88/1000</f>
        <v>983.86099999999999</v>
      </c>
      <c r="E105" s="436">
        <f>'Haver Pivoted'!GP88/1000</f>
        <v>1019.19</v>
      </c>
      <c r="F105" s="436">
        <f>'Haver Pivoted'!GQ88/1000</f>
        <v>1026.704</v>
      </c>
      <c r="G105" s="436">
        <f>'Haver Pivoted'!GR88/1000</f>
        <v>1034.4169999999999</v>
      </c>
      <c r="H105" s="436">
        <f>'Haver Pivoted'!GS88/1000</f>
        <v>1042.6610000000001</v>
      </c>
      <c r="I105" s="436">
        <f>'Haver Pivoted'!GT88/1000</f>
        <v>1068.201</v>
      </c>
      <c r="J105" s="436">
        <f>'Haver Pivoted'!GU88/1000</f>
        <v>1075.075</v>
      </c>
      <c r="K105" s="436">
        <f>'Haver Pivoted'!GV88/1000</f>
        <v>1080.441</v>
      </c>
      <c r="L105" s="436">
        <f>'Haver Pivoted'!GW88/1000</f>
        <v>1087.9949999999999</v>
      </c>
      <c r="M105" s="436">
        <f>'Haver Pivoted'!GX88/1000</f>
        <v>1105.6379999999999</v>
      </c>
      <c r="N105" s="436">
        <f>'Haver Pivoted'!GY88/1000</f>
        <v>1109.6400000000001</v>
      </c>
      <c r="O105" s="436">
        <f>'Haver Pivoted'!GZ88/1000</f>
        <v>1116.9480000000001</v>
      </c>
      <c r="P105" s="436">
        <f>'Haver Pivoted'!HA88/1000</f>
        <v>1126.174</v>
      </c>
      <c r="Q105" s="436">
        <f>'Haver Pivoted'!HB88/1000</f>
        <v>1198.452</v>
      </c>
      <c r="R105" s="436">
        <f>'Haver Pivoted'!HC88/1000</f>
        <v>1207.163</v>
      </c>
      <c r="S105" s="675">
        <f>'Haver Pivoted'!HD88/1000</f>
        <v>1214.7809999999999</v>
      </c>
      <c r="T105" s="675">
        <f>'Haver Pivoted'!HE88/1000</f>
        <v>1225.6189999999999</v>
      </c>
      <c r="U105" s="675">
        <f>'Haver Pivoted'!HF88/1000</f>
        <v>1339.904</v>
      </c>
      <c r="V105" s="675">
        <f>'Haver Pivoted'!HG88/1000</f>
        <v>1353.2829999999999</v>
      </c>
      <c r="W105" s="658">
        <f t="shared" ref="W105:AF105" si="36">V105+W106</f>
        <v>1364.2829999999999</v>
      </c>
      <c r="X105" s="658">
        <f t="shared" si="36"/>
        <v>1372.2829999999999</v>
      </c>
      <c r="Y105" s="658">
        <f t="shared" si="36"/>
        <v>1421.4514899999999</v>
      </c>
      <c r="Z105" s="658">
        <f t="shared" si="36"/>
        <v>1429.4514899999999</v>
      </c>
      <c r="AA105" s="658">
        <f t="shared" si="36"/>
        <v>1437.4514899999999</v>
      </c>
      <c r="AB105" s="658">
        <f t="shared" si="36"/>
        <v>1445.4514899999999</v>
      </c>
      <c r="AC105" s="658">
        <f t="shared" si="36"/>
        <v>1482.3605198</v>
      </c>
      <c r="AD105" s="658">
        <f t="shared" si="36"/>
        <v>1491.3605198</v>
      </c>
      <c r="AE105" s="658">
        <f t="shared" si="36"/>
        <v>1501.3605198</v>
      </c>
      <c r="AF105" s="658">
        <f t="shared" si="36"/>
        <v>1512.3605198</v>
      </c>
      <c r="AG105" s="503"/>
    </row>
    <row r="106" spans="2:33" ht="17.5" customHeight="1" x14ac:dyDescent="0.35">
      <c r="B106" s="422" t="s">
        <v>1806</v>
      </c>
      <c r="C106" s="239"/>
      <c r="D106" s="708"/>
      <c r="E106" s="436"/>
      <c r="F106" s="436"/>
      <c r="G106" s="436"/>
      <c r="H106" s="436"/>
      <c r="I106" s="436"/>
      <c r="J106" s="436"/>
      <c r="K106" s="436"/>
      <c r="L106" s="436"/>
      <c r="M106" s="436"/>
      <c r="N106" s="436"/>
      <c r="O106" s="436"/>
      <c r="P106" s="436"/>
      <c r="Q106" s="436"/>
      <c r="R106" s="436"/>
      <c r="S106" s="675"/>
      <c r="T106" s="675"/>
      <c r="U106" s="675">
        <f>U104+U107</f>
        <v>114.62885299999998</v>
      </c>
      <c r="V106" s="675">
        <f>V104+V107</f>
        <v>8</v>
      </c>
      <c r="W106" s="658">
        <f t="shared" ref="W106:AF106" si="37">W104+W107</f>
        <v>11</v>
      </c>
      <c r="X106" s="658">
        <f t="shared" si="37"/>
        <v>8</v>
      </c>
      <c r="Y106" s="658">
        <f>Y104+Y107</f>
        <v>49.168489999999998</v>
      </c>
      <c r="Z106" s="658">
        <f t="shared" si="37"/>
        <v>8</v>
      </c>
      <c r="AA106" s="658">
        <f t="shared" si="37"/>
        <v>8</v>
      </c>
      <c r="AB106" s="658">
        <f t="shared" si="37"/>
        <v>8</v>
      </c>
      <c r="AC106" s="658">
        <f t="shared" si="37"/>
        <v>36.909029799999999</v>
      </c>
      <c r="AD106" s="658">
        <f t="shared" si="37"/>
        <v>9</v>
      </c>
      <c r="AE106" s="658">
        <f t="shared" si="37"/>
        <v>10</v>
      </c>
      <c r="AF106" s="658">
        <f t="shared" si="37"/>
        <v>11</v>
      </c>
      <c r="AG106" s="503"/>
    </row>
    <row r="107" spans="2:33" ht="17.5" customHeight="1" x14ac:dyDescent="0.35">
      <c r="B107" s="413" t="s">
        <v>1809</v>
      </c>
      <c r="C107" s="239"/>
      <c r="D107" s="708"/>
      <c r="E107" s="436"/>
      <c r="F107" s="436"/>
      <c r="G107" s="436"/>
      <c r="H107" s="436"/>
      <c r="I107" s="436"/>
      <c r="J107" s="436"/>
      <c r="K107" s="436"/>
      <c r="L107" s="436"/>
      <c r="M107" s="436"/>
      <c r="N107" s="436"/>
      <c r="O107" s="436"/>
      <c r="P107" s="436"/>
      <c r="Q107" s="436"/>
      <c r="R107" s="436"/>
      <c r="S107" s="675"/>
      <c r="T107" s="675"/>
      <c r="U107" s="675">
        <v>8</v>
      </c>
      <c r="V107" s="675">
        <v>8</v>
      </c>
      <c r="W107" s="658">
        <v>11</v>
      </c>
      <c r="X107" s="658">
        <v>8</v>
      </c>
      <c r="Y107" s="658">
        <v>8</v>
      </c>
      <c r="Z107" s="658">
        <v>8</v>
      </c>
      <c r="AA107" s="658">
        <v>8</v>
      </c>
      <c r="AB107" s="658">
        <v>8</v>
      </c>
      <c r="AC107" s="658">
        <v>8</v>
      </c>
      <c r="AD107" s="658">
        <v>9</v>
      </c>
      <c r="AE107" s="658">
        <v>10</v>
      </c>
      <c r="AF107" s="658">
        <v>11</v>
      </c>
      <c r="AG107" s="503"/>
    </row>
    <row r="108" spans="2:33" ht="39" customHeight="1" x14ac:dyDescent="0.35">
      <c r="B108" s="413" t="s">
        <v>1810</v>
      </c>
      <c r="C108" s="239"/>
      <c r="D108" s="708"/>
      <c r="E108" s="436"/>
      <c r="F108" s="436"/>
      <c r="G108" s="436"/>
      <c r="H108" s="436"/>
      <c r="I108" s="664"/>
      <c r="J108" s="664"/>
      <c r="K108" s="664"/>
      <c r="L108" s="664"/>
      <c r="M108" s="664"/>
      <c r="N108" s="664"/>
      <c r="O108" s="664"/>
      <c r="P108" s="664"/>
      <c r="Q108" s="664"/>
      <c r="R108" s="664"/>
      <c r="S108" s="706"/>
      <c r="T108" s="706"/>
      <c r="U108" s="677">
        <v>8.6999999999999994E-2</v>
      </c>
      <c r="V108" s="665">
        <v>0</v>
      </c>
      <c r="W108" s="707">
        <v>0</v>
      </c>
      <c r="X108" s="707">
        <v>0</v>
      </c>
      <c r="Y108" s="707">
        <v>0.03</v>
      </c>
      <c r="Z108" s="707">
        <v>0</v>
      </c>
      <c r="AA108" s="707">
        <v>0</v>
      </c>
      <c r="AB108" s="707">
        <v>0</v>
      </c>
      <c r="AC108" s="707">
        <v>0.02</v>
      </c>
      <c r="AD108" s="707">
        <v>0</v>
      </c>
      <c r="AE108" s="707">
        <v>0</v>
      </c>
      <c r="AF108" s="707">
        <v>0</v>
      </c>
      <c r="AG108" s="503"/>
    </row>
    <row r="109" spans="2:33" ht="49.75" customHeight="1" x14ac:dyDescent="0.35">
      <c r="B109" s="477" t="s">
        <v>1431</v>
      </c>
      <c r="C109" s="239"/>
      <c r="D109" s="708">
        <f t="shared" ref="D109:T109" si="38">D100-D101</f>
        <v>0</v>
      </c>
      <c r="E109" s="436">
        <f t="shared" si="38"/>
        <v>0</v>
      </c>
      <c r="F109" s="436">
        <f t="shared" si="38"/>
        <v>0</v>
      </c>
      <c r="G109" s="436">
        <f t="shared" si="38"/>
        <v>0</v>
      </c>
      <c r="H109" s="436">
        <f t="shared" si="38"/>
        <v>0</v>
      </c>
      <c r="I109" s="436">
        <f t="shared" si="38"/>
        <v>-6.9120000000000346</v>
      </c>
      <c r="J109" s="436">
        <f t="shared" si="38"/>
        <v>-37.9549999999997</v>
      </c>
      <c r="K109" s="436">
        <f t="shared" si="38"/>
        <v>85.725999999999658</v>
      </c>
      <c r="L109" s="436">
        <f t="shared" si="38"/>
        <v>18.405999999999722</v>
      </c>
      <c r="M109" s="436">
        <f t="shared" si="38"/>
        <v>20.282000000000153</v>
      </c>
      <c r="N109" s="436">
        <f t="shared" si="38"/>
        <v>-8.5988400000003367</v>
      </c>
      <c r="O109" s="436">
        <f t="shared" si="38"/>
        <v>-12.537493333333487</v>
      </c>
      <c r="P109" s="436">
        <f t="shared" si="38"/>
        <v>-32.38033333333351</v>
      </c>
      <c r="Q109" s="436">
        <f t="shared" si="38"/>
        <v>72.734879999999521</v>
      </c>
      <c r="R109" s="436">
        <f t="shared" si="38"/>
        <v>75.236879999999019</v>
      </c>
      <c r="S109" s="675">
        <f t="shared" si="38"/>
        <v>65.424879999999348</v>
      </c>
      <c r="T109" s="675">
        <f t="shared" si="38"/>
        <v>112.01587999999924</v>
      </c>
      <c r="U109" s="675">
        <f>U100-U101</f>
        <v>77.109026999999287</v>
      </c>
      <c r="V109" s="675">
        <f>V100-V101</f>
        <v>91.266026999999212</v>
      </c>
      <c r="W109" s="658">
        <f t="shared" ref="W109:AF109" si="39">V109</f>
        <v>91.266026999999212</v>
      </c>
      <c r="X109" s="658">
        <f t="shared" si="39"/>
        <v>91.266026999999212</v>
      </c>
      <c r="Y109" s="658">
        <f t="shared" si="39"/>
        <v>91.266026999999212</v>
      </c>
      <c r="Z109" s="658">
        <f t="shared" si="39"/>
        <v>91.266026999999212</v>
      </c>
      <c r="AA109" s="658">
        <f t="shared" si="39"/>
        <v>91.266026999999212</v>
      </c>
      <c r="AB109" s="658">
        <f t="shared" si="39"/>
        <v>91.266026999999212</v>
      </c>
      <c r="AC109" s="658">
        <f t="shared" si="39"/>
        <v>91.266026999999212</v>
      </c>
      <c r="AD109" s="658">
        <f t="shared" si="39"/>
        <v>91.266026999999212</v>
      </c>
      <c r="AE109" s="658">
        <f t="shared" si="39"/>
        <v>91.266026999999212</v>
      </c>
      <c r="AF109" s="658">
        <f t="shared" si="39"/>
        <v>91.266026999999212</v>
      </c>
      <c r="AG109" s="503"/>
    </row>
    <row r="110" spans="2:33" ht="29.5" customHeight="1" x14ac:dyDescent="0.35">
      <c r="B110" s="279"/>
      <c r="C110" s="239"/>
      <c r="D110" s="224"/>
      <c r="E110" s="224"/>
      <c r="F110" s="224"/>
      <c r="G110" s="224"/>
      <c r="H110" s="224"/>
      <c r="I110" s="224"/>
      <c r="J110" s="224"/>
      <c r="K110" s="224"/>
      <c r="L110" s="224"/>
      <c r="M110" s="224"/>
      <c r="N110" s="224"/>
      <c r="O110" s="224"/>
      <c r="P110" s="224"/>
      <c r="Q110" s="224"/>
      <c r="R110" s="224"/>
      <c r="S110" s="224"/>
      <c r="T110" s="224"/>
      <c r="U110" s="224"/>
      <c r="V110" s="224"/>
      <c r="W110" s="224"/>
      <c r="X110" s="224"/>
      <c r="Y110" s="224"/>
      <c r="Z110" s="224"/>
      <c r="AA110" s="224"/>
      <c r="AB110" s="224"/>
      <c r="AC110" s="224"/>
    </row>
    <row r="111" spans="2:33" ht="16.75" customHeight="1" x14ac:dyDescent="0.35">
      <c r="B111" s="239"/>
      <c r="C111" s="239"/>
      <c r="S111" s="546"/>
      <c r="T111" s="546"/>
      <c r="U111" s="239"/>
      <c r="V111" s="239"/>
      <c r="W111" s="239"/>
      <c r="X111" s="239"/>
      <c r="Y111" s="239"/>
      <c r="Z111" s="239"/>
      <c r="AA111" s="239"/>
      <c r="AB111" s="239"/>
      <c r="AC111" s="239"/>
    </row>
    <row r="112" spans="2:33" ht="16.75" customHeight="1" x14ac:dyDescent="0.35">
      <c r="B112" s="239"/>
      <c r="C112" s="239"/>
      <c r="S112" s="224"/>
      <c r="T112" s="224"/>
      <c r="U112" s="239"/>
      <c r="V112" s="239"/>
      <c r="W112" s="239"/>
      <c r="X112" s="239"/>
      <c r="Y112" s="239"/>
      <c r="Z112" s="239"/>
      <c r="AA112" s="239"/>
      <c r="AB112" s="239"/>
      <c r="AC112" s="239"/>
    </row>
    <row r="113" spans="2:30" ht="16.75" customHeight="1" x14ac:dyDescent="0.35">
      <c r="B113" s="239"/>
      <c r="C113" s="239"/>
      <c r="S113" s="224"/>
      <c r="T113" s="224"/>
      <c r="U113" s="239"/>
      <c r="V113" s="239"/>
      <c r="W113" s="239"/>
      <c r="X113" s="239"/>
      <c r="Y113" s="239"/>
      <c r="Z113" s="239"/>
      <c r="AA113" s="239"/>
      <c r="AB113" s="239"/>
      <c r="AC113" s="239"/>
    </row>
    <row r="114" spans="2:30" ht="16.75" customHeight="1" x14ac:dyDescent="0.35">
      <c r="B114" s="239"/>
      <c r="C114" s="239"/>
      <c r="S114" s="224"/>
      <c r="T114" s="224"/>
      <c r="U114" s="436"/>
      <c r="V114" s="436"/>
      <c r="W114" s="436"/>
      <c r="X114" s="436"/>
      <c r="Y114" s="436"/>
      <c r="Z114" s="436"/>
      <c r="AA114" s="436"/>
      <c r="AB114" s="436"/>
      <c r="AC114" s="436"/>
      <c r="AD114" s="515"/>
    </row>
    <row r="115" spans="2:30" ht="16.75" customHeight="1" x14ac:dyDescent="0.35">
      <c r="B115" s="220"/>
      <c r="C115" s="239"/>
      <c r="S115" s="224"/>
      <c r="T115" s="224"/>
      <c r="U115" s="224"/>
      <c r="V115" s="224"/>
      <c r="W115" s="224"/>
      <c r="X115" s="224"/>
      <c r="Y115" s="224"/>
      <c r="Z115" s="224"/>
      <c r="AA115" s="224"/>
      <c r="AB115" s="224"/>
      <c r="AC115" s="224"/>
      <c r="AD115" s="515"/>
    </row>
    <row r="116" spans="2:30" ht="16.75" customHeight="1" x14ac:dyDescent="0.35">
      <c r="B116" s="220"/>
      <c r="C116" s="239"/>
      <c r="S116" s="224"/>
      <c r="T116" s="224"/>
      <c r="U116" s="224"/>
      <c r="V116" s="224"/>
      <c r="W116" s="224"/>
      <c r="X116" s="224"/>
      <c r="Y116" s="224"/>
      <c r="Z116" s="224"/>
      <c r="AA116" s="224"/>
      <c r="AB116" s="224"/>
      <c r="AC116" s="224"/>
      <c r="AD116" s="515"/>
    </row>
    <row r="117" spans="2:30" ht="16.75" customHeight="1" x14ac:dyDescent="0.35">
      <c r="B117" s="220"/>
      <c r="C117" s="239"/>
      <c r="S117" s="224"/>
      <c r="T117" s="224"/>
      <c r="U117" s="224"/>
      <c r="V117" s="224"/>
      <c r="W117" s="224"/>
      <c r="X117" s="224"/>
      <c r="Y117" s="224"/>
      <c r="Z117" s="224"/>
      <c r="AA117" s="224"/>
      <c r="AB117" s="224"/>
      <c r="AC117" s="224"/>
      <c r="AD117" s="515"/>
    </row>
    <row r="118" spans="2:30" ht="16.75" customHeight="1" x14ac:dyDescent="0.35">
      <c r="B118" s="239"/>
      <c r="C118" s="239"/>
      <c r="S118" s="239"/>
      <c r="T118" s="239"/>
      <c r="U118" s="436"/>
      <c r="V118" s="436"/>
      <c r="W118" s="436"/>
      <c r="X118" s="436"/>
      <c r="Y118" s="436"/>
      <c r="Z118" s="436"/>
      <c r="AA118" s="436"/>
      <c r="AB118" s="436"/>
      <c r="AC118" s="436"/>
      <c r="AD118" s="515"/>
    </row>
    <row r="119" spans="2:30" ht="16.75" customHeight="1" x14ac:dyDescent="0.35">
      <c r="B119" s="220"/>
      <c r="C119" s="239"/>
      <c r="S119" s="239"/>
      <c r="T119" s="239"/>
      <c r="U119" s="436"/>
      <c r="V119" s="436"/>
      <c r="W119" s="436"/>
      <c r="X119" s="436"/>
      <c r="Y119" s="436"/>
      <c r="Z119" s="436"/>
      <c r="AA119" s="436"/>
      <c r="AB119" s="436"/>
      <c r="AC119" s="436"/>
      <c r="AD119" s="515"/>
    </row>
    <row r="120" spans="2:30" ht="16.75" customHeight="1" x14ac:dyDescent="0.35">
      <c r="B120" s="220"/>
      <c r="C120" s="239"/>
      <c r="S120" s="239"/>
      <c r="T120" s="239"/>
      <c r="U120" s="224"/>
      <c r="V120" s="224"/>
      <c r="W120" s="224"/>
      <c r="X120" s="224"/>
      <c r="Y120" s="224"/>
      <c r="Z120" s="224"/>
      <c r="AA120" s="224"/>
      <c r="AB120" s="224"/>
      <c r="AC120" s="224"/>
      <c r="AD120" s="515"/>
    </row>
    <row r="121" spans="2:30" ht="16.75" customHeight="1" x14ac:dyDescent="0.35">
      <c r="B121" s="220"/>
      <c r="C121" s="239"/>
      <c r="S121" s="239"/>
      <c r="T121" s="239"/>
      <c r="U121" s="678"/>
      <c r="V121" s="678"/>
      <c r="W121" s="678"/>
      <c r="X121" s="678"/>
      <c r="Y121" s="678"/>
      <c r="Z121" s="678"/>
      <c r="AA121" s="678"/>
      <c r="AB121" s="678"/>
      <c r="AC121" s="678"/>
      <c r="AD121" s="515"/>
    </row>
    <row r="122" spans="2:30" ht="16.75" customHeight="1" x14ac:dyDescent="0.35">
      <c r="B122" s="239"/>
      <c r="C122" s="239"/>
      <c r="S122" s="224"/>
      <c r="T122" s="224"/>
      <c r="U122" s="224"/>
      <c r="V122" s="224"/>
      <c r="W122" s="224"/>
      <c r="X122" s="224"/>
      <c r="Y122" s="224"/>
      <c r="Z122" s="224"/>
      <c r="AA122" s="224"/>
      <c r="AB122" s="224"/>
      <c r="AC122" s="224"/>
      <c r="AD122" s="515"/>
    </row>
    <row r="123" spans="2:30" ht="22.5" customHeight="1" x14ac:dyDescent="0.35">
      <c r="B123" s="279"/>
      <c r="C123" s="239"/>
      <c r="D123" s="224"/>
      <c r="E123" s="224"/>
      <c r="F123" s="224"/>
      <c r="G123" s="224"/>
      <c r="H123" s="224"/>
      <c r="I123" s="224"/>
      <c r="J123" s="224"/>
      <c r="K123" s="224"/>
      <c r="L123" s="224"/>
      <c r="M123" s="224"/>
      <c r="N123" s="224"/>
      <c r="O123" s="224"/>
      <c r="P123" s="224"/>
      <c r="Q123" s="224"/>
      <c r="R123" s="224"/>
      <c r="S123" s="224"/>
      <c r="T123" s="224"/>
      <c r="U123" s="224"/>
      <c r="V123" s="224"/>
      <c r="W123" s="224"/>
      <c r="X123" s="224"/>
      <c r="Y123" s="224"/>
      <c r="Z123" s="224"/>
      <c r="AA123" s="224"/>
      <c r="AB123" s="224"/>
      <c r="AC123" s="224"/>
    </row>
    <row r="124" spans="2:30" ht="22.5" customHeight="1" x14ac:dyDescent="0.35">
      <c r="B124" s="279"/>
      <c r="C124" s="239"/>
      <c r="D124" s="224"/>
      <c r="E124" s="224"/>
      <c r="F124" s="224"/>
      <c r="G124" s="224"/>
      <c r="H124" s="224"/>
      <c r="I124" s="224"/>
      <c r="J124" s="224"/>
      <c r="K124" s="224"/>
      <c r="L124" s="224"/>
      <c r="M124" s="224"/>
      <c r="N124" s="224"/>
      <c r="O124" s="224"/>
      <c r="P124" s="224"/>
      <c r="Q124" s="224"/>
      <c r="R124" s="224"/>
      <c r="S124" s="224"/>
      <c r="T124" s="224"/>
      <c r="U124" s="224"/>
      <c r="V124" s="224"/>
      <c r="W124" s="224"/>
      <c r="X124" s="224"/>
      <c r="Y124" s="224"/>
      <c r="Z124" s="224"/>
      <c r="AA124" s="224"/>
      <c r="AB124" s="224"/>
      <c r="AC124" s="224"/>
    </row>
    <row r="125" spans="2:30" ht="38.5" customHeight="1" x14ac:dyDescent="0.35">
      <c r="B125" s="486"/>
      <c r="C125" s="710">
        <v>2022</v>
      </c>
      <c r="D125" s="711">
        <v>2023</v>
      </c>
      <c r="E125" s="711">
        <v>2024</v>
      </c>
      <c r="F125" s="712">
        <v>2025</v>
      </c>
      <c r="G125" s="224">
        <v>2026</v>
      </c>
      <c r="H125" s="224"/>
      <c r="I125" s="224"/>
      <c r="J125" s="224"/>
      <c r="K125" s="224"/>
      <c r="L125" s="224"/>
      <c r="M125" s="224"/>
      <c r="N125" s="224"/>
      <c r="O125" s="224"/>
      <c r="P125" s="224"/>
      <c r="Q125" s="224"/>
      <c r="R125" s="224"/>
      <c r="S125" s="224"/>
      <c r="T125" s="224"/>
      <c r="U125" s="224"/>
      <c r="V125" s="224"/>
      <c r="W125" s="224"/>
      <c r="X125" s="224"/>
      <c r="Y125" s="224"/>
      <c r="Z125" s="224"/>
      <c r="AA125" s="224"/>
      <c r="AB125" s="224"/>
      <c r="AC125" s="224"/>
    </row>
    <row r="126" spans="2:30" ht="38.5" customHeight="1" x14ac:dyDescent="0.35">
      <c r="B126" s="524" t="s">
        <v>1803</v>
      </c>
      <c r="C126" s="263">
        <v>1212.4870000000001</v>
      </c>
      <c r="D126" s="263">
        <v>1344.7529999999999</v>
      </c>
      <c r="E126" s="263">
        <v>1456.7</v>
      </c>
      <c r="F126" s="263">
        <v>1553.5309999999999</v>
      </c>
      <c r="G126" s="263">
        <v>1643.9870000000001</v>
      </c>
      <c r="H126" s="224"/>
      <c r="I126" s="224"/>
      <c r="J126" s="224"/>
      <c r="K126" s="224"/>
      <c r="L126" s="224"/>
      <c r="M126" s="224"/>
      <c r="N126" s="224"/>
      <c r="O126" s="224"/>
      <c r="P126" s="224"/>
      <c r="Q126" s="224"/>
      <c r="R126" s="224"/>
      <c r="S126" s="224"/>
      <c r="T126" s="224"/>
      <c r="U126" s="224"/>
      <c r="V126" s="224"/>
      <c r="W126" s="224"/>
      <c r="X126" s="224"/>
      <c r="Y126" s="224"/>
      <c r="Z126" s="224"/>
      <c r="AA126" s="224"/>
      <c r="AB126" s="224"/>
      <c r="AC126" s="224"/>
    </row>
    <row r="127" spans="2:30" ht="69" customHeight="1" x14ac:dyDescent="0.35">
      <c r="B127" s="279"/>
      <c r="C127" s="239"/>
      <c r="D127" s="224"/>
      <c r="E127" s="224"/>
      <c r="F127" s="224"/>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row>
    <row r="128" spans="2:30" x14ac:dyDescent="0.35">
      <c r="B128" s="76" t="s">
        <v>1430</v>
      </c>
      <c r="D128" s="239"/>
      <c r="E128" s="239"/>
      <c r="F128" s="239"/>
      <c r="G128" s="239"/>
      <c r="H128" s="239"/>
      <c r="I128" s="239"/>
      <c r="J128" s="239"/>
      <c r="K128" s="239"/>
      <c r="L128" s="239"/>
      <c r="M128" s="224"/>
      <c r="N128" s="224"/>
      <c r="O128" s="224"/>
      <c r="P128" s="239"/>
    </row>
    <row r="129" spans="2:18" x14ac:dyDescent="0.35">
      <c r="B129" s="560" t="s">
        <v>807</v>
      </c>
      <c r="C129" s="659"/>
      <c r="D129" s="724">
        <v>2021</v>
      </c>
      <c r="E129" s="724">
        <v>2022</v>
      </c>
      <c r="F129" s="724">
        <v>2023</v>
      </c>
      <c r="G129" s="725">
        <v>2024</v>
      </c>
      <c r="R129" s="515"/>
    </row>
    <row r="130" spans="2:18" x14ac:dyDescent="0.35">
      <c r="B130" s="626" t="s">
        <v>808</v>
      </c>
      <c r="C130" s="731"/>
      <c r="D130" s="719">
        <v>3605.8330000000001</v>
      </c>
      <c r="E130" s="719">
        <v>2900</v>
      </c>
      <c r="F130" s="719">
        <f>E130*1.02</f>
        <v>2958</v>
      </c>
      <c r="G130" s="720">
        <f>F130*1.06</f>
        <v>3135.48</v>
      </c>
    </row>
    <row r="131" spans="2:18" x14ac:dyDescent="0.35">
      <c r="B131" s="626" t="s">
        <v>811</v>
      </c>
      <c r="C131" s="721"/>
      <c r="D131" s="714">
        <f>AVERAGE(Medicare!L10:O10)</f>
        <v>862.99999999999989</v>
      </c>
      <c r="E131" s="714">
        <f>AVERAGE(Medicare!P10:S10)</f>
        <v>921</v>
      </c>
      <c r="F131" s="714">
        <f>AVERAGE(Medicare!T10:W10)</f>
        <v>990.32499999999993</v>
      </c>
      <c r="G131" s="729">
        <f>AVERAGE(Medicare!X10:AA10)</f>
        <v>1060.45</v>
      </c>
    </row>
    <row r="132" spans="2:18" ht="13.4" customHeight="1" x14ac:dyDescent="0.35">
      <c r="B132" s="626" t="s">
        <v>809</v>
      </c>
      <c r="C132" s="721"/>
      <c r="D132" s="714">
        <f>D130-D131</f>
        <v>2742.8330000000001</v>
      </c>
      <c r="E132" s="714">
        <f t="shared" ref="E132:G132" si="40">E130-E131</f>
        <v>1979</v>
      </c>
      <c r="F132" s="714">
        <f t="shared" si="40"/>
        <v>1967.6750000000002</v>
      </c>
      <c r="G132" s="729">
        <f t="shared" si="40"/>
        <v>2075.0299999999997</v>
      </c>
    </row>
    <row r="133" spans="2:18" x14ac:dyDescent="0.35">
      <c r="B133" s="626" t="s">
        <v>812</v>
      </c>
      <c r="C133" s="721"/>
      <c r="D133" s="714">
        <f>AVERAGE(L12:O12)</f>
        <v>3637.2999999999997</v>
      </c>
      <c r="E133" s="714">
        <f>AVERAGE(P12:S12)</f>
        <v>2967.5250000000001</v>
      </c>
      <c r="F133" s="714">
        <f>AVERAGE(T12:W12)</f>
        <v>3086.4962499999997</v>
      </c>
      <c r="G133" s="729">
        <f>AVERAGE(X12:AA12)</f>
        <v>3320.0816585250004</v>
      </c>
    </row>
    <row r="134" spans="2:18" x14ac:dyDescent="0.35">
      <c r="B134" s="626" t="s">
        <v>811</v>
      </c>
      <c r="C134" s="721"/>
      <c r="D134" s="714">
        <f>AVERAGE(Medicare!L10:O10)</f>
        <v>862.99999999999989</v>
      </c>
      <c r="E134" s="714">
        <f>AVERAGE(Medicare!P10:S10)</f>
        <v>921</v>
      </c>
      <c r="F134" s="714">
        <f>AVERAGE(Medicare!T10:W10)</f>
        <v>990.32499999999993</v>
      </c>
      <c r="G134" s="729">
        <f>AVERAGE(Medicare!X10:AA10)</f>
        <v>1060.45</v>
      </c>
    </row>
    <row r="135" spans="2:18" x14ac:dyDescent="0.35">
      <c r="B135" s="626" t="s">
        <v>531</v>
      </c>
      <c r="C135" s="721"/>
      <c r="D135" s="714">
        <f>AVERAGE(L39:O39)</f>
        <v>1585.7822500000004</v>
      </c>
      <c r="E135" s="714">
        <f>AVERAGE(P39:S39)</f>
        <v>1670.9233400000005</v>
      </c>
      <c r="F135" s="714">
        <f>AVERAGE(T39:W39)</f>
        <v>1795.6717597500008</v>
      </c>
      <c r="G135" s="729">
        <f>AVERAGE(X39:AA39)</f>
        <v>1881.1116315250006</v>
      </c>
    </row>
    <row r="136" spans="2:18" ht="27.65" customHeight="1" x14ac:dyDescent="0.35">
      <c r="B136" s="722" t="s">
        <v>810</v>
      </c>
      <c r="C136" s="356"/>
      <c r="D136" s="616"/>
      <c r="E136" s="726">
        <v>1.157</v>
      </c>
      <c r="F136" s="726">
        <v>1.0109999999999999</v>
      </c>
      <c r="G136" s="730">
        <v>1.0529999999999999</v>
      </c>
    </row>
    <row r="137" spans="2:18" x14ac:dyDescent="0.35">
      <c r="B137" s="239" t="s">
        <v>813</v>
      </c>
      <c r="D137" s="727">
        <f>D133-D130</f>
        <v>31.466999999999643</v>
      </c>
      <c r="E137" s="727">
        <f>E133-E130</f>
        <v>67.525000000000091</v>
      </c>
      <c r="F137" s="727">
        <f>F133-F130</f>
        <v>128.49624999999969</v>
      </c>
      <c r="G137" s="727">
        <f t="shared" ref="G137" si="41">G133-G130</f>
        <v>184.6016585250004</v>
      </c>
    </row>
    <row r="139" spans="2:18" x14ac:dyDescent="0.35">
      <c r="B139" t="s">
        <v>808</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workbookViewId="0">
      <selection activeCell="AA15" sqref="AA15"/>
    </sheetView>
  </sheetViews>
  <sheetFormatPr defaultColWidth="10.90625" defaultRowHeight="14.5" x14ac:dyDescent="0.35"/>
  <sheetData>
    <row r="1" spans="13:27" x14ac:dyDescent="0.35">
      <c r="M1" s="76" t="s">
        <v>1859</v>
      </c>
      <c r="S1" s="76" t="s">
        <v>1860</v>
      </c>
      <c r="Z1" t="s">
        <v>1891</v>
      </c>
      <c r="AA1" t="s">
        <v>1892</v>
      </c>
    </row>
    <row r="2" spans="13:27" x14ac:dyDescent="0.35">
      <c r="M2" t="s">
        <v>1861</v>
      </c>
      <c r="Q2">
        <v>2952.3</v>
      </c>
      <c r="S2" t="s">
        <v>1861</v>
      </c>
      <c r="X2">
        <v>2952.3</v>
      </c>
      <c r="Z2">
        <v>2917.6753774795288</v>
      </c>
      <c r="AA2" s="547">
        <v>2928.3</v>
      </c>
    </row>
    <row r="3" spans="13:27" x14ac:dyDescent="0.35">
      <c r="M3" t="s">
        <v>1862</v>
      </c>
      <c r="P3" t="s">
        <v>1863</v>
      </c>
      <c r="Q3">
        <v>23.1</v>
      </c>
      <c r="S3" t="s">
        <v>1862</v>
      </c>
      <c r="W3" t="s">
        <v>1863</v>
      </c>
      <c r="X3">
        <v>23.1</v>
      </c>
      <c r="Z3">
        <v>22.62857142857143</v>
      </c>
      <c r="AA3">
        <v>22.62857142857143</v>
      </c>
    </row>
    <row r="4" spans="13:27" x14ac:dyDescent="0.35">
      <c r="M4" t="s">
        <v>55</v>
      </c>
      <c r="P4" t="s">
        <v>1863</v>
      </c>
      <c r="Q4">
        <v>967.3</v>
      </c>
      <c r="S4" t="s">
        <v>55</v>
      </c>
      <c r="W4" t="s">
        <v>1863</v>
      </c>
      <c r="X4">
        <v>967.3</v>
      </c>
      <c r="Z4">
        <v>944.50347271762462</v>
      </c>
      <c r="AA4">
        <v>946.3</v>
      </c>
    </row>
    <row r="5" spans="13:27" x14ac:dyDescent="0.35">
      <c r="M5" t="s">
        <v>56</v>
      </c>
      <c r="P5" t="s">
        <v>1863</v>
      </c>
      <c r="Q5">
        <v>0</v>
      </c>
      <c r="S5" t="s">
        <v>56</v>
      </c>
      <c r="W5" t="s">
        <v>1863</v>
      </c>
      <c r="X5">
        <v>0</v>
      </c>
      <c r="Z5">
        <v>0</v>
      </c>
      <c r="AA5">
        <v>0</v>
      </c>
    </row>
    <row r="6" spans="13:27" x14ac:dyDescent="0.35">
      <c r="M6" t="s">
        <v>1864</v>
      </c>
      <c r="P6" t="s">
        <v>1863</v>
      </c>
      <c r="Q6">
        <v>0</v>
      </c>
      <c r="S6" t="s">
        <v>1864</v>
      </c>
      <c r="W6" t="s">
        <v>1863</v>
      </c>
      <c r="X6">
        <v>0</v>
      </c>
      <c r="Z6">
        <v>0</v>
      </c>
      <c r="AA6">
        <v>0</v>
      </c>
    </row>
    <row r="7" spans="13:27" x14ac:dyDescent="0.35">
      <c r="Q7">
        <f>Q2-SUM(Q3:Q6)</f>
        <v>1961.9</v>
      </c>
      <c r="X7">
        <f>X2-SUM(X3:X6)</f>
        <v>1961.9</v>
      </c>
      <c r="Z7">
        <f>Z2-SUM(Z3:Z6)</f>
        <v>1950.5433333333328</v>
      </c>
      <c r="AA7">
        <f>AA2-SUM(AA3:AA6)</f>
        <v>1959.3714285714289</v>
      </c>
    </row>
    <row r="8" spans="13:27" x14ac:dyDescent="0.35">
      <c r="S8" t="s">
        <v>1865</v>
      </c>
      <c r="W8" t="s">
        <v>1863</v>
      </c>
      <c r="X8">
        <v>34</v>
      </c>
    </row>
    <row r="9" spans="13:27" x14ac:dyDescent="0.35">
      <c r="S9" t="s">
        <v>1865</v>
      </c>
      <c r="W9" t="s">
        <v>1866</v>
      </c>
      <c r="X9">
        <v>34</v>
      </c>
    </row>
    <row r="10" spans="13:27" x14ac:dyDescent="0.35">
      <c r="S10" t="s">
        <v>1867</v>
      </c>
      <c r="W10" t="s">
        <v>1863</v>
      </c>
      <c r="X10">
        <v>37.700000000000003</v>
      </c>
    </row>
    <row r="11" spans="13:27" x14ac:dyDescent="0.35">
      <c r="S11" t="s">
        <v>1867</v>
      </c>
      <c r="W11" t="s">
        <v>1866</v>
      </c>
      <c r="X11">
        <v>37.700000000000003</v>
      </c>
    </row>
    <row r="12" spans="13:27" x14ac:dyDescent="0.35">
      <c r="S12" t="s">
        <v>469</v>
      </c>
      <c r="W12" t="s">
        <v>1863</v>
      </c>
      <c r="X12">
        <v>0</v>
      </c>
    </row>
    <row r="13" spans="13:27" x14ac:dyDescent="0.35">
      <c r="S13" t="s">
        <v>469</v>
      </c>
      <c r="W13" t="s">
        <v>1866</v>
      </c>
      <c r="X13">
        <v>0</v>
      </c>
    </row>
    <row r="14" spans="13:27" x14ac:dyDescent="0.35">
      <c r="S14" t="s">
        <v>1869</v>
      </c>
      <c r="W14" t="s">
        <v>1863</v>
      </c>
      <c r="X14">
        <v>21.9</v>
      </c>
    </row>
    <row r="15" spans="13:27" x14ac:dyDescent="0.35">
      <c r="S15" t="s">
        <v>1869</v>
      </c>
      <c r="W15" t="s">
        <v>1866</v>
      </c>
      <c r="X15">
        <f>X8-X9+X10-X11+X12-X13+X14</f>
        <v>21.9</v>
      </c>
      <c r="Z15">
        <v>21.9</v>
      </c>
      <c r="AA15">
        <v>21.89</v>
      </c>
    </row>
    <row r="16" spans="13:27" x14ac:dyDescent="0.35">
      <c r="X16">
        <f>X7-X8+X9-X10+X11-X12+X13-X14+X15</f>
        <v>1961.9</v>
      </c>
    </row>
    <row r="17" spans="13:27" x14ac:dyDescent="0.35">
      <c r="S17" t="s">
        <v>1868</v>
      </c>
      <c r="W17" t="s">
        <v>1863</v>
      </c>
      <c r="X17">
        <v>12</v>
      </c>
      <c r="Z17">
        <v>12</v>
      </c>
      <c r="AA17">
        <v>12</v>
      </c>
    </row>
    <row r="18" spans="13:27" x14ac:dyDescent="0.35">
      <c r="S18" t="s">
        <v>218</v>
      </c>
      <c r="W18" t="s">
        <v>1863</v>
      </c>
      <c r="X18">
        <v>1.4</v>
      </c>
      <c r="Z18">
        <v>1.4</v>
      </c>
      <c r="AA18">
        <v>1.4</v>
      </c>
    </row>
    <row r="19" spans="13:27" x14ac:dyDescent="0.35">
      <c r="X19">
        <f>X16-X17-X18</f>
        <v>1948.5</v>
      </c>
      <c r="Z19">
        <f>Z7-Z17-Z18+Z15</f>
        <v>1959.0433333333328</v>
      </c>
      <c r="AA19">
        <f>AA7-AA17-AA18+AA15</f>
        <v>1967.8614285714289</v>
      </c>
    </row>
    <row r="21" spans="13:27" x14ac:dyDescent="0.35">
      <c r="M21" s="76" t="s">
        <v>1870</v>
      </c>
    </row>
    <row r="22" spans="13:27" x14ac:dyDescent="0.35">
      <c r="M22" s="743" t="s">
        <v>123</v>
      </c>
      <c r="N22" s="498"/>
      <c r="O22" s="498"/>
      <c r="P22" s="498"/>
      <c r="Q22" s="498"/>
      <c r="R22" s="498"/>
      <c r="S22" s="498"/>
      <c r="T22" s="498"/>
      <c r="U22" s="498"/>
      <c r="V22" s="498"/>
      <c r="W22" s="448"/>
    </row>
    <row r="23" spans="13:27" x14ac:dyDescent="0.35">
      <c r="M23" s="744" t="s">
        <v>1879</v>
      </c>
      <c r="W23" s="225"/>
    </row>
    <row r="24" spans="13:27" x14ac:dyDescent="0.35">
      <c r="M24" s="744" t="s">
        <v>1878</v>
      </c>
      <c r="N24" s="107"/>
      <c r="O24" s="107"/>
      <c r="P24" s="107"/>
      <c r="Q24" s="107"/>
      <c r="R24" s="107"/>
      <c r="S24" s="107"/>
      <c r="T24" s="107"/>
      <c r="U24" s="107"/>
      <c r="V24" s="107"/>
      <c r="W24" s="745"/>
      <c r="X24" s="107"/>
      <c r="Y24" s="107"/>
    </row>
    <row r="25" spans="13:27" x14ac:dyDescent="0.35">
      <c r="M25" s="41" t="s">
        <v>203</v>
      </c>
      <c r="W25" s="225"/>
    </row>
    <row r="26" spans="13:27" x14ac:dyDescent="0.35">
      <c r="M26" s="41" t="s">
        <v>205</v>
      </c>
      <c r="W26" s="225"/>
    </row>
    <row r="27" spans="13:27" x14ac:dyDescent="0.35">
      <c r="M27" s="41" t="s">
        <v>56</v>
      </c>
      <c r="W27" s="225"/>
    </row>
    <row r="28" spans="13:27" x14ac:dyDescent="0.35">
      <c r="M28" s="41" t="s">
        <v>214</v>
      </c>
      <c r="W28" s="225"/>
    </row>
    <row r="29" spans="13:27" x14ac:dyDescent="0.35">
      <c r="M29" s="41" t="s">
        <v>1871</v>
      </c>
      <c r="W29" s="225"/>
    </row>
    <row r="30" spans="13:27" x14ac:dyDescent="0.35">
      <c r="M30" s="746" t="s">
        <v>1872</v>
      </c>
      <c r="N30" s="35"/>
      <c r="O30" s="35"/>
      <c r="P30" s="35"/>
      <c r="Q30" s="35"/>
      <c r="R30" s="35"/>
      <c r="S30" s="35"/>
      <c r="T30" s="35"/>
      <c r="U30" s="35"/>
      <c r="V30" s="35"/>
      <c r="W30" s="226"/>
      <c r="X30" t="s">
        <v>1873</v>
      </c>
    </row>
    <row r="31" spans="13:27" x14ac:dyDescent="0.35">
      <c r="M31" s="747" t="s">
        <v>1868</v>
      </c>
      <c r="N31" s="498"/>
      <c r="O31" s="498"/>
      <c r="P31" s="498"/>
      <c r="Q31" s="498"/>
      <c r="R31" s="498"/>
      <c r="S31" s="498"/>
      <c r="T31" s="498"/>
      <c r="U31" s="498"/>
      <c r="V31" s="498"/>
      <c r="W31" s="448"/>
    </row>
    <row r="32" spans="13:27" x14ac:dyDescent="0.35">
      <c r="M32" s="746" t="s">
        <v>218</v>
      </c>
      <c r="N32" s="35"/>
      <c r="O32" s="35"/>
      <c r="P32" s="35"/>
      <c r="Q32" s="35"/>
      <c r="R32" s="35"/>
      <c r="S32" s="35"/>
      <c r="T32" s="35"/>
      <c r="U32" s="35"/>
      <c r="V32" s="35"/>
      <c r="W32" s="226"/>
      <c r="X32" t="s">
        <v>1874</v>
      </c>
    </row>
    <row r="33" spans="13:24" x14ac:dyDescent="0.35">
      <c r="M33" s="747" t="s">
        <v>135</v>
      </c>
      <c r="N33" s="498"/>
      <c r="O33" s="498"/>
      <c r="P33" s="498"/>
      <c r="Q33" s="498"/>
      <c r="R33" s="498"/>
      <c r="S33" s="498"/>
      <c r="T33" s="498"/>
      <c r="U33" s="498"/>
      <c r="V33" s="498"/>
      <c r="W33" s="448"/>
    </row>
    <row r="34" spans="13:24" x14ac:dyDescent="0.35">
      <c r="M34" s="41" t="s">
        <v>136</v>
      </c>
      <c r="W34" s="225"/>
    </row>
    <row r="35" spans="13:24" x14ac:dyDescent="0.35">
      <c r="M35" s="41" t="s">
        <v>1875</v>
      </c>
      <c r="W35" s="225"/>
    </row>
    <row r="36" spans="13:24" x14ac:dyDescent="0.35">
      <c r="M36" s="41" t="s">
        <v>129</v>
      </c>
      <c r="W36" s="225"/>
    </row>
    <row r="37" spans="13:24" x14ac:dyDescent="0.35">
      <c r="M37" s="746" t="s">
        <v>1876</v>
      </c>
      <c r="N37" s="35"/>
      <c r="O37" s="35"/>
      <c r="P37" s="35"/>
      <c r="Q37" s="35"/>
      <c r="R37" s="35"/>
      <c r="S37" s="35"/>
      <c r="T37" s="35"/>
      <c r="U37" s="35"/>
      <c r="V37" s="35"/>
      <c r="W37" s="226"/>
      <c r="X37" t="s">
        <v>1877</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Q1" workbookViewId="0">
      <selection activeCell="AG26" sqref="AG26"/>
    </sheetView>
  </sheetViews>
  <sheetFormatPr defaultColWidth="10.90625" defaultRowHeight="14.5" x14ac:dyDescent="0.35"/>
  <sheetData>
    <row r="1" spans="2:40" x14ac:dyDescent="0.35">
      <c r="B1" s="1271" t="s">
        <v>1910</v>
      </c>
      <c r="C1" s="1271"/>
      <c r="D1" s="1271"/>
      <c r="E1" s="1271"/>
      <c r="F1" s="1271"/>
      <c r="G1" s="1271"/>
      <c r="H1" s="1271"/>
      <c r="I1" s="1271"/>
      <c r="J1" s="1271"/>
      <c r="K1" s="1271"/>
      <c r="L1" s="1271"/>
      <c r="M1" s="1271"/>
      <c r="N1" s="1271"/>
      <c r="O1" s="1271"/>
      <c r="P1" s="1271"/>
      <c r="Q1" s="1271"/>
      <c r="R1" s="1271"/>
      <c r="S1" s="1271"/>
      <c r="T1" s="1271"/>
      <c r="U1" s="1271"/>
      <c r="V1" s="1271"/>
      <c r="W1" s="1271"/>
      <c r="X1" s="1271"/>
      <c r="Y1" s="1271"/>
      <c r="Z1" s="1271"/>
      <c r="AA1" s="1271"/>
      <c r="AB1" s="1271"/>
      <c r="AC1" s="1271"/>
    </row>
    <row r="2" spans="2:40" ht="14.25" customHeight="1" x14ac:dyDescent="0.35">
      <c r="B2" s="1360" t="s">
        <v>1911</v>
      </c>
      <c r="C2" s="1360"/>
      <c r="D2" s="1360"/>
      <c r="E2" s="1360"/>
      <c r="F2" s="1360"/>
      <c r="G2" s="1360"/>
      <c r="H2" s="1360"/>
      <c r="I2" s="1360"/>
      <c r="J2" s="1360"/>
      <c r="K2" s="1360"/>
      <c r="L2" s="1360"/>
      <c r="M2" s="1360"/>
      <c r="N2" s="1360"/>
      <c r="O2" s="1360"/>
      <c r="P2" s="1360"/>
      <c r="Q2" s="1360"/>
      <c r="R2" s="1360"/>
      <c r="S2" s="594"/>
      <c r="T2" s="1361"/>
      <c r="U2" s="1361"/>
      <c r="V2" s="1361"/>
      <c r="W2" s="1361"/>
      <c r="X2" s="1361"/>
      <c r="Y2" s="1361"/>
      <c r="Z2" s="1361"/>
      <c r="AA2" s="1361"/>
      <c r="AB2" s="1361"/>
      <c r="AC2" s="1361"/>
    </row>
    <row r="3" spans="2:40" x14ac:dyDescent="0.35">
      <c r="B3" s="1360"/>
      <c r="C3" s="1360"/>
      <c r="D3" s="1360"/>
      <c r="E3" s="1360"/>
      <c r="F3" s="1360"/>
      <c r="G3" s="1360"/>
      <c r="H3" s="1360"/>
      <c r="I3" s="1360"/>
      <c r="J3" s="1360"/>
      <c r="K3" s="1360"/>
      <c r="L3" s="1360"/>
      <c r="M3" s="1360"/>
      <c r="N3" s="1360"/>
      <c r="O3" s="1360"/>
      <c r="P3" s="1360"/>
      <c r="Q3" s="1360"/>
      <c r="R3" s="1360"/>
      <c r="S3" s="594"/>
      <c r="T3" s="1361"/>
      <c r="U3" s="1361"/>
      <c r="V3" s="1361"/>
      <c r="W3" s="1361"/>
      <c r="X3" s="1361"/>
      <c r="Y3" s="1361"/>
      <c r="Z3" s="1361"/>
      <c r="AA3" s="1361"/>
      <c r="AB3" s="1361"/>
      <c r="AC3" s="1361"/>
    </row>
    <row r="4" spans="2:40" ht="21" customHeight="1" x14ac:dyDescent="0.35">
      <c r="B4" s="1360"/>
      <c r="C4" s="1360"/>
      <c r="D4" s="1360"/>
      <c r="E4" s="1360"/>
      <c r="F4" s="1360"/>
      <c r="G4" s="1360"/>
      <c r="H4" s="1360"/>
      <c r="I4" s="1360"/>
      <c r="J4" s="1360"/>
      <c r="K4" s="1360"/>
      <c r="L4" s="1360"/>
      <c r="M4" s="1360"/>
      <c r="N4" s="1360"/>
      <c r="O4" s="1360"/>
      <c r="P4" s="1360"/>
      <c r="Q4" s="1360"/>
      <c r="R4" s="1360"/>
      <c r="S4" s="594"/>
      <c r="T4" s="1361"/>
      <c r="U4" s="1361"/>
      <c r="V4" s="1361"/>
      <c r="W4" s="1361"/>
      <c r="X4" s="1361"/>
      <c r="Y4" s="1361"/>
      <c r="Z4" s="1361"/>
      <c r="AA4" s="1361"/>
      <c r="AB4" s="1361"/>
      <c r="AC4" s="1361"/>
    </row>
    <row r="6" spans="2:40" x14ac:dyDescent="0.35">
      <c r="B6" s="512" t="s">
        <v>332</v>
      </c>
    </row>
    <row r="7" spans="2:40" ht="14.9" customHeight="1" x14ac:dyDescent="0.35">
      <c r="B7" s="1276" t="s">
        <v>1881</v>
      </c>
      <c r="C7" s="1277"/>
      <c r="D7" s="1280" t="s">
        <v>279</v>
      </c>
      <c r="E7" s="1290"/>
      <c r="F7" s="1290"/>
      <c r="G7" s="1290"/>
      <c r="H7" s="1290"/>
      <c r="I7" s="1290"/>
      <c r="J7" s="1290"/>
      <c r="K7" s="1290"/>
      <c r="L7" s="1290"/>
      <c r="M7" s="1290"/>
      <c r="N7" s="1290"/>
      <c r="O7" s="1290"/>
      <c r="P7" s="1290"/>
      <c r="Q7" s="1290"/>
      <c r="R7" s="1290"/>
      <c r="S7" s="1290"/>
      <c r="T7" s="1290"/>
      <c r="U7" s="1291"/>
      <c r="V7" s="1279"/>
      <c r="W7" s="1302" t="s">
        <v>280</v>
      </c>
      <c r="X7" s="1303"/>
      <c r="Y7" s="1303"/>
      <c r="Z7" s="1303"/>
      <c r="AA7" s="1303"/>
      <c r="AB7" s="1303"/>
      <c r="AC7" s="1303"/>
      <c r="AD7" s="1303"/>
      <c r="AE7" s="1303"/>
      <c r="AF7" s="1303"/>
      <c r="AG7" s="1303"/>
      <c r="AH7" s="1303"/>
      <c r="AI7" s="1303"/>
      <c r="AJ7" s="1303"/>
    </row>
    <row r="8" spans="2:40" x14ac:dyDescent="0.35">
      <c r="B8" s="1278"/>
      <c r="C8" s="1279"/>
      <c r="D8" s="215">
        <v>2018</v>
      </c>
      <c r="E8" s="1282">
        <v>2019</v>
      </c>
      <c r="F8" s="1283"/>
      <c r="G8" s="1283"/>
      <c r="H8" s="1284"/>
      <c r="I8" s="1282">
        <v>2020</v>
      </c>
      <c r="J8" s="1283"/>
      <c r="K8" s="1283"/>
      <c r="L8" s="1283"/>
      <c r="M8" s="1282">
        <v>2021</v>
      </c>
      <c r="N8" s="1283"/>
      <c r="O8" s="1283"/>
      <c r="P8" s="1305"/>
      <c r="Q8" s="1282">
        <v>2022</v>
      </c>
      <c r="R8" s="1305"/>
      <c r="S8" s="1305"/>
      <c r="T8" s="1305"/>
      <c r="U8" s="238"/>
      <c r="V8" s="284">
        <v>2023</v>
      </c>
      <c r="W8" s="285"/>
      <c r="X8" s="257"/>
      <c r="Y8" s="1269">
        <v>2024</v>
      </c>
      <c r="Z8" s="1292"/>
      <c r="AA8" s="1292"/>
      <c r="AB8" s="1270"/>
      <c r="AC8" s="1268">
        <v>2025</v>
      </c>
      <c r="AD8" s="1292"/>
      <c r="AE8" s="1292"/>
      <c r="AF8" s="1270"/>
      <c r="AG8" s="1268">
        <v>2026</v>
      </c>
      <c r="AH8" s="1292"/>
      <c r="AI8" s="1292"/>
      <c r="AJ8" s="1270"/>
    </row>
    <row r="9" spans="2:40" x14ac:dyDescent="0.35">
      <c r="B9" s="1280"/>
      <c r="C9" s="1281"/>
      <c r="D9" s="212" t="s">
        <v>281</v>
      </c>
      <c r="E9" s="212" t="s">
        <v>282</v>
      </c>
      <c r="F9" s="213" t="s">
        <v>283</v>
      </c>
      <c r="G9" s="213" t="s">
        <v>238</v>
      </c>
      <c r="H9" s="214" t="s">
        <v>281</v>
      </c>
      <c r="I9" s="213" t="s">
        <v>282</v>
      </c>
      <c r="J9" s="213" t="s">
        <v>283</v>
      </c>
      <c r="K9" s="213" t="s">
        <v>238</v>
      </c>
      <c r="L9" s="213" t="s">
        <v>281</v>
      </c>
      <c r="M9" s="212" t="s">
        <v>282</v>
      </c>
      <c r="N9" s="213" t="s">
        <v>283</v>
      </c>
      <c r="O9" s="213" t="s">
        <v>238</v>
      </c>
      <c r="P9" s="213" t="s">
        <v>281</v>
      </c>
      <c r="Q9" s="212" t="s">
        <v>282</v>
      </c>
      <c r="R9" s="213" t="s">
        <v>283</v>
      </c>
      <c r="S9" s="213" t="s">
        <v>238</v>
      </c>
      <c r="T9" s="213" t="s">
        <v>281</v>
      </c>
      <c r="U9" s="281" t="s">
        <v>282</v>
      </c>
      <c r="V9" s="282" t="s">
        <v>283</v>
      </c>
      <c r="W9" s="267" t="s">
        <v>238</v>
      </c>
      <c r="X9" s="268" t="s">
        <v>281</v>
      </c>
      <c r="Y9" s="267" t="s">
        <v>282</v>
      </c>
      <c r="Z9" s="264" t="s">
        <v>283</v>
      </c>
      <c r="AA9" s="267" t="s">
        <v>238</v>
      </c>
      <c r="AB9" s="267" t="s">
        <v>281</v>
      </c>
      <c r="AC9" s="266" t="s">
        <v>282</v>
      </c>
      <c r="AD9" s="264" t="s">
        <v>283</v>
      </c>
      <c r="AE9" s="267" t="s">
        <v>238</v>
      </c>
      <c r="AF9" s="267" t="s">
        <v>281</v>
      </c>
      <c r="AG9" s="266" t="s">
        <v>282</v>
      </c>
      <c r="AH9" s="264" t="s">
        <v>283</v>
      </c>
      <c r="AI9" s="267" t="s">
        <v>238</v>
      </c>
      <c r="AJ9" s="268" t="s">
        <v>281</v>
      </c>
    </row>
    <row r="10" spans="2:40" x14ac:dyDescent="0.35">
      <c r="S10" s="760" t="s">
        <v>184</v>
      </c>
      <c r="T10" s="760" t="s">
        <v>185</v>
      </c>
      <c r="U10" s="760" t="s">
        <v>186</v>
      </c>
      <c r="V10" s="760" t="s">
        <v>187</v>
      </c>
      <c r="W10" s="760" t="s">
        <v>188</v>
      </c>
      <c r="X10" s="760" t="s">
        <v>189</v>
      </c>
      <c r="Y10" s="760" t="s">
        <v>190</v>
      </c>
      <c r="Z10" s="760" t="s">
        <v>191</v>
      </c>
      <c r="AA10" s="760" t="s">
        <v>175</v>
      </c>
      <c r="AB10" s="760" t="s">
        <v>176</v>
      </c>
      <c r="AC10" s="760" t="s">
        <v>177</v>
      </c>
      <c r="AD10" s="760" t="s">
        <v>764</v>
      </c>
      <c r="AE10" s="760" t="s">
        <v>765</v>
      </c>
      <c r="AF10" s="760" t="s">
        <v>766</v>
      </c>
      <c r="AG10" s="760" t="s">
        <v>1156</v>
      </c>
      <c r="AH10" s="760" t="s">
        <v>1157</v>
      </c>
      <c r="AI10" s="760" t="s">
        <v>1158</v>
      </c>
      <c r="AJ10" s="760" t="s">
        <v>1159</v>
      </c>
    </row>
    <row r="11" spans="2:40" x14ac:dyDescent="0.35">
      <c r="S11" s="759"/>
      <c r="T11" s="759"/>
      <c r="U11" s="759"/>
      <c r="V11" s="759"/>
      <c r="W11" s="759"/>
      <c r="X11" s="759"/>
      <c r="Y11" s="759"/>
      <c r="Z11" s="759"/>
      <c r="AA11" s="759"/>
      <c r="AB11" s="759"/>
      <c r="AC11" s="759"/>
      <c r="AD11" s="759"/>
      <c r="AE11" s="759"/>
      <c r="AF11" s="759"/>
      <c r="AG11" s="759"/>
      <c r="AH11" s="759"/>
    </row>
    <row r="12" spans="2:40" x14ac:dyDescent="0.35">
      <c r="B12" s="759" t="s">
        <v>1854</v>
      </c>
      <c r="P12" t="s">
        <v>1854</v>
      </c>
      <c r="S12" s="135">
        <v>4.0506371546650453</v>
      </c>
      <c r="T12" s="135">
        <v>6.7510619244417409</v>
      </c>
      <c r="U12" s="135">
        <v>25.428999915397224</v>
      </c>
      <c r="V12" s="135">
        <v>38.481052969317929</v>
      </c>
      <c r="W12" s="135">
        <v>51.308070625757232</v>
      </c>
      <c r="X12" s="135">
        <v>56.236345830599703</v>
      </c>
      <c r="Y12" s="135">
        <v>63.685017487233758</v>
      </c>
      <c r="Z12" s="135">
        <v>69.310902424268548</v>
      </c>
      <c r="AA12" s="135">
        <v>64.357873325703125</v>
      </c>
      <c r="AB12" s="135">
        <v>57.18149450002155</v>
      </c>
      <c r="AC12" s="135">
        <v>59.094295378613374</v>
      </c>
      <c r="AD12" s="135">
        <v>70.233547553942245</v>
      </c>
      <c r="AE12" s="135">
        <v>81.462813888263668</v>
      </c>
      <c r="AF12" s="135">
        <v>86.188557235372897</v>
      </c>
      <c r="AG12" s="135">
        <v>105.31656602129117</v>
      </c>
      <c r="AH12" s="135">
        <v>120.73149074876648</v>
      </c>
      <c r="AI12" s="135">
        <v>126.01869741259176</v>
      </c>
      <c r="AJ12" s="135">
        <v>123.55455981017052</v>
      </c>
      <c r="AK12" s="135">
        <v>112.20152400723433</v>
      </c>
      <c r="AL12" s="135">
        <v>93.984908581115704</v>
      </c>
      <c r="AM12" s="135">
        <v>72.945224093593026</v>
      </c>
      <c r="AN12" s="135">
        <v>47.054901613358936</v>
      </c>
    </row>
    <row r="13" spans="2:40" x14ac:dyDescent="0.35">
      <c r="B13" s="759" t="s">
        <v>1855</v>
      </c>
      <c r="P13" t="s">
        <v>1855</v>
      </c>
      <c r="S13" s="134">
        <f>Deflators!S71</f>
        <v>1.1690178087443976</v>
      </c>
      <c r="T13" s="134">
        <f>Deflators!T71</f>
        <v>1.1809720922261624</v>
      </c>
      <c r="U13" s="134">
        <f>Deflators!U71</f>
        <v>1.1930855683769892</v>
      </c>
      <c r="V13" s="134">
        <f>Deflators!V71</f>
        <v>1.2004353606715503</v>
      </c>
      <c r="W13" s="134">
        <f>Deflators!W71</f>
        <v>1.208137684815088</v>
      </c>
      <c r="X13" s="134">
        <f>Deflators!X71</f>
        <v>1.2135025374197232</v>
      </c>
      <c r="Y13" s="134">
        <f>Deflators!Y71</f>
        <v>1.2236809385660088</v>
      </c>
      <c r="Z13" s="134">
        <f>Deflators!Z71</f>
        <v>1.233275799935512</v>
      </c>
      <c r="AA13" s="134">
        <f>Deflators!AA71</f>
        <v>1.2401475124550019</v>
      </c>
      <c r="AB13" s="134">
        <f>Deflators!AB71</f>
        <v>1.246450659789168</v>
      </c>
      <c r="AC13" s="134">
        <f>Deflators!AC71</f>
        <v>1.2531877614899707</v>
      </c>
      <c r="AD13" s="134">
        <f>Deflators!AD71</f>
        <v>1.2598936725213026</v>
      </c>
      <c r="AE13" s="134">
        <f>Deflators!AE71</f>
        <v>1.2663663310581259</v>
      </c>
      <c r="AF13" s="134">
        <f>Deflators!AF71</f>
        <v>1.2726857847671909</v>
      </c>
      <c r="AG13" s="134">
        <f>Deflators!AG71</f>
        <v>1.2789269673291086</v>
      </c>
      <c r="AH13" s="758">
        <f>Deflators!AH71</f>
        <v>1.2851218883804243</v>
      </c>
      <c r="AI13" s="758">
        <f>Deflators!AI71</f>
        <v>1.291282552879325</v>
      </c>
      <c r="AJ13" s="757"/>
    </row>
    <row r="14" spans="2:40" x14ac:dyDescent="0.35">
      <c r="B14" s="759" t="s">
        <v>1856</v>
      </c>
      <c r="P14" t="s">
        <v>1856</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501">
        <f t="shared" si="0"/>
        <v>155.1546813780385</v>
      </c>
      <c r="AI14" s="501">
        <f t="shared" si="0"/>
        <v>162.72574530545867</v>
      </c>
      <c r="AJ14" s="501">
        <f t="shared" si="0"/>
        <v>0</v>
      </c>
    </row>
    <row r="15" spans="2:40" x14ac:dyDescent="0.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row>
    <row r="16" spans="2:40" x14ac:dyDescent="0.35">
      <c r="S16" s="135">
        <v>4.0506371546650453</v>
      </c>
      <c r="T16" s="135">
        <v>6.7510619244417409</v>
      </c>
      <c r="U16" s="135">
        <v>25.428999915397224</v>
      </c>
      <c r="V16" s="135">
        <v>38.481052969317929</v>
      </c>
      <c r="W16" s="135">
        <v>51.308070625757232</v>
      </c>
      <c r="X16" s="135">
        <v>56.236345830599703</v>
      </c>
      <c r="Y16" s="135">
        <v>63.685017487233758</v>
      </c>
      <c r="Z16" s="135">
        <v>69.310902424268548</v>
      </c>
      <c r="AA16" s="135">
        <v>64.357873325703125</v>
      </c>
      <c r="AB16" s="135">
        <v>57.18149450002155</v>
      </c>
      <c r="AC16" s="135">
        <v>59.094295378613374</v>
      </c>
      <c r="AD16" s="135">
        <v>70.233547553942245</v>
      </c>
      <c r="AE16" s="135">
        <v>81.462813888263668</v>
      </c>
      <c r="AF16" s="135">
        <v>86.188557235372897</v>
      </c>
      <c r="AG16" s="135">
        <v>105.31656602129117</v>
      </c>
      <c r="AH16" s="135">
        <v>120.73149074876648</v>
      </c>
      <c r="AI16" s="135">
        <v>126.01869741259176</v>
      </c>
      <c r="AJ16" s="135">
        <v>123.55455981017052</v>
      </c>
      <c r="AK16" s="135">
        <v>112.20152400723433</v>
      </c>
      <c r="AL16" s="135">
        <v>93.984908581115704</v>
      </c>
      <c r="AM16" s="135">
        <v>72.945224093593026</v>
      </c>
      <c r="AN16" s="135">
        <v>47.054901613358936</v>
      </c>
    </row>
    <row r="18" spans="2:34" x14ac:dyDescent="0.35">
      <c r="P18" t="s">
        <v>1974</v>
      </c>
      <c r="S18" s="756">
        <v>9.676624590017175</v>
      </c>
      <c r="T18" s="756">
        <v>9.6670597070816413</v>
      </c>
      <c r="U18" s="756">
        <v>29.968874069165178</v>
      </c>
      <c r="V18" s="756">
        <v>48.407564583050345</v>
      </c>
      <c r="W18" s="756">
        <v>68.860864510897471</v>
      </c>
      <c r="X18" s="756">
        <v>88.107434654608909</v>
      </c>
      <c r="Y18" s="756">
        <v>101.08174054588757</v>
      </c>
      <c r="Z18" s="756">
        <v>103.56513754278419</v>
      </c>
      <c r="AA18" s="756">
        <v>106.00637033635157</v>
      </c>
      <c r="AB18" s="756">
        <v>108.38917414017335</v>
      </c>
      <c r="AC18" s="756">
        <v>110.69246087615031</v>
      </c>
      <c r="AD18" s="756">
        <v>112.950351679587</v>
      </c>
      <c r="AE18" s="756">
        <v>115.16440141682602</v>
      </c>
      <c r="AF18" s="756">
        <v>117.3462460140392</v>
      </c>
      <c r="AG18" s="756">
        <v>118.525001293339</v>
      </c>
      <c r="AH18" s="757">
        <f>AG18</f>
        <v>118.525001293339</v>
      </c>
    </row>
    <row r="19" spans="2:34" x14ac:dyDescent="0.35">
      <c r="S19" s="135"/>
    </row>
    <row r="20" spans="2:34" x14ac:dyDescent="0.35">
      <c r="S20" s="135"/>
    </row>
    <row r="21" spans="2:34" x14ac:dyDescent="0.35">
      <c r="S21" s="135"/>
    </row>
    <row r="22" spans="2:34" x14ac:dyDescent="0.35">
      <c r="S22" s="135"/>
    </row>
    <row r="23" spans="2:34" x14ac:dyDescent="0.35">
      <c r="B23" s="629"/>
      <c r="C23" s="629"/>
      <c r="D23" s="629"/>
      <c r="E23" s="629"/>
      <c r="H23" s="629"/>
      <c r="I23" s="629"/>
      <c r="J23" s="629"/>
      <c r="K23" t="s">
        <v>1953</v>
      </c>
      <c r="S23" s="135"/>
    </row>
    <row r="24" spans="2:34" ht="29.15" customHeight="1" x14ac:dyDescent="0.35">
      <c r="B24" s="629"/>
      <c r="C24" s="733" t="s">
        <v>1954</v>
      </c>
      <c r="D24" s="629"/>
      <c r="E24" s="629"/>
      <c r="H24" s="629"/>
      <c r="I24" s="629"/>
      <c r="J24" s="629"/>
      <c r="K24" t="s">
        <v>1955</v>
      </c>
      <c r="S24" s="135"/>
    </row>
    <row r="25" spans="2:34" ht="29.15" customHeight="1" x14ac:dyDescent="0.35">
      <c r="B25" s="629"/>
      <c r="C25" s="733" t="s">
        <v>1956</v>
      </c>
      <c r="D25" s="1374" t="s">
        <v>1957</v>
      </c>
      <c r="E25" s="1374"/>
      <c r="F25" s="1374"/>
      <c r="G25" s="629"/>
      <c r="H25" s="629"/>
      <c r="I25" s="629"/>
      <c r="J25" s="629"/>
      <c r="S25" s="135"/>
    </row>
    <row r="26" spans="2:34" ht="72.650000000000006" customHeight="1" x14ac:dyDescent="0.35">
      <c r="B26" s="749">
        <v>44774</v>
      </c>
      <c r="C26" s="629">
        <v>9</v>
      </c>
      <c r="D26" s="629"/>
      <c r="E26" s="629"/>
      <c r="H26" s="629"/>
      <c r="I26" s="629"/>
      <c r="J26" s="733" t="s">
        <v>1958</v>
      </c>
      <c r="K26" s="14" t="s">
        <v>1959</v>
      </c>
      <c r="L26" s="14" t="s">
        <v>1960</v>
      </c>
      <c r="M26" s="14" t="s">
        <v>1961</v>
      </c>
      <c r="N26" s="733" t="s">
        <v>1962</v>
      </c>
      <c r="S26" s="135"/>
    </row>
    <row r="27" spans="2:34" x14ac:dyDescent="0.35">
      <c r="B27" s="749">
        <f>B26+31</f>
        <v>44805</v>
      </c>
      <c r="C27" s="629">
        <v>9</v>
      </c>
      <c r="D27" s="629">
        <v>2022</v>
      </c>
      <c r="E27" s="629" t="s">
        <v>330</v>
      </c>
      <c r="F27">
        <f>SUM(C26:C27)/3</f>
        <v>6</v>
      </c>
      <c r="H27" s="629">
        <v>2022</v>
      </c>
      <c r="I27" s="629" t="s">
        <v>330</v>
      </c>
      <c r="J27" s="135">
        <v>6</v>
      </c>
      <c r="K27" s="135"/>
      <c r="L27" s="135"/>
      <c r="M27" s="135">
        <f>K27+J27</f>
        <v>6</v>
      </c>
      <c r="N27" s="135">
        <f>M27*F$81</f>
        <v>4.0506371546650453</v>
      </c>
      <c r="S27" s="135"/>
    </row>
    <row r="28" spans="2:34" x14ac:dyDescent="0.35">
      <c r="B28" s="749">
        <f t="shared" ref="B28:B57" si="1">B27+31</f>
        <v>44836</v>
      </c>
      <c r="C28" s="629">
        <v>10</v>
      </c>
      <c r="D28" s="629"/>
      <c r="E28" s="629"/>
      <c r="H28" s="629">
        <v>2022</v>
      </c>
      <c r="I28" s="629" t="s">
        <v>775</v>
      </c>
      <c r="J28" s="135">
        <v>10</v>
      </c>
      <c r="K28" s="135"/>
      <c r="L28" s="135"/>
      <c r="M28" s="135">
        <f t="shared" ref="M28:M48" si="2">K28+J28</f>
        <v>10</v>
      </c>
      <c r="N28" s="135">
        <f t="shared" ref="N28:N48" si="3">M28*F$81</f>
        <v>6.7510619244417409</v>
      </c>
      <c r="S28" s="135"/>
    </row>
    <row r="29" spans="2:34" x14ac:dyDescent="0.35">
      <c r="B29" s="749">
        <f t="shared" si="1"/>
        <v>44867</v>
      </c>
      <c r="C29" s="629">
        <v>10</v>
      </c>
      <c r="D29" s="629"/>
      <c r="E29" s="629"/>
      <c r="H29" s="629">
        <v>2023</v>
      </c>
      <c r="I29" s="629" t="s">
        <v>240</v>
      </c>
      <c r="J29" s="135">
        <v>37.666666666666664</v>
      </c>
      <c r="K29" s="135"/>
      <c r="L29" s="135"/>
      <c r="M29" s="135">
        <f t="shared" si="2"/>
        <v>37.666666666666664</v>
      </c>
      <c r="N29" s="135">
        <f t="shared" si="3"/>
        <v>25.428999915397224</v>
      </c>
      <c r="S29" s="135"/>
    </row>
    <row r="30" spans="2:34" x14ac:dyDescent="0.35">
      <c r="B30" s="749">
        <f t="shared" si="1"/>
        <v>44898</v>
      </c>
      <c r="C30" s="629">
        <v>10</v>
      </c>
      <c r="D30" s="629">
        <v>2022</v>
      </c>
      <c r="E30" s="629" t="s">
        <v>775</v>
      </c>
      <c r="F30">
        <f>AVERAGE(C28:C30)</f>
        <v>10</v>
      </c>
      <c r="H30" s="629">
        <v>2023</v>
      </c>
      <c r="I30" s="629" t="s">
        <v>241</v>
      </c>
      <c r="J30" s="135">
        <v>57</v>
      </c>
      <c r="K30" s="135"/>
      <c r="L30" s="135"/>
      <c r="M30" s="135">
        <f t="shared" si="2"/>
        <v>57</v>
      </c>
      <c r="N30" s="135">
        <f t="shared" si="3"/>
        <v>38.481052969317929</v>
      </c>
      <c r="S30" s="135"/>
    </row>
    <row r="31" spans="2:34" x14ac:dyDescent="0.35">
      <c r="B31" s="749">
        <f t="shared" si="1"/>
        <v>44929</v>
      </c>
      <c r="C31" s="629">
        <v>34</v>
      </c>
      <c r="D31" s="629"/>
      <c r="E31" s="629"/>
      <c r="H31" s="629">
        <v>2023</v>
      </c>
      <c r="I31" s="629" t="s">
        <v>330</v>
      </c>
      <c r="J31" s="135">
        <v>76.666666666666671</v>
      </c>
      <c r="K31" s="135"/>
      <c r="L31" s="135"/>
      <c r="M31" s="135">
        <v>76</v>
      </c>
      <c r="N31" s="135">
        <f t="shared" si="3"/>
        <v>51.308070625757232</v>
      </c>
      <c r="S31" s="135"/>
    </row>
    <row r="32" spans="2:34" x14ac:dyDescent="0.35">
      <c r="B32" s="749">
        <f t="shared" si="1"/>
        <v>44960</v>
      </c>
      <c r="C32" s="629">
        <v>35</v>
      </c>
      <c r="D32" s="629"/>
      <c r="E32" s="629"/>
      <c r="H32" s="629">
        <v>2023</v>
      </c>
      <c r="I32" s="629" t="s">
        <v>775</v>
      </c>
      <c r="J32" s="135">
        <v>84</v>
      </c>
      <c r="K32" s="135"/>
      <c r="L32" s="135"/>
      <c r="M32" s="135">
        <v>83.3</v>
      </c>
      <c r="N32" s="135">
        <f t="shared" si="3"/>
        <v>56.236345830599703</v>
      </c>
      <c r="S32" s="135"/>
    </row>
    <row r="33" spans="2:19" x14ac:dyDescent="0.35">
      <c r="B33" s="749">
        <f t="shared" si="1"/>
        <v>44991</v>
      </c>
      <c r="C33" s="629">
        <v>44</v>
      </c>
      <c r="D33" s="629">
        <v>2023</v>
      </c>
      <c r="E33" s="629" t="s">
        <v>240</v>
      </c>
      <c r="F33">
        <f>AVERAGE(C31:C33)</f>
        <v>37.666666666666664</v>
      </c>
      <c r="H33" s="629">
        <v>2024</v>
      </c>
      <c r="I33" s="629" t="s">
        <v>240</v>
      </c>
      <c r="J33" s="135">
        <v>94.333333333333329</v>
      </c>
      <c r="K33" s="135"/>
      <c r="L33" s="135"/>
      <c r="M33" s="135">
        <f t="shared" si="2"/>
        <v>94.333333333333329</v>
      </c>
      <c r="N33" s="135">
        <f t="shared" si="3"/>
        <v>63.685017487233758</v>
      </c>
      <c r="O33" t="s">
        <v>1973</v>
      </c>
      <c r="S33" s="135"/>
    </row>
    <row r="34" spans="2:19" x14ac:dyDescent="0.35">
      <c r="B34" s="749">
        <f t="shared" si="1"/>
        <v>45022</v>
      </c>
      <c r="C34" s="629">
        <v>49</v>
      </c>
      <c r="D34" s="629"/>
      <c r="E34" s="629"/>
      <c r="H34" s="629">
        <v>2024</v>
      </c>
      <c r="I34" s="629" t="s">
        <v>241</v>
      </c>
      <c r="J34" s="135">
        <v>102.66666666666667</v>
      </c>
      <c r="K34" s="135"/>
      <c r="L34" s="135"/>
      <c r="M34" s="135">
        <f t="shared" si="2"/>
        <v>102.66666666666667</v>
      </c>
      <c r="N34" s="135">
        <f t="shared" si="3"/>
        <v>69.310902424268548</v>
      </c>
      <c r="S34" s="135"/>
    </row>
    <row r="35" spans="2:19" x14ac:dyDescent="0.35">
      <c r="B35" s="749">
        <f t="shared" si="1"/>
        <v>45053</v>
      </c>
      <c r="C35" s="629">
        <v>58</v>
      </c>
      <c r="D35" s="629"/>
      <c r="E35" s="629"/>
      <c r="H35" s="629">
        <v>2024</v>
      </c>
      <c r="I35" s="629" t="s">
        <v>330</v>
      </c>
      <c r="J35" s="135">
        <v>92.33</v>
      </c>
      <c r="K35" s="135">
        <f>(+J27)*0.5</f>
        <v>3</v>
      </c>
      <c r="L35" s="135">
        <f>K35</f>
        <v>3</v>
      </c>
      <c r="M35" s="135">
        <f t="shared" si="2"/>
        <v>95.33</v>
      </c>
      <c r="N35" s="135">
        <f t="shared" si="3"/>
        <v>64.357873325703125</v>
      </c>
      <c r="S35" s="135"/>
    </row>
    <row r="36" spans="2:19" x14ac:dyDescent="0.35">
      <c r="B36" s="749">
        <f t="shared" si="1"/>
        <v>45084</v>
      </c>
      <c r="C36" s="629">
        <v>64</v>
      </c>
      <c r="D36" s="629">
        <v>2023</v>
      </c>
      <c r="E36" s="629" t="s">
        <v>241</v>
      </c>
      <c r="F36">
        <f>AVERAGE(C34:C36)</f>
        <v>57</v>
      </c>
      <c r="H36" s="629">
        <v>2024</v>
      </c>
      <c r="I36" s="629" t="s">
        <v>775</v>
      </c>
      <c r="J36" s="135">
        <v>76.7</v>
      </c>
      <c r="K36" s="135">
        <f>(J27+J28)*0.5</f>
        <v>8</v>
      </c>
      <c r="L36" s="135">
        <f>K36</f>
        <v>8</v>
      </c>
      <c r="M36" s="135">
        <f t="shared" si="2"/>
        <v>84.7</v>
      </c>
      <c r="N36" s="135">
        <f t="shared" si="3"/>
        <v>57.18149450002155</v>
      </c>
      <c r="S36" s="135"/>
    </row>
    <row r="37" spans="2:19" x14ac:dyDescent="0.35">
      <c r="B37" s="749">
        <f t="shared" si="1"/>
        <v>45115</v>
      </c>
      <c r="C37" s="629">
        <v>72</v>
      </c>
      <c r="D37" s="629"/>
      <c r="E37" s="629"/>
      <c r="H37" s="629">
        <v>2025</v>
      </c>
      <c r="I37" s="629" t="s">
        <v>240</v>
      </c>
      <c r="J37" s="135">
        <v>60.7</v>
      </c>
      <c r="K37" s="135">
        <f>(J27+J28+J29)*0.5</f>
        <v>26.833333333333332</v>
      </c>
      <c r="L37" s="135">
        <f>K37-10</f>
        <v>16.833333333333332</v>
      </c>
      <c r="M37" s="135">
        <f t="shared" si="2"/>
        <v>87.533333333333331</v>
      </c>
      <c r="N37" s="135">
        <f t="shared" si="3"/>
        <v>59.094295378613374</v>
      </c>
    </row>
    <row r="38" spans="2:19" x14ac:dyDescent="0.35">
      <c r="B38" s="749">
        <f t="shared" si="1"/>
        <v>45146</v>
      </c>
      <c r="C38" s="629">
        <v>76</v>
      </c>
      <c r="D38" s="629"/>
      <c r="E38" s="629"/>
      <c r="H38" s="629">
        <v>2025</v>
      </c>
      <c r="I38" s="629" t="s">
        <v>241</v>
      </c>
      <c r="J38" s="135">
        <v>48.7</v>
      </c>
      <c r="K38" s="135">
        <f t="shared" ref="K38:K50" si="4">(J27+J28+J29+J30)*0.5</f>
        <v>55.333333333333329</v>
      </c>
      <c r="L38" s="135">
        <f>K38-15</f>
        <v>40.333333333333329</v>
      </c>
      <c r="M38" s="135">
        <f t="shared" si="2"/>
        <v>104.03333333333333</v>
      </c>
      <c r="N38" s="135">
        <f t="shared" si="3"/>
        <v>70.233547553942245</v>
      </c>
    </row>
    <row r="39" spans="2:19" x14ac:dyDescent="0.35">
      <c r="B39" s="749">
        <f t="shared" si="1"/>
        <v>45177</v>
      </c>
      <c r="C39" s="629">
        <v>80</v>
      </c>
      <c r="D39" s="629">
        <v>2023</v>
      </c>
      <c r="E39" s="629" t="s">
        <v>330</v>
      </c>
      <c r="F39">
        <f>AVERAGE(C37:C39)</f>
        <v>76</v>
      </c>
      <c r="H39" s="629">
        <v>2025</v>
      </c>
      <c r="I39" s="629" t="s">
        <v>330</v>
      </c>
      <c r="J39" s="135">
        <v>30</v>
      </c>
      <c r="K39" s="135">
        <f t="shared" si="4"/>
        <v>90.666666666666657</v>
      </c>
      <c r="L39" s="135">
        <f>K39</f>
        <v>90.666666666666657</v>
      </c>
      <c r="M39" s="135">
        <f t="shared" si="2"/>
        <v>120.66666666666666</v>
      </c>
      <c r="N39" s="135">
        <f t="shared" si="3"/>
        <v>81.462813888263668</v>
      </c>
    </row>
    <row r="40" spans="2:19" x14ac:dyDescent="0.35">
      <c r="B40" s="749">
        <f t="shared" si="1"/>
        <v>45208</v>
      </c>
      <c r="C40" s="629">
        <v>82</v>
      </c>
      <c r="D40" s="629"/>
      <c r="E40" s="629"/>
      <c r="H40" s="629">
        <v>2025</v>
      </c>
      <c r="I40" s="629" t="s">
        <v>775</v>
      </c>
      <c r="J40" s="135">
        <v>0</v>
      </c>
      <c r="K40" s="135">
        <f t="shared" si="4"/>
        <v>127.66666666666666</v>
      </c>
      <c r="L40" s="135">
        <f>K40+15</f>
        <v>142.66666666666666</v>
      </c>
      <c r="M40" s="135">
        <f t="shared" si="2"/>
        <v>127.66666666666666</v>
      </c>
      <c r="N40" s="135">
        <f t="shared" si="3"/>
        <v>86.188557235372897</v>
      </c>
    </row>
    <row r="41" spans="2:19" x14ac:dyDescent="0.35">
      <c r="B41" s="749">
        <f t="shared" si="1"/>
        <v>45239</v>
      </c>
      <c r="C41" s="629">
        <v>82</v>
      </c>
      <c r="D41" s="629"/>
      <c r="E41" s="629"/>
      <c r="H41" s="629">
        <v>2026</v>
      </c>
      <c r="I41" s="629" t="s">
        <v>240</v>
      </c>
      <c r="J41" s="135">
        <v>0</v>
      </c>
      <c r="K41" s="135">
        <f t="shared" si="4"/>
        <v>156</v>
      </c>
      <c r="L41" s="135">
        <f>K41+10</f>
        <v>166</v>
      </c>
      <c r="M41" s="135">
        <f t="shared" si="2"/>
        <v>156</v>
      </c>
      <c r="N41" s="135">
        <f t="shared" si="3"/>
        <v>105.31656602129117</v>
      </c>
    </row>
    <row r="42" spans="2:19" x14ac:dyDescent="0.35">
      <c r="B42" s="749">
        <f t="shared" si="1"/>
        <v>45270</v>
      </c>
      <c r="C42" s="629">
        <v>86</v>
      </c>
      <c r="D42" s="629">
        <v>2023</v>
      </c>
      <c r="E42" s="629" t="s">
        <v>775</v>
      </c>
      <c r="F42">
        <f>AVERAGE(C40:C42)</f>
        <v>83.333333333333329</v>
      </c>
      <c r="H42" s="629">
        <v>2027</v>
      </c>
      <c r="I42" s="629" t="s">
        <v>241</v>
      </c>
      <c r="J42" s="135">
        <v>0</v>
      </c>
      <c r="K42" s="135">
        <f t="shared" si="4"/>
        <v>178.83333333333334</v>
      </c>
      <c r="L42" s="135">
        <f>K42</f>
        <v>178.83333333333334</v>
      </c>
      <c r="M42" s="135">
        <f t="shared" si="2"/>
        <v>178.83333333333334</v>
      </c>
      <c r="N42" s="135">
        <f t="shared" si="3"/>
        <v>120.73149074876648</v>
      </c>
    </row>
    <row r="43" spans="2:19" x14ac:dyDescent="0.35">
      <c r="B43" s="749">
        <f t="shared" si="1"/>
        <v>45301</v>
      </c>
      <c r="C43" s="629">
        <v>90</v>
      </c>
      <c r="D43" s="629"/>
      <c r="E43" s="629"/>
      <c r="H43" s="629">
        <v>2027</v>
      </c>
      <c r="I43" s="629" t="s">
        <v>330</v>
      </c>
      <c r="J43" s="135"/>
      <c r="K43" s="135">
        <f t="shared" si="4"/>
        <v>186.66499999999999</v>
      </c>
      <c r="L43" s="135">
        <f t="shared" ref="L43:L51" si="5">K43</f>
        <v>186.66499999999999</v>
      </c>
      <c r="M43" s="135">
        <f t="shared" si="2"/>
        <v>186.66499999999999</v>
      </c>
      <c r="N43" s="135">
        <f t="shared" si="3"/>
        <v>126.01869741259176</v>
      </c>
    </row>
    <row r="44" spans="2:19" x14ac:dyDescent="0.35">
      <c r="B44" s="749">
        <f t="shared" si="1"/>
        <v>45332</v>
      </c>
      <c r="C44" s="629">
        <v>95</v>
      </c>
      <c r="D44" s="629"/>
      <c r="E44" s="629"/>
      <c r="H44" s="629">
        <v>2027</v>
      </c>
      <c r="I44" s="629" t="s">
        <v>775</v>
      </c>
      <c r="J44" s="135"/>
      <c r="K44" s="135">
        <f t="shared" si="4"/>
        <v>183.01499999999999</v>
      </c>
      <c r="L44" s="135">
        <f t="shared" si="5"/>
        <v>183.01499999999999</v>
      </c>
      <c r="M44" s="135">
        <f t="shared" si="2"/>
        <v>183.01499999999999</v>
      </c>
      <c r="N44" s="135">
        <f t="shared" si="3"/>
        <v>123.55455981017052</v>
      </c>
    </row>
    <row r="45" spans="2:19" x14ac:dyDescent="0.35">
      <c r="B45" s="749">
        <f t="shared" si="1"/>
        <v>45363</v>
      </c>
      <c r="C45" s="629">
        <v>98</v>
      </c>
      <c r="D45" s="629">
        <v>2024</v>
      </c>
      <c r="E45" s="629" t="s">
        <v>240</v>
      </c>
      <c r="F45">
        <f>AVERAGE(C43:C45)</f>
        <v>94.333333333333329</v>
      </c>
      <c r="H45" s="629">
        <v>2028</v>
      </c>
      <c r="I45" s="629" t="s">
        <v>240</v>
      </c>
      <c r="J45" s="135"/>
      <c r="K45" s="135">
        <f t="shared" si="4"/>
        <v>166.19833333333332</v>
      </c>
      <c r="L45" s="135">
        <f t="shared" si="5"/>
        <v>166.19833333333332</v>
      </c>
      <c r="M45" s="135">
        <f t="shared" si="2"/>
        <v>166.19833333333332</v>
      </c>
      <c r="N45" s="135">
        <f t="shared" si="3"/>
        <v>112.20152400723433</v>
      </c>
    </row>
    <row r="46" spans="2:19" x14ac:dyDescent="0.35">
      <c r="B46" s="749">
        <f t="shared" si="1"/>
        <v>45394</v>
      </c>
      <c r="C46" s="629">
        <v>98</v>
      </c>
      <c r="D46" s="629"/>
      <c r="E46" s="629"/>
      <c r="H46" s="629">
        <v>2028</v>
      </c>
      <c r="I46" s="629" t="s">
        <v>241</v>
      </c>
      <c r="J46" s="135"/>
      <c r="K46" s="135">
        <f t="shared" si="4"/>
        <v>139.215</v>
      </c>
      <c r="L46" s="135">
        <f t="shared" si="5"/>
        <v>139.215</v>
      </c>
      <c r="M46" s="135">
        <f t="shared" si="2"/>
        <v>139.215</v>
      </c>
      <c r="N46" s="135">
        <f t="shared" si="3"/>
        <v>93.984908581115704</v>
      </c>
    </row>
    <row r="47" spans="2:19" x14ac:dyDescent="0.35">
      <c r="B47" s="749">
        <f t="shared" si="1"/>
        <v>45425</v>
      </c>
      <c r="C47" s="629">
        <v>104</v>
      </c>
      <c r="D47" s="629"/>
      <c r="E47" s="629"/>
      <c r="H47" s="629">
        <v>2028</v>
      </c>
      <c r="I47" s="629" t="s">
        <v>330</v>
      </c>
      <c r="J47" s="135"/>
      <c r="K47" s="135">
        <f t="shared" si="4"/>
        <v>108.05000000000001</v>
      </c>
      <c r="L47" s="135">
        <f t="shared" si="5"/>
        <v>108.05000000000001</v>
      </c>
      <c r="M47" s="135">
        <f t="shared" si="2"/>
        <v>108.05000000000001</v>
      </c>
      <c r="N47" s="135">
        <f t="shared" si="3"/>
        <v>72.945224093593026</v>
      </c>
    </row>
    <row r="48" spans="2:19" x14ac:dyDescent="0.35">
      <c r="B48" s="749">
        <f t="shared" si="1"/>
        <v>45456</v>
      </c>
      <c r="C48" s="629">
        <v>106</v>
      </c>
      <c r="D48" s="629">
        <v>2024</v>
      </c>
      <c r="E48" s="629" t="s">
        <v>241</v>
      </c>
      <c r="F48">
        <f>AVERAGE(C46:C48)</f>
        <v>102.66666666666667</v>
      </c>
      <c r="H48" s="629">
        <v>2028</v>
      </c>
      <c r="I48" s="629" t="s">
        <v>775</v>
      </c>
      <c r="J48" s="135"/>
      <c r="K48" s="135">
        <f t="shared" si="4"/>
        <v>69.7</v>
      </c>
      <c r="L48" s="135">
        <f t="shared" si="5"/>
        <v>69.7</v>
      </c>
      <c r="M48" s="135">
        <f t="shared" si="2"/>
        <v>69.7</v>
      </c>
      <c r="N48" s="135">
        <f t="shared" si="3"/>
        <v>47.054901613358936</v>
      </c>
    </row>
    <row r="49" spans="2:14" x14ac:dyDescent="0.35">
      <c r="B49" s="749">
        <f t="shared" si="1"/>
        <v>45487</v>
      </c>
      <c r="C49" s="629">
        <v>96</v>
      </c>
      <c r="D49" s="629"/>
      <c r="E49" s="629"/>
      <c r="H49" s="629" t="s">
        <v>322</v>
      </c>
      <c r="I49" s="629" t="s">
        <v>322</v>
      </c>
      <c r="J49" s="629"/>
      <c r="K49" s="135">
        <f t="shared" si="4"/>
        <v>39.35</v>
      </c>
      <c r="L49" s="135">
        <f t="shared" si="5"/>
        <v>39.35</v>
      </c>
      <c r="M49" s="135"/>
      <c r="N49" s="135"/>
    </row>
    <row r="50" spans="2:14" x14ac:dyDescent="0.35">
      <c r="B50" s="749">
        <f t="shared" si="1"/>
        <v>45518</v>
      </c>
      <c r="C50" s="629">
        <v>93</v>
      </c>
      <c r="D50" s="629"/>
      <c r="E50" s="629"/>
      <c r="H50" s="629" t="s">
        <v>322</v>
      </c>
      <c r="I50" s="629" t="s">
        <v>322</v>
      </c>
      <c r="J50" s="629"/>
      <c r="K50" s="135">
        <f t="shared" si="4"/>
        <v>15</v>
      </c>
      <c r="L50" s="135">
        <f t="shared" si="5"/>
        <v>15</v>
      </c>
      <c r="M50" s="135"/>
      <c r="N50" s="135"/>
    </row>
    <row r="51" spans="2:14" x14ac:dyDescent="0.35">
      <c r="B51" s="749">
        <f t="shared" si="1"/>
        <v>45549</v>
      </c>
      <c r="C51" s="629">
        <v>88</v>
      </c>
      <c r="D51" s="629">
        <v>2024</v>
      </c>
      <c r="E51" s="629" t="s">
        <v>330</v>
      </c>
      <c r="F51">
        <f>AVERAGE(C49:C51)</f>
        <v>92.333333333333329</v>
      </c>
      <c r="H51" s="629" t="s">
        <v>322</v>
      </c>
      <c r="I51" s="629" t="s">
        <v>322</v>
      </c>
      <c r="J51" s="629"/>
      <c r="K51" s="135">
        <f t="shared" ref="K51" si="6">J41+J42+J43</f>
        <v>0</v>
      </c>
      <c r="L51" s="135">
        <f t="shared" si="5"/>
        <v>0</v>
      </c>
      <c r="M51" s="135"/>
      <c r="N51" s="135"/>
    </row>
    <row r="52" spans="2:14" x14ac:dyDescent="0.35">
      <c r="B52" s="749">
        <f t="shared" si="1"/>
        <v>45580</v>
      </c>
      <c r="C52" s="629">
        <v>80</v>
      </c>
      <c r="D52" s="629"/>
      <c r="E52" s="629"/>
      <c r="H52" s="629" t="s">
        <v>322</v>
      </c>
      <c r="I52" s="629" t="s">
        <v>322</v>
      </c>
      <c r="J52" s="629">
        <f>SUM(J27:J51)</f>
        <v>776.76333333333343</v>
      </c>
      <c r="K52">
        <f>SUM(K27:K51)</f>
        <v>1553.5266666666664</v>
      </c>
      <c r="L52">
        <f>SUM(L27:L51)</f>
        <v>1553.5266666666664</v>
      </c>
    </row>
    <row r="53" spans="2:14" x14ac:dyDescent="0.35">
      <c r="B53" s="749">
        <f t="shared" si="1"/>
        <v>45611</v>
      </c>
      <c r="C53" s="629">
        <v>76</v>
      </c>
      <c r="D53" s="629"/>
      <c r="E53" s="629"/>
      <c r="H53" s="629"/>
      <c r="I53" s="629"/>
      <c r="J53" s="629"/>
    </row>
    <row r="54" spans="2:14" x14ac:dyDescent="0.35">
      <c r="B54" s="749">
        <f t="shared" si="1"/>
        <v>45642</v>
      </c>
      <c r="C54" s="629">
        <v>74</v>
      </c>
      <c r="D54" s="629">
        <v>2024</v>
      </c>
      <c r="E54" s="629" t="s">
        <v>775</v>
      </c>
      <c r="F54">
        <f>AVERAGE(C52:C54)</f>
        <v>76.666666666666671</v>
      </c>
      <c r="H54" s="629"/>
      <c r="I54" s="629"/>
      <c r="J54" s="629"/>
    </row>
    <row r="55" spans="2:14" x14ac:dyDescent="0.35">
      <c r="B55" s="749">
        <f t="shared" si="1"/>
        <v>45673</v>
      </c>
      <c r="C55" s="629">
        <v>66</v>
      </c>
      <c r="D55" s="629"/>
      <c r="E55" s="629"/>
      <c r="H55" s="629"/>
      <c r="I55" s="629"/>
      <c r="J55" s="629"/>
    </row>
    <row r="56" spans="2:14" x14ac:dyDescent="0.35">
      <c r="B56" s="749">
        <f t="shared" si="1"/>
        <v>45704</v>
      </c>
      <c r="C56" s="629">
        <v>58</v>
      </c>
      <c r="D56" s="629"/>
      <c r="E56" s="629"/>
      <c r="H56" s="629"/>
      <c r="I56" s="629"/>
      <c r="J56" s="629"/>
    </row>
    <row r="57" spans="2:14" x14ac:dyDescent="0.35">
      <c r="B57" s="749">
        <f t="shared" si="1"/>
        <v>45735</v>
      </c>
      <c r="C57" s="629">
        <v>58</v>
      </c>
      <c r="D57" s="629">
        <v>2025</v>
      </c>
      <c r="E57" s="629" t="s">
        <v>240</v>
      </c>
      <c r="F57">
        <f>AVERAGE(C55:C57)</f>
        <v>60.666666666666664</v>
      </c>
      <c r="H57" s="629"/>
      <c r="I57" s="629"/>
      <c r="J57" s="629"/>
    </row>
    <row r="58" spans="2:14" x14ac:dyDescent="0.35">
      <c r="B58" s="749"/>
      <c r="C58" s="750">
        <v>50</v>
      </c>
      <c r="D58" s="629"/>
      <c r="E58" s="629"/>
      <c r="H58" s="629"/>
      <c r="I58" s="629"/>
      <c r="J58" s="629"/>
    </row>
    <row r="59" spans="2:14" x14ac:dyDescent="0.35">
      <c r="B59" s="749"/>
      <c r="C59" s="750">
        <v>48</v>
      </c>
      <c r="D59" s="629"/>
      <c r="E59" s="629"/>
      <c r="H59" s="629"/>
      <c r="I59" s="629"/>
      <c r="J59" s="629"/>
    </row>
    <row r="60" spans="2:14" x14ac:dyDescent="0.35">
      <c r="B60" s="629"/>
      <c r="C60" s="750">
        <v>48</v>
      </c>
      <c r="D60" s="629">
        <v>2025</v>
      </c>
      <c r="E60" s="629" t="s">
        <v>241</v>
      </c>
      <c r="F60">
        <f>AVERAGE(C58:C60)</f>
        <v>48.666666666666664</v>
      </c>
      <c r="H60" s="629"/>
      <c r="I60" s="629"/>
      <c r="J60" s="629"/>
    </row>
    <row r="61" spans="2:14" x14ac:dyDescent="0.35">
      <c r="B61" s="629"/>
      <c r="C61" s="629">
        <v>40</v>
      </c>
      <c r="D61" s="629"/>
      <c r="E61" s="629"/>
      <c r="H61" s="629"/>
      <c r="I61" s="629"/>
      <c r="J61" s="629"/>
    </row>
    <row r="62" spans="2:14" x14ac:dyDescent="0.35">
      <c r="B62" s="629"/>
      <c r="C62" s="750">
        <v>30</v>
      </c>
      <c r="D62" s="629"/>
      <c r="E62" s="629"/>
      <c r="H62" s="629"/>
      <c r="I62" s="629"/>
      <c r="J62" s="629"/>
    </row>
    <row r="63" spans="2:14" x14ac:dyDescent="0.35">
      <c r="B63" s="629"/>
      <c r="C63" s="750">
        <v>20</v>
      </c>
      <c r="D63" s="629"/>
      <c r="E63" s="629"/>
      <c r="F63">
        <f>AVERAGE(C61:C63)</f>
        <v>30</v>
      </c>
      <c r="H63" s="629"/>
      <c r="I63" s="629"/>
      <c r="J63" s="629"/>
    </row>
    <row r="64" spans="2:14" x14ac:dyDescent="0.35">
      <c r="B64" s="629"/>
      <c r="C64" s="629"/>
      <c r="D64" s="629"/>
      <c r="E64" s="629"/>
      <c r="H64" s="629"/>
      <c r="I64" s="629"/>
      <c r="J64" s="629"/>
    </row>
    <row r="65" spans="2:10" x14ac:dyDescent="0.35">
      <c r="B65" s="629"/>
      <c r="C65" s="733"/>
      <c r="D65" s="751"/>
      <c r="E65" s="733"/>
      <c r="H65" s="629"/>
      <c r="I65" s="629"/>
      <c r="J65" s="629"/>
    </row>
    <row r="66" spans="2:10" x14ac:dyDescent="0.35">
      <c r="B66" s="629"/>
      <c r="C66" s="629"/>
      <c r="D66" s="629"/>
      <c r="E66" s="629"/>
      <c r="F66" t="e">
        <f>AVERAGE(C64:C66)</f>
        <v>#DIV/0!</v>
      </c>
      <c r="H66" s="629"/>
      <c r="I66" s="629"/>
      <c r="J66" s="629"/>
    </row>
    <row r="67" spans="2:10" x14ac:dyDescent="0.35">
      <c r="B67" s="629"/>
      <c r="C67" s="629"/>
      <c r="D67" s="748"/>
      <c r="E67" s="629"/>
      <c r="H67" s="629"/>
      <c r="I67" s="629"/>
      <c r="J67" s="629"/>
    </row>
    <row r="68" spans="2:10" x14ac:dyDescent="0.35">
      <c r="B68" s="629"/>
      <c r="C68" s="629"/>
      <c r="D68" s="748"/>
      <c r="E68" s="748"/>
      <c r="H68" s="629"/>
      <c r="I68" s="629"/>
      <c r="J68" s="629"/>
    </row>
    <row r="69" spans="2:10" x14ac:dyDescent="0.35">
      <c r="B69" s="752"/>
      <c r="C69" s="753"/>
      <c r="D69" s="754"/>
      <c r="E69" s="629"/>
      <c r="H69" s="629"/>
      <c r="I69" s="629"/>
      <c r="J69" s="629"/>
    </row>
    <row r="70" spans="2:10" x14ac:dyDescent="0.35">
      <c r="B70" s="748" t="s">
        <v>1963</v>
      </c>
      <c r="C70" s="748"/>
      <c r="D70" s="754"/>
      <c r="E70" s="629"/>
      <c r="H70" s="629"/>
      <c r="I70" s="629"/>
      <c r="J70" s="629"/>
    </row>
    <row r="71" spans="2:10" x14ac:dyDescent="0.35">
      <c r="B71" s="748" t="s">
        <v>1964</v>
      </c>
      <c r="C71" s="748"/>
      <c r="D71" s="754"/>
      <c r="E71" s="629"/>
      <c r="H71" s="629"/>
      <c r="I71" s="629"/>
      <c r="J71" s="629"/>
    </row>
    <row r="72" spans="2:10" x14ac:dyDescent="0.35">
      <c r="B72" s="748" t="s">
        <v>1965</v>
      </c>
      <c r="C72" s="748"/>
      <c r="D72" s="754"/>
      <c r="E72" s="629"/>
      <c r="H72" s="629"/>
      <c r="I72" s="629"/>
      <c r="J72" s="629"/>
    </row>
    <row r="73" spans="2:10" x14ac:dyDescent="0.35">
      <c r="B73" s="748" t="s">
        <v>1966</v>
      </c>
      <c r="C73" s="748"/>
      <c r="D73" s="754"/>
      <c r="E73" s="629"/>
      <c r="H73" s="629" t="s">
        <v>1967</v>
      </c>
      <c r="I73" s="629"/>
      <c r="J73" s="629"/>
    </row>
    <row r="74" spans="2:10" x14ac:dyDescent="0.35">
      <c r="B74" s="748" t="s">
        <v>1968</v>
      </c>
      <c r="C74" s="748"/>
      <c r="D74" s="754"/>
      <c r="E74" s="629"/>
      <c r="H74" s="629" t="s">
        <v>1969</v>
      </c>
      <c r="I74" s="629"/>
      <c r="J74" s="629"/>
    </row>
    <row r="75" spans="2:10" x14ac:dyDescent="0.35">
      <c r="B75" s="748" t="s">
        <v>1857</v>
      </c>
      <c r="C75" s="748"/>
      <c r="D75" s="629"/>
      <c r="E75" s="629"/>
      <c r="H75" s="629"/>
      <c r="I75" s="629"/>
      <c r="J75" s="629"/>
    </row>
    <row r="76" spans="2:10" x14ac:dyDescent="0.35">
      <c r="B76" s="629"/>
      <c r="C76" s="629"/>
      <c r="D76" s="629"/>
      <c r="E76" s="629"/>
      <c r="H76" s="629"/>
      <c r="I76" s="629"/>
      <c r="J76" s="629"/>
    </row>
    <row r="77" spans="2:10" x14ac:dyDescent="0.35">
      <c r="B77" s="748" t="s">
        <v>1970</v>
      </c>
      <c r="C77" s="748" t="s">
        <v>1971</v>
      </c>
      <c r="D77" s="629"/>
      <c r="E77" s="629"/>
      <c r="H77" s="629"/>
      <c r="I77" s="629"/>
      <c r="J77" s="629"/>
    </row>
    <row r="78" spans="2:10" x14ac:dyDescent="0.35">
      <c r="B78" s="629"/>
      <c r="C78" s="629"/>
      <c r="D78" s="629"/>
      <c r="E78" s="629"/>
      <c r="H78" s="629"/>
      <c r="I78" s="629"/>
      <c r="J78" s="629"/>
    </row>
    <row r="79" spans="2:10" x14ac:dyDescent="0.35">
      <c r="B79" s="748" t="s">
        <v>1972</v>
      </c>
      <c r="C79" s="748"/>
      <c r="D79" s="629"/>
      <c r="E79" s="629"/>
      <c r="H79" s="629"/>
      <c r="I79" s="629"/>
      <c r="J79" s="629"/>
    </row>
    <row r="80" spans="2:10" x14ac:dyDescent="0.35">
      <c r="B80" s="748" t="s">
        <v>1858</v>
      </c>
      <c r="C80" s="748" t="s">
        <v>1970</v>
      </c>
      <c r="D80" s="629"/>
      <c r="E80" s="629"/>
      <c r="H80" s="629"/>
      <c r="I80" s="629"/>
      <c r="J80" s="629"/>
    </row>
    <row r="81" spans="2:10" x14ac:dyDescent="0.35">
      <c r="B81" s="755">
        <v>42736</v>
      </c>
      <c r="C81" s="754">
        <v>234.95833333333334</v>
      </c>
      <c r="D81" s="629"/>
      <c r="E81" s="629"/>
      <c r="F81">
        <f>C81/C86</f>
        <v>0.67510619244417414</v>
      </c>
      <c r="H81" s="629"/>
      <c r="I81" s="629"/>
      <c r="J81" s="629"/>
    </row>
    <row r="82" spans="2:10" x14ac:dyDescent="0.35">
      <c r="B82" s="755">
        <v>43101</v>
      </c>
      <c r="C82" s="754">
        <v>247.02500000000001</v>
      </c>
      <c r="D82" s="629"/>
      <c r="E82" s="629"/>
      <c r="H82" s="629"/>
      <c r="I82" s="629"/>
      <c r="J82" s="629"/>
    </row>
    <row r="83" spans="2:10" x14ac:dyDescent="0.35">
      <c r="B83" s="755">
        <v>43466</v>
      </c>
      <c r="C83" s="754">
        <v>251.27500000000001</v>
      </c>
      <c r="D83" s="629"/>
      <c r="E83" s="629"/>
      <c r="H83" s="629"/>
      <c r="I83" s="629"/>
      <c r="J83" s="629"/>
    </row>
    <row r="84" spans="2:10" x14ac:dyDescent="0.35">
      <c r="B84" s="755">
        <v>43831</v>
      </c>
      <c r="C84" s="754">
        <v>256.94166666666666</v>
      </c>
      <c r="D84" s="629"/>
      <c r="E84" s="629"/>
      <c r="H84" s="629"/>
      <c r="I84" s="629"/>
      <c r="J84" s="629"/>
    </row>
    <row r="85" spans="2:10" x14ac:dyDescent="0.35">
      <c r="B85" s="755">
        <v>44197</v>
      </c>
      <c r="C85" s="754">
        <v>298.95841666666666</v>
      </c>
      <c r="D85" s="629"/>
      <c r="E85" s="629"/>
      <c r="H85" s="629"/>
      <c r="I85" s="629"/>
      <c r="J85" s="629"/>
    </row>
    <row r="86" spans="2:10" x14ac:dyDescent="0.35">
      <c r="B86" s="755">
        <v>44562</v>
      </c>
      <c r="C86" s="754">
        <v>348.03166666666669</v>
      </c>
      <c r="D86" s="629"/>
      <c r="E86" s="629"/>
      <c r="H86" s="629"/>
      <c r="I86" s="629"/>
      <c r="J86" s="629"/>
    </row>
    <row r="87" spans="2:10" x14ac:dyDescent="0.35">
      <c r="B87" s="755">
        <v>44927</v>
      </c>
      <c r="C87" s="754">
        <v>351.04091666666665</v>
      </c>
      <c r="D87" s="629"/>
      <c r="E87" s="629"/>
      <c r="H87" s="629"/>
      <c r="I87" s="629"/>
      <c r="J87" s="629"/>
    </row>
    <row r="88" spans="2:10" x14ac:dyDescent="0.35">
      <c r="B88" s="755">
        <v>45292</v>
      </c>
      <c r="C88" s="748">
        <v>0</v>
      </c>
      <c r="D88" s="629"/>
      <c r="E88" s="629"/>
      <c r="H88" s="629"/>
      <c r="I88" s="629"/>
      <c r="J88" s="629"/>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4"/>
  <sheetViews>
    <sheetView topLeftCell="C1" zoomScaleNormal="100" workbookViewId="0">
      <pane xSplit="2" ySplit="3" topLeftCell="R4" activePane="bottomRight" state="frozen"/>
      <selection activeCell="C1" sqref="C1"/>
      <selection pane="topRight" activeCell="E1" sqref="E1"/>
      <selection pane="bottomLeft" activeCell="C4" sqref="C4"/>
      <selection pane="bottomRight" activeCell="Z26" sqref="Z26"/>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71" t="s">
        <v>58</v>
      </c>
      <c r="E1" s="1271"/>
      <c r="F1" s="1271"/>
      <c r="G1" s="1271"/>
      <c r="H1" s="1271"/>
      <c r="I1" s="1271"/>
      <c r="J1" s="1271"/>
      <c r="K1" s="1271"/>
      <c r="L1" s="1271"/>
      <c r="M1" s="1271"/>
      <c r="N1" s="1271"/>
      <c r="O1" s="1271"/>
      <c r="P1" s="1271"/>
      <c r="Q1" s="1271"/>
      <c r="R1" s="1271"/>
      <c r="S1" s="1271"/>
      <c r="T1" s="1271"/>
      <c r="U1" s="1271"/>
      <c r="V1" s="1271"/>
      <c r="W1" s="1271"/>
      <c r="X1" s="1271"/>
      <c r="Y1" s="1271"/>
      <c r="Z1" s="1271"/>
      <c r="AA1" s="1271"/>
      <c r="AB1" s="1271"/>
      <c r="AC1" s="1271"/>
    </row>
    <row r="2" spans="4:57" ht="14.25" customHeight="1" x14ac:dyDescent="0.35">
      <c r="D2" s="1313" t="s">
        <v>911</v>
      </c>
      <c r="E2" s="1313"/>
      <c r="F2" s="1313"/>
      <c r="G2" s="1313"/>
      <c r="H2" s="1313"/>
      <c r="I2" s="1313"/>
      <c r="J2" s="1313"/>
      <c r="K2" s="1313"/>
      <c r="L2" s="1313"/>
      <c r="M2" s="1313"/>
      <c r="N2" s="1313"/>
      <c r="O2" s="1313"/>
      <c r="P2" s="1313"/>
      <c r="Q2" s="1313"/>
      <c r="R2" s="1313"/>
      <c r="S2" s="1313"/>
      <c r="T2" s="1313"/>
      <c r="U2" s="1313"/>
      <c r="V2" s="1313"/>
      <c r="W2" s="1313"/>
      <c r="X2" s="1313"/>
      <c r="Y2" s="1313"/>
      <c r="Z2" s="1313"/>
      <c r="AA2" s="1313"/>
      <c r="AB2" s="1313"/>
      <c r="AC2" s="1313"/>
    </row>
    <row r="3" spans="4:57" ht="84.75" customHeight="1" x14ac:dyDescent="0.35">
      <c r="D3" s="1313"/>
      <c r="E3" s="1313"/>
      <c r="F3" s="1313"/>
      <c r="G3" s="1313"/>
      <c r="H3" s="1313"/>
      <c r="I3" s="1313"/>
      <c r="J3" s="1313"/>
      <c r="K3" s="1313"/>
      <c r="L3" s="1313"/>
      <c r="M3" s="1313"/>
      <c r="N3" s="1313"/>
      <c r="O3" s="1313"/>
      <c r="P3" s="1313"/>
      <c r="Q3" s="1313"/>
      <c r="R3" s="1313"/>
      <c r="S3" s="1313"/>
      <c r="T3" s="1313"/>
      <c r="U3" s="1313"/>
      <c r="V3" s="1313"/>
      <c r="W3" s="1313"/>
      <c r="X3" s="1313"/>
      <c r="Y3" s="1313"/>
      <c r="Z3" s="1313"/>
      <c r="AA3" s="1313"/>
      <c r="AB3" s="1313"/>
      <c r="AC3" s="1313"/>
    </row>
    <row r="4" spans="4:57" x14ac:dyDescent="0.35">
      <c r="D4" s="803" t="s">
        <v>332</v>
      </c>
      <c r="W4" s="57"/>
    </row>
    <row r="5" spans="4:57" x14ac:dyDescent="0.35">
      <c r="D5" s="1276" t="s">
        <v>403</v>
      </c>
      <c r="E5" s="1277"/>
      <c r="F5" s="1381" t="s">
        <v>279</v>
      </c>
      <c r="G5" s="1382"/>
      <c r="H5" s="1382"/>
      <c r="I5" s="1382"/>
      <c r="J5" s="1382"/>
      <c r="K5" s="1382"/>
      <c r="L5" s="1382"/>
      <c r="M5" s="1382"/>
      <c r="N5" s="1382"/>
      <c r="O5" s="1382"/>
      <c r="P5" s="1382"/>
      <c r="Q5" s="1382"/>
      <c r="R5" s="1382"/>
      <c r="S5" s="1382"/>
      <c r="T5" s="1382"/>
      <c r="U5" s="1382"/>
      <c r="V5" s="1383"/>
      <c r="W5" s="1302" t="s">
        <v>280</v>
      </c>
      <c r="X5" s="1303"/>
      <c r="Y5" s="1303"/>
      <c r="Z5" s="1303"/>
      <c r="AA5" s="1303"/>
      <c r="AB5" s="1303"/>
      <c r="AC5" s="1303"/>
      <c r="AD5" s="1303"/>
      <c r="AE5" s="1303"/>
      <c r="AF5" s="1303"/>
      <c r="AG5" s="1304"/>
      <c r="AH5" s="237"/>
      <c r="AI5" s="237"/>
      <c r="AJ5" s="237"/>
      <c r="AK5" s="880"/>
      <c r="AL5" s="880"/>
      <c r="AM5" s="880"/>
      <c r="AN5" s="880"/>
      <c r="AO5" s="880"/>
      <c r="AP5" s="880"/>
      <c r="AQ5" s="880"/>
      <c r="AR5" s="880"/>
      <c r="AS5" s="880"/>
      <c r="AT5" s="880"/>
      <c r="AU5" s="880"/>
      <c r="AV5" s="880"/>
      <c r="AW5" s="880"/>
      <c r="AX5" s="880"/>
      <c r="AY5" s="880"/>
      <c r="AZ5" s="880"/>
      <c r="BA5" s="880"/>
      <c r="BB5" s="880"/>
      <c r="BC5" s="880"/>
      <c r="BD5" s="880"/>
      <c r="BE5" s="880"/>
    </row>
    <row r="6" spans="4:57" x14ac:dyDescent="0.35">
      <c r="D6" s="1278"/>
      <c r="E6" s="1291"/>
      <c r="F6" s="1273">
        <v>2019</v>
      </c>
      <c r="G6" s="1274"/>
      <c r="H6" s="1275"/>
      <c r="I6" s="1274">
        <v>2020</v>
      </c>
      <c r="J6" s="1274"/>
      <c r="K6" s="1274"/>
      <c r="L6" s="1274"/>
      <c r="M6" s="1282">
        <v>2021</v>
      </c>
      <c r="N6" s="1283"/>
      <c r="O6" s="1283"/>
      <c r="P6" s="1283"/>
      <c r="Q6" s="1282">
        <v>2022</v>
      </c>
      <c r="R6" s="1305"/>
      <c r="S6" s="1305"/>
      <c r="T6" s="1284"/>
      <c r="U6" s="284"/>
      <c r="V6" s="284">
        <v>2023</v>
      </c>
      <c r="W6" s="552"/>
      <c r="X6" s="257"/>
      <c r="Y6" s="1268">
        <v>2024</v>
      </c>
      <c r="Z6" s="1292"/>
      <c r="AA6" s="1292"/>
      <c r="AB6" s="1270"/>
      <c r="AC6" s="1268">
        <v>2025</v>
      </c>
      <c r="AD6" s="1292"/>
      <c r="AE6" s="1292"/>
      <c r="AF6" s="1270"/>
      <c r="AG6" s="1268">
        <v>2026</v>
      </c>
      <c r="AH6" s="1292"/>
      <c r="AI6" s="1292"/>
      <c r="AJ6" s="1270"/>
      <c r="AK6" s="881"/>
      <c r="AL6" s="881"/>
      <c r="AM6" s="881"/>
      <c r="AN6" s="881"/>
      <c r="AO6" s="881"/>
      <c r="AP6" s="881"/>
      <c r="AQ6" s="881"/>
      <c r="AR6" s="881"/>
      <c r="AS6" s="881"/>
      <c r="AT6" s="881"/>
      <c r="AU6" s="881"/>
      <c r="AV6" s="881"/>
      <c r="AW6" s="881"/>
      <c r="AX6" s="881"/>
      <c r="AY6" s="881"/>
      <c r="AZ6" s="881"/>
      <c r="BA6" s="881"/>
      <c r="BB6" s="881"/>
      <c r="BC6" s="881"/>
      <c r="BD6" s="881"/>
    </row>
    <row r="7" spans="4:57" x14ac:dyDescent="0.35">
      <c r="D7" s="1280"/>
      <c r="E7" s="1290"/>
      <c r="F7" s="212" t="s">
        <v>283</v>
      </c>
      <c r="G7" s="213" t="s">
        <v>238</v>
      </c>
      <c r="H7" s="214" t="s">
        <v>281</v>
      </c>
      <c r="I7" s="213" t="s">
        <v>282</v>
      </c>
      <c r="J7" s="213" t="s">
        <v>283</v>
      </c>
      <c r="K7" s="213" t="s">
        <v>238</v>
      </c>
      <c r="L7" s="213" t="s">
        <v>281</v>
      </c>
      <c r="M7" s="212" t="s">
        <v>282</v>
      </c>
      <c r="N7" s="213" t="s">
        <v>283</v>
      </c>
      <c r="O7" s="213" t="s">
        <v>238</v>
      </c>
      <c r="P7" s="213" t="s">
        <v>281</v>
      </c>
      <c r="Q7" s="212" t="s">
        <v>282</v>
      </c>
      <c r="R7" s="213" t="s">
        <v>283</v>
      </c>
      <c r="S7" s="213" t="s">
        <v>238</v>
      </c>
      <c r="T7" s="214" t="s">
        <v>281</v>
      </c>
      <c r="U7" s="213" t="s">
        <v>282</v>
      </c>
      <c r="V7" s="282" t="s">
        <v>283</v>
      </c>
      <c r="W7" s="329" t="s">
        <v>238</v>
      </c>
      <c r="X7" s="429" t="s">
        <v>281</v>
      </c>
      <c r="Y7" s="430" t="s">
        <v>282</v>
      </c>
      <c r="Z7" s="336" t="s">
        <v>283</v>
      </c>
      <c r="AA7" s="329" t="s">
        <v>238</v>
      </c>
      <c r="AB7" s="329" t="s">
        <v>281</v>
      </c>
      <c r="AC7" s="266" t="s">
        <v>282</v>
      </c>
      <c r="AD7" s="264" t="s">
        <v>283</v>
      </c>
      <c r="AE7" s="267" t="s">
        <v>238</v>
      </c>
      <c r="AF7" s="267" t="s">
        <v>281</v>
      </c>
      <c r="AG7" s="266" t="s">
        <v>282</v>
      </c>
      <c r="AH7" s="264" t="s">
        <v>283</v>
      </c>
      <c r="AI7" s="267" t="s">
        <v>238</v>
      </c>
      <c r="AJ7" s="268" t="s">
        <v>281</v>
      </c>
      <c r="AK7" s="861"/>
      <c r="AL7" s="861"/>
      <c r="AM7" s="861"/>
      <c r="AN7" s="861"/>
      <c r="AO7" s="861"/>
      <c r="AP7" s="861"/>
      <c r="AQ7" s="861"/>
      <c r="AR7" s="861"/>
      <c r="AS7" s="861"/>
      <c r="AT7" s="861"/>
      <c r="AU7" s="861"/>
      <c r="AV7" s="861"/>
      <c r="AW7" s="861"/>
      <c r="AX7" s="861"/>
      <c r="AY7" s="861"/>
      <c r="AZ7" s="861"/>
      <c r="BA7" s="861"/>
      <c r="BB7" s="861"/>
      <c r="BC7" s="861"/>
      <c r="BD7" s="861"/>
    </row>
    <row r="8" spans="4:57" x14ac:dyDescent="0.35">
      <c r="D8" s="818" t="s">
        <v>465</v>
      </c>
      <c r="E8" s="56"/>
      <c r="F8" s="812"/>
      <c r="G8" s="813"/>
      <c r="H8" s="813"/>
      <c r="I8" s="813"/>
      <c r="J8" s="813"/>
      <c r="K8" s="813"/>
      <c r="L8" s="813"/>
      <c r="M8" s="813"/>
      <c r="N8" s="813"/>
      <c r="O8" s="813"/>
      <c r="P8" s="813"/>
      <c r="Q8" s="813"/>
      <c r="R8" s="813"/>
      <c r="S8" s="813"/>
      <c r="T8" s="813"/>
      <c r="U8" s="860"/>
      <c r="V8" s="860"/>
      <c r="W8" s="860"/>
      <c r="X8" s="813"/>
      <c r="Y8" s="814"/>
      <c r="Z8" s="814"/>
      <c r="AA8" s="814"/>
      <c r="AB8" s="814"/>
      <c r="AC8" s="901"/>
      <c r="AD8" s="901"/>
      <c r="AE8" s="901"/>
      <c r="AF8" s="901"/>
      <c r="AG8" s="764"/>
      <c r="AH8" s="764"/>
      <c r="AI8" s="764"/>
      <c r="AJ8" s="764"/>
      <c r="AK8" s="678"/>
      <c r="AL8" s="678"/>
      <c r="AM8" s="678"/>
      <c r="AN8" s="678"/>
      <c r="AO8" s="678"/>
      <c r="AP8" s="678"/>
      <c r="AQ8" s="678"/>
      <c r="AR8" s="678"/>
      <c r="AS8" s="678"/>
      <c r="AT8" s="678"/>
      <c r="AU8" s="678"/>
      <c r="AV8" s="678"/>
      <c r="AW8" s="678"/>
      <c r="AX8" s="678"/>
      <c r="AY8" s="678"/>
      <c r="AZ8" s="678"/>
      <c r="BA8" s="678"/>
      <c r="BB8" s="678"/>
      <c r="BC8" s="678"/>
      <c r="BD8" s="678"/>
    </row>
    <row r="9" spans="4:57" ht="14.9" customHeight="1" x14ac:dyDescent="0.35">
      <c r="D9" s="488" t="s">
        <v>480</v>
      </c>
      <c r="E9" s="817"/>
      <c r="F9" s="857">
        <f t="shared" ref="F9:S9" si="0">SUM(F10:F14)</f>
        <v>3259.3999999999996</v>
      </c>
      <c r="G9" s="857">
        <f t="shared" si="0"/>
        <v>3286.9</v>
      </c>
      <c r="H9" s="857">
        <f t="shared" si="0"/>
        <v>3343.2000000000003</v>
      </c>
      <c r="I9" s="857">
        <f t="shared" si="0"/>
        <v>3392.5</v>
      </c>
      <c r="J9" s="857">
        <f t="shared" si="0"/>
        <v>3135.1000000000004</v>
      </c>
      <c r="K9" s="857">
        <f t="shared" si="0"/>
        <v>3318.9</v>
      </c>
      <c r="L9" s="857">
        <f t="shared" si="0"/>
        <v>3478.3</v>
      </c>
      <c r="M9" s="857">
        <f t="shared" si="0"/>
        <v>3638.1</v>
      </c>
      <c r="N9" s="857">
        <f t="shared" si="0"/>
        <v>3792.5</v>
      </c>
      <c r="O9" s="857">
        <f t="shared" si="0"/>
        <v>3916.4</v>
      </c>
      <c r="P9" s="857">
        <f t="shared" si="0"/>
        <v>4047.3</v>
      </c>
      <c r="Q9" s="857">
        <f t="shared" si="0"/>
        <v>4447.4000000000005</v>
      </c>
      <c r="R9" s="857">
        <f t="shared" si="0"/>
        <v>4479.2000000000007</v>
      </c>
      <c r="S9" s="857">
        <f t="shared" si="0"/>
        <v>4541.8</v>
      </c>
      <c r="T9" s="857">
        <f t="shared" ref="T9:AG9" si="1">SUM(T10,T12,T14)</f>
        <v>4515.6000000000004</v>
      </c>
      <c r="U9" s="857">
        <f t="shared" si="1"/>
        <v>4197.2</v>
      </c>
      <c r="V9" s="857">
        <f t="shared" si="1"/>
        <v>4212.5</v>
      </c>
      <c r="W9" s="857">
        <f t="shared" si="1"/>
        <v>4250.7</v>
      </c>
      <c r="X9" s="857">
        <f t="shared" si="1"/>
        <v>4287.7</v>
      </c>
      <c r="Y9" s="892">
        <f t="shared" si="1"/>
        <v>4397.3999999999996</v>
      </c>
      <c r="Z9" s="892">
        <f t="shared" si="1"/>
        <v>4417.2</v>
      </c>
      <c r="AA9" s="892">
        <f t="shared" si="1"/>
        <v>4465.3999999999996</v>
      </c>
      <c r="AB9" s="892">
        <f t="shared" si="1"/>
        <v>4505.1502025504833</v>
      </c>
      <c r="AC9" s="892">
        <f t="shared" si="1"/>
        <v>4578.0493140248691</v>
      </c>
      <c r="AD9" s="892">
        <f t="shared" si="1"/>
        <v>4609.7151547543745</v>
      </c>
      <c r="AE9" s="892">
        <f t="shared" si="1"/>
        <v>4641.6278250349551</v>
      </c>
      <c r="AF9" s="892">
        <f t="shared" si="1"/>
        <v>4673.7895125185523</v>
      </c>
      <c r="AG9" s="892">
        <f t="shared" si="1"/>
        <v>4755.9328906734345</v>
      </c>
      <c r="AH9" s="892">
        <f>SUM(AH10,AH12,AH14)</f>
        <v>4788.8460727481806</v>
      </c>
      <c r="AI9" s="892">
        <f>SUM(AI10,AI12,AI14)</f>
        <v>4822.0161930134391</v>
      </c>
      <c r="AJ9" s="892">
        <f>SUM(AJ10,AJ12,AJ14)</f>
        <v>4855.4455347977828</v>
      </c>
      <c r="AK9" s="846"/>
      <c r="AL9" s="846"/>
      <c r="AM9" s="846"/>
      <c r="AN9" s="846"/>
      <c r="AO9" s="846"/>
      <c r="AP9" s="846"/>
      <c r="AV9" s="884"/>
      <c r="AW9" s="884"/>
      <c r="AX9" s="884"/>
      <c r="AY9" s="884"/>
      <c r="AZ9" s="884"/>
      <c r="BA9" s="884"/>
      <c r="BB9" s="884"/>
      <c r="BC9" s="884"/>
      <c r="BD9" s="884"/>
    </row>
    <row r="10" spans="4:57" x14ac:dyDescent="0.35">
      <c r="D10" s="519" t="s">
        <v>481</v>
      </c>
      <c r="E10" s="39" t="s">
        <v>115</v>
      </c>
      <c r="F10" s="776">
        <f>'Haver Pivoted'!GQ27</f>
        <v>1686.7</v>
      </c>
      <c r="G10" s="776">
        <f>'Haver Pivoted'!GR27</f>
        <v>1699.8</v>
      </c>
      <c r="H10" s="776">
        <f>'Haver Pivoted'!GS27</f>
        <v>1736.2</v>
      </c>
      <c r="I10" s="776">
        <f>'Haver Pivoted'!GT27</f>
        <v>1755.2</v>
      </c>
      <c r="J10" s="776">
        <f>'Haver Pivoted'!GU27</f>
        <v>1622.1</v>
      </c>
      <c r="K10" s="776">
        <f>'Haver Pivoted'!GV27</f>
        <v>1736.6</v>
      </c>
      <c r="L10" s="776">
        <f>'Haver Pivoted'!GW27</f>
        <v>1849.4</v>
      </c>
      <c r="M10" s="776">
        <f>'Haver Pivoted'!GX27</f>
        <v>1988.7</v>
      </c>
      <c r="N10" s="776">
        <f>'Haver Pivoted'!GY27</f>
        <v>2089.5</v>
      </c>
      <c r="O10" s="776">
        <f>'Haver Pivoted'!GZ27</f>
        <v>2173.6</v>
      </c>
      <c r="P10" s="776">
        <f>'Haver Pivoted'!HA27</f>
        <v>2248</v>
      </c>
      <c r="Q10" s="776">
        <f>'Haver Pivoted'!HB27</f>
        <v>2597.4</v>
      </c>
      <c r="R10" s="776">
        <f>'Haver Pivoted'!HC27</f>
        <v>2604.3000000000002</v>
      </c>
      <c r="S10" s="776">
        <f>'Haver Pivoted'!HD27</f>
        <v>2628.3</v>
      </c>
      <c r="T10" s="891">
        <f>'Haver Pivoted'!HE27</f>
        <v>2595.6999999999998</v>
      </c>
      <c r="U10" s="891">
        <f>'Haver Pivoted'!HF27</f>
        <v>2256.3000000000002</v>
      </c>
      <c r="V10" s="891">
        <f>'Haver Pivoted'!HG27</f>
        <v>2246.8000000000002</v>
      </c>
      <c r="W10" s="891">
        <f>'Haver Pivoted'!HH27</f>
        <v>2260.5</v>
      </c>
      <c r="X10" s="891">
        <f>'Haver Pivoted'!HI27</f>
        <v>2282.1999999999998</v>
      </c>
      <c r="Y10" s="891">
        <f>'Haver Pivoted'!HJ27</f>
        <v>2356.1</v>
      </c>
      <c r="Z10" s="891">
        <f>'Haver Pivoted'!HK27</f>
        <v>2375.4</v>
      </c>
      <c r="AA10" s="891">
        <f>'Haver Pivoted'!HL27</f>
        <v>2400.3000000000002</v>
      </c>
      <c r="AB10" s="893">
        <f>AA10*(1.035)^0.25+AB11</f>
        <v>2421.0324616283119</v>
      </c>
      <c r="AC10" s="856">
        <f>AB10*(1+$L42-0.02)+AC11</f>
        <v>2474.7316666432034</v>
      </c>
      <c r="AD10" s="893">
        <f>AC10*(1.02)^0.25+AD11</f>
        <v>2487.0135905667944</v>
      </c>
      <c r="AE10" s="893">
        <f t="shared" ref="AE10:AF10" si="2">AD10*(1.02)^0.25+AE11</f>
        <v>2499.3564688384054</v>
      </c>
      <c r="AF10" s="893">
        <f t="shared" si="2"/>
        <v>2511.7606039702946</v>
      </c>
      <c r="AG10" s="856">
        <f>AF10*(1+$M42-0.02)+AG11</f>
        <v>2573.9567637695404</v>
      </c>
      <c r="AH10" s="893">
        <f>AG10*(1.02)^0.25+AH11</f>
        <v>2586.7311350605137</v>
      </c>
      <c r="AI10" s="893">
        <f>AH10*(1.02)^0.25+AI11</f>
        <v>2599.5689046820949</v>
      </c>
      <c r="AJ10" s="893">
        <f>AI10*(1.02)^0.25+AJ11</f>
        <v>2612.4703872758605</v>
      </c>
      <c r="AK10" s="846"/>
      <c r="AL10" s="846"/>
      <c r="AM10" s="846"/>
      <c r="AN10" s="846"/>
      <c r="AO10" s="846"/>
      <c r="AP10" s="846"/>
      <c r="AV10" s="678"/>
      <c r="AW10" s="678"/>
      <c r="AX10" s="678"/>
      <c r="AY10" s="678"/>
      <c r="AZ10" s="678"/>
      <c r="BA10" s="678"/>
      <c r="BB10" s="678"/>
      <c r="BC10" s="678"/>
      <c r="BD10" s="678"/>
    </row>
    <row r="11" spans="4:57" x14ac:dyDescent="0.35">
      <c r="D11" s="519" t="s">
        <v>1752</v>
      </c>
      <c r="E11" s="39"/>
      <c r="F11" s="815"/>
      <c r="G11" s="815"/>
      <c r="H11" s="815"/>
      <c r="I11" s="815"/>
      <c r="J11" s="815"/>
      <c r="K11" s="815"/>
      <c r="L11" s="815"/>
      <c r="M11" s="815"/>
      <c r="N11" s="815"/>
      <c r="O11" s="815"/>
      <c r="P11" s="815"/>
      <c r="Q11" s="815"/>
      <c r="R11" s="815"/>
      <c r="S11" s="858"/>
      <c r="T11" s="858">
        <v>46</v>
      </c>
      <c r="U11" s="858">
        <v>-5</v>
      </c>
      <c r="V11" s="858">
        <v>12</v>
      </c>
      <c r="W11" s="858">
        <v>67</v>
      </c>
      <c r="X11" s="858">
        <v>7</v>
      </c>
      <c r="Y11" s="811">
        <v>-205</v>
      </c>
      <c r="Z11" s="811">
        <v>47</v>
      </c>
      <c r="AA11" s="811">
        <v>17</v>
      </c>
      <c r="AB11" s="811">
        <v>0</v>
      </c>
      <c r="AC11" s="811">
        <v>0</v>
      </c>
      <c r="AD11" s="811">
        <v>0</v>
      </c>
      <c r="AE11" s="811">
        <v>0</v>
      </c>
      <c r="AF11" s="811">
        <v>0</v>
      </c>
      <c r="AG11" s="811">
        <v>0</v>
      </c>
      <c r="AH11" s="811">
        <v>0</v>
      </c>
      <c r="AI11" s="811">
        <v>0</v>
      </c>
      <c r="AJ11" s="811">
        <v>0</v>
      </c>
      <c r="AK11" s="846"/>
      <c r="AL11" s="846"/>
      <c r="AM11" s="846"/>
      <c r="AN11" s="846"/>
      <c r="AO11" s="846"/>
      <c r="AP11" s="846"/>
      <c r="AV11" s="678"/>
      <c r="AW11" s="678"/>
      <c r="AX11" s="678"/>
      <c r="AY11" s="678"/>
      <c r="AZ11" s="678"/>
      <c r="BA11" s="678"/>
      <c r="BB11" s="678"/>
      <c r="BC11" s="678"/>
      <c r="BD11" s="678"/>
    </row>
    <row r="12" spans="4:57" x14ac:dyDescent="0.35">
      <c r="D12" s="519" t="s">
        <v>482</v>
      </c>
      <c r="E12" s="36" t="s">
        <v>121</v>
      </c>
      <c r="F12" s="776">
        <f>'Haver Pivoted'!GQ30</f>
        <v>1403.5</v>
      </c>
      <c r="G12" s="776">
        <f>'Haver Pivoted'!GR30</f>
        <v>1410.3</v>
      </c>
      <c r="H12" s="776">
        <f>'Haver Pivoted'!GS30</f>
        <v>1428.2</v>
      </c>
      <c r="I12" s="776">
        <f>'Haver Pivoted'!GT30</f>
        <v>1453.2</v>
      </c>
      <c r="J12" s="776">
        <f>'Haver Pivoted'!GU30</f>
        <v>1383.7</v>
      </c>
      <c r="K12" s="776">
        <f>'Haver Pivoted'!GV30</f>
        <v>1433</v>
      </c>
      <c r="L12" s="776">
        <f>'Haver Pivoted'!GW30</f>
        <v>1470.2</v>
      </c>
      <c r="M12" s="776">
        <f>'Haver Pivoted'!GX30</f>
        <v>1487.2</v>
      </c>
      <c r="N12" s="776">
        <f>'Haver Pivoted'!GY30</f>
        <v>1522.5</v>
      </c>
      <c r="O12" s="776">
        <f>'Haver Pivoted'!GZ30</f>
        <v>1559</v>
      </c>
      <c r="P12" s="776">
        <f>'Haver Pivoted'!HA30</f>
        <v>1603.5</v>
      </c>
      <c r="Q12" s="776">
        <f>'Haver Pivoted'!HB30</f>
        <v>1642.9</v>
      </c>
      <c r="R12" s="776">
        <f>'Haver Pivoted'!HC30</f>
        <v>1665.9</v>
      </c>
      <c r="S12" s="776">
        <f>'Haver Pivoted'!HD30</f>
        <v>1713.2</v>
      </c>
      <c r="T12" s="891">
        <f>'Haver Pivoted'!HE30</f>
        <v>1729.9</v>
      </c>
      <c r="U12" s="891">
        <f>'Haver Pivoted'!HF30</f>
        <v>1761.2</v>
      </c>
      <c r="V12" s="891">
        <f>'Haver Pivoted'!HG30</f>
        <v>1789.9</v>
      </c>
      <c r="W12" s="891">
        <f>'Haver Pivoted'!HH30</f>
        <v>1818</v>
      </c>
      <c r="X12" s="891">
        <f>'Haver Pivoted'!HI30</f>
        <v>1836.2</v>
      </c>
      <c r="Y12" s="891">
        <f>'Haver Pivoted'!HJ30</f>
        <v>1864.1</v>
      </c>
      <c r="Z12" s="891">
        <f>'Haver Pivoted'!HK30</f>
        <v>1869.4</v>
      </c>
      <c r="AA12" s="891">
        <f>'Haver Pivoted'!HL30</f>
        <v>1883.7</v>
      </c>
      <c r="AB12" s="893">
        <f t="shared" ref="AB12:AJ12" si="3">AA12*(1+$L44)^0.25+AB13</f>
        <v>1899.9687561238904</v>
      </c>
      <c r="AC12" s="893">
        <f t="shared" si="3"/>
        <v>1916.3780189239069</v>
      </c>
      <c r="AD12" s="893">
        <f t="shared" si="3"/>
        <v>1932.9290018994643</v>
      </c>
      <c r="AE12" s="893">
        <f t="shared" si="3"/>
        <v>1949.6229290304816</v>
      </c>
      <c r="AF12" s="893">
        <f t="shared" si="3"/>
        <v>1966.4610348678984</v>
      </c>
      <c r="AG12" s="893">
        <f t="shared" si="3"/>
        <v>1983.4445646249719</v>
      </c>
      <c r="AH12" s="893">
        <f t="shared" si="3"/>
        <v>2000.5747742693632</v>
      </c>
      <c r="AI12" s="893">
        <f t="shared" si="3"/>
        <v>2017.852930616019</v>
      </c>
      <c r="AJ12" s="893">
        <f t="shared" si="3"/>
        <v>2035.280311420855</v>
      </c>
      <c r="AK12" s="846"/>
      <c r="AL12" s="846"/>
      <c r="AM12" s="846"/>
      <c r="AN12" s="846"/>
      <c r="AO12" s="846"/>
      <c r="AP12" s="846"/>
      <c r="AV12" s="678"/>
      <c r="AW12" s="678"/>
      <c r="AX12" s="678"/>
      <c r="AY12" s="678"/>
      <c r="AZ12" s="678"/>
      <c r="BA12" s="678"/>
      <c r="BB12" s="678"/>
      <c r="BC12" s="678"/>
      <c r="BD12" s="678"/>
    </row>
    <row r="13" spans="4:57" x14ac:dyDescent="0.35">
      <c r="D13" s="519" t="s">
        <v>1735</v>
      </c>
      <c r="E13" s="36"/>
      <c r="F13" s="815"/>
      <c r="G13" s="815"/>
      <c r="H13" s="815"/>
      <c r="I13" s="815"/>
      <c r="J13" s="815"/>
      <c r="K13" s="815"/>
      <c r="L13" s="815"/>
      <c r="M13" s="815"/>
      <c r="N13" s="815"/>
      <c r="O13" s="815"/>
      <c r="P13" s="815"/>
      <c r="Q13" s="815"/>
      <c r="R13" s="815"/>
      <c r="S13" s="815"/>
      <c r="T13" s="858"/>
      <c r="U13" s="858">
        <v>8</v>
      </c>
      <c r="V13" s="858">
        <v>-10</v>
      </c>
      <c r="W13" s="858">
        <v>-5</v>
      </c>
      <c r="X13" s="858">
        <v>-6</v>
      </c>
      <c r="Y13" s="811">
        <v>21</v>
      </c>
      <c r="Z13" s="811">
        <v>5</v>
      </c>
      <c r="AA13" s="811">
        <v>-10</v>
      </c>
      <c r="AB13" s="811"/>
      <c r="AC13" s="811"/>
      <c r="AD13" s="811"/>
      <c r="AE13" s="811"/>
      <c r="AF13" s="811"/>
      <c r="AG13" s="811"/>
      <c r="AH13" s="893"/>
      <c r="AI13" s="893"/>
      <c r="AJ13" s="893"/>
      <c r="AK13" s="846"/>
      <c r="AL13" s="846"/>
      <c r="AM13" s="846"/>
      <c r="AN13" s="846"/>
      <c r="AO13" s="846"/>
      <c r="AP13" s="846"/>
      <c r="AV13" s="678"/>
      <c r="AW13" s="678"/>
      <c r="AX13" s="678"/>
      <c r="AY13" s="678"/>
      <c r="AZ13" s="678"/>
      <c r="BA13" s="678"/>
      <c r="BB13" s="678"/>
      <c r="BC13" s="678"/>
      <c r="BD13" s="678"/>
    </row>
    <row r="14" spans="4:57" x14ac:dyDescent="0.35">
      <c r="D14" s="519" t="s">
        <v>483</v>
      </c>
      <c r="E14" s="39" t="s">
        <v>117</v>
      </c>
      <c r="F14" s="776">
        <f>'Haver Pivoted'!GQ28</f>
        <v>169.2</v>
      </c>
      <c r="G14" s="776">
        <f>'Haver Pivoted'!GR28</f>
        <v>176.8</v>
      </c>
      <c r="H14" s="776">
        <f>'Haver Pivoted'!GS28</f>
        <v>178.8</v>
      </c>
      <c r="I14" s="776">
        <f>'Haver Pivoted'!GT28</f>
        <v>184.1</v>
      </c>
      <c r="J14" s="776">
        <f>'Haver Pivoted'!GU28</f>
        <v>129.30000000000001</v>
      </c>
      <c r="K14" s="776">
        <f>'Haver Pivoted'!GV28</f>
        <v>149.30000000000001</v>
      </c>
      <c r="L14" s="776">
        <f>'Haver Pivoted'!GW28</f>
        <v>158.69999999999999</v>
      </c>
      <c r="M14" s="776">
        <f>'Haver Pivoted'!GX28</f>
        <v>162.19999999999999</v>
      </c>
      <c r="N14" s="776">
        <f>'Haver Pivoted'!GY28</f>
        <v>180.5</v>
      </c>
      <c r="O14" s="776">
        <f>'Haver Pivoted'!GZ28</f>
        <v>183.8</v>
      </c>
      <c r="P14" s="776">
        <f>'Haver Pivoted'!HA28</f>
        <v>195.8</v>
      </c>
      <c r="Q14" s="776">
        <f>'Haver Pivoted'!HB28</f>
        <v>207.1</v>
      </c>
      <c r="R14" s="776">
        <f>'Haver Pivoted'!HC28</f>
        <v>209</v>
      </c>
      <c r="S14" s="776">
        <f>'Haver Pivoted'!HD28</f>
        <v>200.3</v>
      </c>
      <c r="T14" s="891">
        <f>'Haver Pivoted'!HE28</f>
        <v>190</v>
      </c>
      <c r="U14" s="891">
        <f>'Haver Pivoted'!HF28</f>
        <v>179.7</v>
      </c>
      <c r="V14" s="891">
        <f>'Haver Pivoted'!HG28</f>
        <v>175.8</v>
      </c>
      <c r="W14" s="891">
        <f>'Haver Pivoted'!HH28</f>
        <v>172.2</v>
      </c>
      <c r="X14" s="891">
        <f>'Haver Pivoted'!HI28</f>
        <v>169.3</v>
      </c>
      <c r="Y14" s="891">
        <f>'Haver Pivoted'!HJ28</f>
        <v>177.2</v>
      </c>
      <c r="Z14" s="891">
        <f>'Haver Pivoted'!HK28</f>
        <v>172.4</v>
      </c>
      <c r="AA14" s="891">
        <f>'Haver Pivoted'!HL28</f>
        <v>181.4</v>
      </c>
      <c r="AB14" s="893">
        <f>AA14*(1+$L45)^0.25</f>
        <v>184.14898479828076</v>
      </c>
      <c r="AC14" s="893">
        <f t="shared" ref="AC14:AJ14" si="4">AB14*(1+$L45)^0.25</f>
        <v>186.93962845775874</v>
      </c>
      <c r="AD14" s="893">
        <f t="shared" si="4"/>
        <v>189.77256228811504</v>
      </c>
      <c r="AE14" s="893">
        <f t="shared" si="4"/>
        <v>192.64842716606881</v>
      </c>
      <c r="AF14" s="893">
        <f t="shared" si="4"/>
        <v>195.5678736803589</v>
      </c>
      <c r="AG14" s="893">
        <f t="shared" si="4"/>
        <v>198.53156227892228</v>
      </c>
      <c r="AH14" s="893">
        <f t="shared" si="4"/>
        <v>201.54016341830314</v>
      </c>
      <c r="AI14" s="893">
        <f t="shared" si="4"/>
        <v>204.59435771532591</v>
      </c>
      <c r="AJ14" s="893">
        <f t="shared" si="4"/>
        <v>207.69483610106707</v>
      </c>
      <c r="AK14" s="846"/>
      <c r="AL14" s="846"/>
      <c r="AM14" s="846"/>
      <c r="AN14" s="846"/>
      <c r="AO14" s="846"/>
      <c r="AP14" s="846"/>
      <c r="AV14" s="678"/>
      <c r="AW14" s="678"/>
      <c r="AX14" s="678"/>
      <c r="AY14" s="678"/>
      <c r="AZ14" s="678"/>
      <c r="BA14" s="678"/>
      <c r="BB14" s="678"/>
      <c r="BC14" s="678"/>
      <c r="BD14" s="678"/>
    </row>
    <row r="15" spans="4:57" x14ac:dyDescent="0.35">
      <c r="D15" s="876" t="s">
        <v>1429</v>
      </c>
      <c r="E15" s="877"/>
      <c r="F15" s="816"/>
      <c r="G15" s="815"/>
      <c r="H15" s="815"/>
      <c r="I15" s="815"/>
      <c r="J15" s="815"/>
      <c r="K15" s="815"/>
      <c r="L15" s="815"/>
      <c r="M15" s="815"/>
      <c r="N15" s="815"/>
      <c r="O15" s="815"/>
      <c r="P15" s="815"/>
      <c r="Q15" s="815"/>
      <c r="R15" s="815"/>
      <c r="S15" s="858"/>
      <c r="T15" s="858"/>
      <c r="U15" s="858">
        <v>0</v>
      </c>
      <c r="V15" s="858">
        <v>0</v>
      </c>
      <c r="W15" s="858">
        <v>0</v>
      </c>
      <c r="X15" s="858">
        <v>0</v>
      </c>
      <c r="Y15" s="811">
        <v>0</v>
      </c>
      <c r="Z15" s="811">
        <v>0</v>
      </c>
      <c r="AA15" s="811">
        <v>0</v>
      </c>
      <c r="AB15" s="811">
        <v>0</v>
      </c>
      <c r="AC15" s="811">
        <v>0</v>
      </c>
      <c r="AD15" s="811">
        <v>0</v>
      </c>
      <c r="AE15" s="811">
        <v>0</v>
      </c>
      <c r="AF15" s="811">
        <v>0</v>
      </c>
      <c r="AG15" s="811">
        <v>0</v>
      </c>
      <c r="AH15" s="893"/>
      <c r="AI15" s="893"/>
      <c r="AJ15" s="893"/>
      <c r="AK15" s="846"/>
      <c r="AL15" s="846"/>
      <c r="AM15" s="846"/>
      <c r="AN15" s="846"/>
      <c r="AO15" s="846"/>
      <c r="AP15" s="846"/>
      <c r="AV15" s="678"/>
      <c r="AW15" s="678"/>
      <c r="AX15" s="678"/>
      <c r="AY15" s="678"/>
      <c r="AZ15" s="678"/>
      <c r="BA15" s="678"/>
      <c r="BB15" s="678"/>
      <c r="BC15" s="678"/>
      <c r="BD15" s="678"/>
    </row>
    <row r="16" spans="4:57" ht="14.9" customHeight="1" x14ac:dyDescent="0.35">
      <c r="D16" s="421" t="s">
        <v>1880</v>
      </c>
      <c r="E16" s="873" t="s">
        <v>119</v>
      </c>
      <c r="F16" s="804">
        <f>'Haver Pivoted'!GQ29</f>
        <v>205.6</v>
      </c>
      <c r="G16" s="859">
        <f>'Haver Pivoted'!GR29</f>
        <v>206.9</v>
      </c>
      <c r="H16" s="859">
        <f>'Haver Pivoted'!GS29</f>
        <v>231.9</v>
      </c>
      <c r="I16" s="859">
        <f>'Haver Pivoted'!GT29</f>
        <v>191.5</v>
      </c>
      <c r="J16" s="859">
        <f>'Haver Pivoted'!GU29</f>
        <v>199.6</v>
      </c>
      <c r="K16" s="859">
        <f>'Haver Pivoted'!GV29</f>
        <v>258.60000000000002</v>
      </c>
      <c r="L16" s="859">
        <f>'Haver Pivoted'!GW29</f>
        <v>251.2</v>
      </c>
      <c r="M16" s="859">
        <f>'Haver Pivoted'!GX29</f>
        <v>289.89999999999998</v>
      </c>
      <c r="N16" s="859">
        <f>'Haver Pivoted'!GY29</f>
        <v>343.9</v>
      </c>
      <c r="O16" s="859">
        <f>'Haver Pivoted'!GZ29</f>
        <v>344.5</v>
      </c>
      <c r="P16" s="859">
        <f>'Haver Pivoted'!HA29</f>
        <v>357.9</v>
      </c>
      <c r="Q16" s="859">
        <f>'Haver Pivoted'!HB29</f>
        <v>379.6</v>
      </c>
      <c r="R16" s="859">
        <f>'Haver Pivoted'!HC29</f>
        <v>417.1</v>
      </c>
      <c r="S16" s="859">
        <f>'Haver Pivoted'!HD29</f>
        <v>402.2</v>
      </c>
      <c r="T16" s="855">
        <f>'Haver Pivoted'!HE29</f>
        <v>406.9</v>
      </c>
      <c r="U16" s="855">
        <f>'Haver Pivoted'!HF29</f>
        <v>434.3</v>
      </c>
      <c r="V16" s="855">
        <f>'Haver Pivoted'!HG29</f>
        <v>429.4</v>
      </c>
      <c r="W16" s="855">
        <f>'Haver Pivoted'!HH29</f>
        <v>451.9</v>
      </c>
      <c r="X16" s="855">
        <f>'Haver Pivoted'!HI29</f>
        <v>464.8</v>
      </c>
      <c r="Y16" s="855">
        <f>'Haver Pivoted'!HJ29</f>
        <v>459.9</v>
      </c>
      <c r="Z16" s="855">
        <f>'Haver Pivoted'!HK29</f>
        <v>493.4</v>
      </c>
      <c r="AA16" s="855">
        <f>'Haver Pivoted'!HL29</f>
        <v>483.1</v>
      </c>
      <c r="AB16" s="893">
        <f>AA16*(1+$L46)^0.25</f>
        <v>492.80191224668437</v>
      </c>
      <c r="AC16" s="893">
        <f>AB16*(1+$L46)^0.25</f>
        <v>502.69866428066405</v>
      </c>
      <c r="AD16" s="893">
        <f>AC16*(1+$L46)^0.25</f>
        <v>512.79416899475314</v>
      </c>
      <c r="AE16" s="893">
        <f>AD16*(1+$L46)^0.25</f>
        <v>523.09241786289329</v>
      </c>
      <c r="AF16" s="893">
        <f>AE16*(1+$M46)^0.25</f>
        <v>521.77153758845338</v>
      </c>
      <c r="AG16" s="893">
        <f>AF16*(1+$M46)^0.25</f>
        <v>520.45399271831275</v>
      </c>
      <c r="AH16" s="893">
        <f>AG16*(1+$M46)^0.25</f>
        <v>519.13977483011683</v>
      </c>
      <c r="AI16" s="893">
        <f>AH16*(1+$M46)^0.25</f>
        <v>517.82887552277884</v>
      </c>
      <c r="AJ16" s="893">
        <f>AI16*(1+$M46)^0.25</f>
        <v>516.52128641642582</v>
      </c>
      <c r="AK16" s="846"/>
      <c r="AL16" s="846"/>
      <c r="AM16" s="846"/>
      <c r="AN16" s="846"/>
      <c r="AO16" s="846"/>
      <c r="AP16" s="846"/>
      <c r="AV16" s="884"/>
      <c r="AW16" s="884"/>
      <c r="AX16" s="884"/>
      <c r="AY16" s="884"/>
      <c r="AZ16" s="884"/>
      <c r="BA16" s="884"/>
      <c r="BB16" s="884"/>
      <c r="BC16" s="884"/>
      <c r="BD16" s="884"/>
    </row>
    <row r="17" spans="4:56" ht="14.9" customHeight="1" x14ac:dyDescent="0.35">
      <c r="D17" s="421"/>
      <c r="E17" s="873"/>
      <c r="F17" s="804"/>
      <c r="G17" s="859"/>
      <c r="H17" s="859"/>
      <c r="I17" s="859"/>
      <c r="J17" s="859"/>
      <c r="K17" s="859"/>
      <c r="L17" s="859"/>
      <c r="M17" s="859"/>
      <c r="N17" s="859"/>
      <c r="O17" s="859"/>
      <c r="P17" s="859"/>
      <c r="Q17" s="859"/>
      <c r="R17" s="859"/>
      <c r="S17" s="859"/>
      <c r="T17" s="859"/>
      <c r="U17" s="859"/>
      <c r="V17" s="859"/>
      <c r="W17" s="859"/>
      <c r="X17" s="889"/>
      <c r="Y17" s="889"/>
      <c r="Z17" s="889"/>
      <c r="AA17" s="889"/>
      <c r="AB17" s="889"/>
      <c r="AC17" s="889"/>
      <c r="AD17" s="889"/>
      <c r="AE17" s="889"/>
      <c r="AF17" s="889"/>
      <c r="AG17" s="889"/>
      <c r="AH17" s="889"/>
      <c r="AI17" s="889"/>
      <c r="AJ17" s="889"/>
      <c r="AK17" s="846"/>
      <c r="AL17" s="846"/>
      <c r="AM17" s="846"/>
      <c r="AN17" s="846"/>
      <c r="AO17" s="846"/>
      <c r="AP17" s="846"/>
      <c r="AV17" s="884"/>
      <c r="AW17" s="884"/>
      <c r="AX17" s="884"/>
      <c r="AY17" s="884"/>
      <c r="AZ17" s="884"/>
      <c r="BA17" s="884"/>
      <c r="BB17" s="884"/>
      <c r="BC17" s="884"/>
      <c r="BD17" s="884"/>
    </row>
    <row r="18" spans="4:56" x14ac:dyDescent="0.35">
      <c r="D18" s="810" t="s">
        <v>472</v>
      </c>
      <c r="E18" s="414"/>
      <c r="F18" s="910"/>
      <c r="G18" s="902"/>
      <c r="H18" s="902"/>
      <c r="I18" s="902"/>
      <c r="J18" s="902"/>
      <c r="K18" s="902"/>
      <c r="L18" s="902"/>
      <c r="M18" s="902"/>
      <c r="N18" s="902"/>
      <c r="O18" s="902"/>
      <c r="P18" s="902"/>
      <c r="Q18" s="902"/>
      <c r="R18" s="902"/>
      <c r="S18" s="902"/>
      <c r="T18" s="902"/>
      <c r="U18" s="813"/>
      <c r="V18" s="902"/>
      <c r="W18" s="902"/>
      <c r="X18" s="902"/>
      <c r="Y18" s="902"/>
      <c r="Z18" s="902"/>
      <c r="AA18" s="902"/>
      <c r="AB18" s="902"/>
      <c r="AC18" s="902"/>
      <c r="AF18" s="846"/>
      <c r="AG18" s="846"/>
      <c r="AH18" s="846"/>
      <c r="AI18" s="846"/>
      <c r="AJ18" s="846"/>
      <c r="AK18" s="846"/>
      <c r="AL18" s="846"/>
      <c r="AM18" s="846"/>
      <c r="AN18" s="846"/>
      <c r="AO18" s="846"/>
      <c r="AP18" s="846"/>
    </row>
    <row r="19" spans="4:56" ht="14.9" customHeight="1" x14ac:dyDescent="0.35">
      <c r="D19" s="883" t="s">
        <v>480</v>
      </c>
      <c r="E19" s="874"/>
      <c r="F19" s="804">
        <f t="shared" ref="F19:P19" si="5">SUM(F21:F24)</f>
        <v>1902.8</v>
      </c>
      <c r="G19" s="859">
        <f t="shared" si="5"/>
        <v>1893</v>
      </c>
      <c r="H19" s="859">
        <f t="shared" si="5"/>
        <v>1884.1999999999998</v>
      </c>
      <c r="I19" s="859">
        <f t="shared" si="5"/>
        <v>1885.8999999999999</v>
      </c>
      <c r="J19" s="859">
        <f t="shared" si="5"/>
        <v>1793.2</v>
      </c>
      <c r="K19" s="859">
        <f t="shared" si="5"/>
        <v>1921.7</v>
      </c>
      <c r="L19" s="859">
        <f t="shared" si="5"/>
        <v>1960.7</v>
      </c>
      <c r="M19" s="859">
        <f t="shared" si="5"/>
        <v>2016.5</v>
      </c>
      <c r="N19" s="859">
        <f t="shared" si="5"/>
        <v>2132.4</v>
      </c>
      <c r="O19" s="859">
        <f t="shared" si="5"/>
        <v>2137.3000000000002</v>
      </c>
      <c r="P19" s="859">
        <f t="shared" si="5"/>
        <v>2201.5</v>
      </c>
      <c r="Q19" s="859">
        <f>SUM(Q20:Q24)</f>
        <v>2285.4</v>
      </c>
      <c r="R19" s="859">
        <f t="shared" ref="R19:T19" si="6">SUM(R20:R24)</f>
        <v>2360.4</v>
      </c>
      <c r="S19" s="859">
        <f t="shared" si="6"/>
        <v>2287.5</v>
      </c>
      <c r="T19" s="859">
        <f t="shared" si="6"/>
        <v>2306.3000000000002</v>
      </c>
      <c r="U19" s="859">
        <f>SUM(U21:U24)</f>
        <v>2296.6</v>
      </c>
      <c r="V19" s="859">
        <f>SUM(V20:V24)</f>
        <v>2311.5</v>
      </c>
      <c r="W19" s="859">
        <f>SUM(W20,W21,W23,W24)</f>
        <v>2350.6999999999998</v>
      </c>
      <c r="X19" s="859">
        <f>SUM(X20,X21,X23,X24)</f>
        <v>2379.1999999999998</v>
      </c>
      <c r="Y19" s="895">
        <f>SUM(Y20,Y21,Y23,Y24)</f>
        <v>2395.3000000000002</v>
      </c>
      <c r="Z19" s="895">
        <f t="shared" ref="Z19:AF19" si="7">SUM(Z20,Z21,Z23,Z24)</f>
        <v>2439</v>
      </c>
      <c r="AA19" s="895">
        <f t="shared" si="7"/>
        <v>2483.3000000000002</v>
      </c>
      <c r="AB19" s="895">
        <f>SUM(AB20,AB21,AB23,AB24)</f>
        <v>2522.3352032781881</v>
      </c>
      <c r="AC19" s="895">
        <f t="shared" si="7"/>
        <v>2548.4477238015807</v>
      </c>
      <c r="AD19" s="895">
        <f t="shared" si="7"/>
        <v>2574.4889400849438</v>
      </c>
      <c r="AE19" s="895">
        <f t="shared" si="7"/>
        <v>2599.5223654779847</v>
      </c>
      <c r="AF19" s="895">
        <f t="shared" si="7"/>
        <v>2624.2463910483311</v>
      </c>
      <c r="AG19" s="895">
        <f>SUM(AG20,AG21,AG23,AG24)</f>
        <v>2646.389283360335</v>
      </c>
      <c r="AH19" s="895">
        <f>SUM(AH20,AH21,AH23,AH24)</f>
        <v>2669.3912425599988</v>
      </c>
      <c r="AI19" s="895">
        <f>SUM(AI20,AI21,AI23,AI24)</f>
        <v>2692.9029408733345</v>
      </c>
      <c r="AJ19" s="895">
        <f>SUM(AJ20,AJ21,AJ23,AJ24)</f>
        <v>2716.4632564397216</v>
      </c>
      <c r="AK19" s="846"/>
      <c r="AL19" s="846"/>
      <c r="AM19" s="846"/>
      <c r="AN19" s="846"/>
      <c r="AO19" s="846"/>
      <c r="AP19" s="846"/>
    </row>
    <row r="20" spans="4:56" ht="42" customHeight="1" x14ac:dyDescent="0.35">
      <c r="D20" s="879" t="s">
        <v>826</v>
      </c>
      <c r="E20" s="874"/>
      <c r="F20" s="804"/>
      <c r="G20" s="859"/>
      <c r="H20" s="859"/>
      <c r="I20" s="859"/>
      <c r="J20" s="859"/>
      <c r="K20" s="859"/>
      <c r="L20" s="859"/>
      <c r="M20" s="859"/>
      <c r="N20" s="859"/>
      <c r="O20" s="859"/>
      <c r="P20" s="859"/>
      <c r="Q20" s="399"/>
      <c r="R20" s="399"/>
      <c r="S20" s="399"/>
      <c r="T20" s="399"/>
      <c r="U20" s="399">
        <v>0</v>
      </c>
      <c r="V20" s="399"/>
      <c r="W20" s="399"/>
      <c r="X20" s="399"/>
      <c r="Y20" s="346"/>
      <c r="Z20" s="346"/>
      <c r="AA20" s="346"/>
      <c r="AB20" s="346"/>
      <c r="AC20" s="346"/>
      <c r="AD20" s="346"/>
      <c r="AE20" s="346"/>
      <c r="AF20" s="346"/>
      <c r="AG20" s="346"/>
      <c r="AH20" s="346"/>
      <c r="AI20" s="346"/>
      <c r="AJ20" s="346"/>
      <c r="AK20" s="846"/>
      <c r="AL20" s="846"/>
      <c r="AM20" s="846"/>
      <c r="AN20" s="846"/>
      <c r="AO20" s="846"/>
      <c r="AP20" s="846"/>
    </row>
    <row r="21" spans="4:56" x14ac:dyDescent="0.35">
      <c r="D21" s="519" t="s">
        <v>485</v>
      </c>
      <c r="E21" s="36" t="s">
        <v>486</v>
      </c>
      <c r="F21" s="849">
        <f>'Haver Pivoted'!GQ33</f>
        <v>531</v>
      </c>
      <c r="G21" s="776">
        <f>'Haver Pivoted'!GR33</f>
        <v>495.6</v>
      </c>
      <c r="H21" s="776">
        <f>'Haver Pivoted'!GS33</f>
        <v>490.1</v>
      </c>
      <c r="I21" s="776">
        <f>'Haver Pivoted'!GT33</f>
        <v>492.5</v>
      </c>
      <c r="J21" s="776">
        <f>'Haver Pivoted'!GU33</f>
        <v>485.2</v>
      </c>
      <c r="K21" s="776">
        <f>'Haver Pivoted'!GV33</f>
        <v>511.6</v>
      </c>
      <c r="L21" s="776">
        <f>'Haver Pivoted'!GW33</f>
        <v>528.4</v>
      </c>
      <c r="M21" s="776">
        <f>'Haver Pivoted'!GX33</f>
        <v>559</v>
      </c>
      <c r="N21" s="776">
        <f>'Haver Pivoted'!GY33</f>
        <v>586.1</v>
      </c>
      <c r="O21" s="776">
        <f>'Haver Pivoted'!GZ33</f>
        <v>576.4</v>
      </c>
      <c r="P21" s="776">
        <f>'Haver Pivoted'!HA33</f>
        <v>599.1</v>
      </c>
      <c r="Q21" s="776">
        <f>'Haver Pivoted'!HB33</f>
        <v>656.7</v>
      </c>
      <c r="R21" s="776">
        <f>'Haver Pivoted'!HC33</f>
        <v>693.1</v>
      </c>
      <c r="S21" s="776">
        <f>'Haver Pivoted'!HD33</f>
        <v>596.6</v>
      </c>
      <c r="T21" s="891">
        <f>'Haver Pivoted'!HE33</f>
        <v>607.6</v>
      </c>
      <c r="U21" s="891">
        <f>'Haver Pivoted'!HF33</f>
        <v>578</v>
      </c>
      <c r="V21" s="891">
        <f>'Haver Pivoted'!HG33</f>
        <v>581.6</v>
      </c>
      <c r="W21" s="891">
        <f>'Haver Pivoted'!HH33</f>
        <v>605.5</v>
      </c>
      <c r="X21" s="891">
        <f>'Haver Pivoted'!HI33</f>
        <v>612.1</v>
      </c>
      <c r="Y21" s="891">
        <f>'Haver Pivoted'!HJ33</f>
        <v>609.5</v>
      </c>
      <c r="Z21" s="891">
        <f>'Haver Pivoted'!HK33</f>
        <v>630</v>
      </c>
      <c r="AA21" s="891">
        <f>'Haver Pivoted'!HL33</f>
        <v>658.1</v>
      </c>
      <c r="AB21" s="896">
        <f>$Y126*AB135*(AB108/$Y108)+AB20+AB22</f>
        <v>676.2176216571936</v>
      </c>
      <c r="AC21" s="896">
        <f>$Y126*AC135*(AC108/$Y108)+AC20+AC22</f>
        <v>684.97812770786345</v>
      </c>
      <c r="AD21" s="896">
        <f t="shared" ref="AD21:AH21" si="8">$Y126*AD135*(AD108/$Y108)+AD20+AD22</f>
        <v>693.61122073814238</v>
      </c>
      <c r="AE21" s="896">
        <f t="shared" si="8"/>
        <v>702.06180322569901</v>
      </c>
      <c r="AF21" s="896">
        <f t="shared" si="8"/>
        <v>710.7327758025807</v>
      </c>
      <c r="AG21" s="896">
        <f t="shared" si="8"/>
        <v>718.90098348818969</v>
      </c>
      <c r="AH21" s="896">
        <f t="shared" si="8"/>
        <v>726.68695211262548</v>
      </c>
      <c r="AI21" s="896">
        <f t="shared" ref="AI21:AJ21" si="9">$Y126*AI135*(AI108/$Y108)+AI20+AI22</f>
        <v>734.10789965161666</v>
      </c>
      <c r="AJ21" s="896">
        <f t="shared" si="9"/>
        <v>740.82979737603011</v>
      </c>
      <c r="AK21" s="846"/>
      <c r="AL21" s="846"/>
      <c r="AM21" s="846"/>
      <c r="AN21" s="846"/>
      <c r="AO21" s="846"/>
      <c r="AP21" s="846"/>
    </row>
    <row r="22" spans="4:56" x14ac:dyDescent="0.35">
      <c r="D22" s="519" t="s">
        <v>1888</v>
      </c>
      <c r="E22" s="36"/>
      <c r="F22" s="849"/>
      <c r="G22" s="776"/>
      <c r="H22" s="776"/>
      <c r="I22" s="776"/>
      <c r="J22" s="776"/>
      <c r="K22" s="776"/>
      <c r="L22" s="776"/>
      <c r="M22" s="776"/>
      <c r="N22" s="776"/>
      <c r="O22" s="776"/>
      <c r="P22" s="776"/>
      <c r="Q22" s="776"/>
      <c r="R22" s="776"/>
      <c r="S22" s="776"/>
      <c r="T22" s="776"/>
      <c r="U22" s="776"/>
      <c r="V22" s="776"/>
      <c r="W22" s="776">
        <v>20</v>
      </c>
      <c r="X22" s="776">
        <v>20</v>
      </c>
      <c r="Y22" s="896">
        <v>0</v>
      </c>
      <c r="Z22" s="896">
        <f>-24</f>
        <v>-24</v>
      </c>
      <c r="AA22" s="896">
        <f>-11</f>
        <v>-11</v>
      </c>
      <c r="AB22" s="896">
        <f>-11</f>
        <v>-11</v>
      </c>
      <c r="AC22" s="896">
        <f t="shared" ref="AC22:AJ22" si="10">-11</f>
        <v>-11</v>
      </c>
      <c r="AD22" s="896">
        <f t="shared" si="10"/>
        <v>-11</v>
      </c>
      <c r="AE22" s="896">
        <f t="shared" si="10"/>
        <v>-11</v>
      </c>
      <c r="AF22" s="896">
        <f t="shared" si="10"/>
        <v>-11</v>
      </c>
      <c r="AG22" s="896">
        <f>-11</f>
        <v>-11</v>
      </c>
      <c r="AH22" s="896">
        <f t="shared" si="10"/>
        <v>-11</v>
      </c>
      <c r="AI22" s="896">
        <f t="shared" si="10"/>
        <v>-11</v>
      </c>
      <c r="AJ22" s="896">
        <f t="shared" si="10"/>
        <v>-11</v>
      </c>
      <c r="AK22" s="846"/>
      <c r="AL22" s="846"/>
      <c r="AM22" s="846"/>
      <c r="AN22" s="846"/>
      <c r="AO22" s="846"/>
      <c r="AP22" s="846"/>
    </row>
    <row r="23" spans="4:56" x14ac:dyDescent="0.35">
      <c r="D23" s="519" t="s">
        <v>482</v>
      </c>
      <c r="E23" s="36" t="s">
        <v>487</v>
      </c>
      <c r="F23" s="849">
        <f>'Haver Pivoted'!GQ36</f>
        <v>20.8</v>
      </c>
      <c r="G23" s="776">
        <f>'Haver Pivoted'!GR36</f>
        <v>20.6</v>
      </c>
      <c r="H23" s="776">
        <f>'Haver Pivoted'!GS36</f>
        <v>20.5</v>
      </c>
      <c r="I23" s="776">
        <f>'Haver Pivoted'!GT36</f>
        <v>20.3</v>
      </c>
      <c r="J23" s="776">
        <f>'Haver Pivoted'!GU36</f>
        <v>19.3</v>
      </c>
      <c r="K23" s="776">
        <f>'Haver Pivoted'!GV36</f>
        <v>19.899999999999999</v>
      </c>
      <c r="L23" s="776">
        <f>'Haver Pivoted'!GW36</f>
        <v>20.6</v>
      </c>
      <c r="M23" s="776">
        <f>'Haver Pivoted'!GX36</f>
        <v>21.3</v>
      </c>
      <c r="N23" s="776">
        <f>'Haver Pivoted'!GY36</f>
        <v>22</v>
      </c>
      <c r="O23" s="776">
        <f>'Haver Pivoted'!GZ36</f>
        <v>22.6</v>
      </c>
      <c r="P23" s="776">
        <f>'Haver Pivoted'!HA36</f>
        <v>23.1</v>
      </c>
      <c r="Q23" s="776">
        <f>'Haver Pivoted'!HB36</f>
        <v>23.4</v>
      </c>
      <c r="R23" s="776">
        <f>'Haver Pivoted'!HC36</f>
        <v>23.1</v>
      </c>
      <c r="S23" s="776">
        <f>'Haver Pivoted'!HD36</f>
        <v>22.7</v>
      </c>
      <c r="T23" s="891">
        <f>'Haver Pivoted'!HE36</f>
        <v>21.8</v>
      </c>
      <c r="U23" s="891">
        <f>'Haver Pivoted'!HF36</f>
        <v>20.8</v>
      </c>
      <c r="V23" s="891">
        <f>'Haver Pivoted'!HG36</f>
        <v>20.5</v>
      </c>
      <c r="W23" s="891">
        <f>'Haver Pivoted'!HH36</f>
        <v>21.2</v>
      </c>
      <c r="X23" s="891">
        <f>'Haver Pivoted'!HI36</f>
        <v>22.8</v>
      </c>
      <c r="Y23" s="891">
        <f>'Haver Pivoted'!HJ36</f>
        <v>25</v>
      </c>
      <c r="Z23" s="891">
        <f>'Haver Pivoted'!HK36</f>
        <v>26.7</v>
      </c>
      <c r="AA23" s="891">
        <f>'Haver Pivoted'!HL36</f>
        <v>27.5</v>
      </c>
      <c r="AB23" s="896">
        <f>$Y127*AB136*(AB109/$Y109)</f>
        <v>28.070862086740757</v>
      </c>
      <c r="AC23" s="896">
        <f t="shared" ref="AC23:AH23" si="11">$Y127*AC136*(AC109/$Y109)</f>
        <v>28.376234742197198</v>
      </c>
      <c r="AD23" s="896">
        <f t="shared" si="11"/>
        <v>28.682933183422634</v>
      </c>
      <c r="AE23" s="896">
        <f t="shared" si="11"/>
        <v>28.98609619593077</v>
      </c>
      <c r="AF23" s="896">
        <f t="shared" si="11"/>
        <v>29.289038244144074</v>
      </c>
      <c r="AG23" s="896">
        <f t="shared" si="11"/>
        <v>29.586235220691766</v>
      </c>
      <c r="AH23" s="896">
        <f t="shared" si="11"/>
        <v>29.882990268649799</v>
      </c>
      <c r="AI23" s="896">
        <f t="shared" ref="AI23:AJ23" si="12">$Y127*AI136*(AI109/$Y109)</f>
        <v>30.177977602249186</v>
      </c>
      <c r="AJ23" s="896">
        <f t="shared" si="12"/>
        <v>30.462800578286348</v>
      </c>
      <c r="AK23" s="846"/>
      <c r="AL23" s="846"/>
      <c r="AM23" s="846"/>
      <c r="AN23" s="846"/>
      <c r="AO23" s="846"/>
      <c r="AP23" s="846"/>
    </row>
    <row r="24" spans="4:56" x14ac:dyDescent="0.35">
      <c r="D24" s="519" t="s">
        <v>483</v>
      </c>
      <c r="E24" s="36" t="s">
        <v>488</v>
      </c>
      <c r="F24" s="849">
        <f>'Haver Pivoted'!GQ34</f>
        <v>1351</v>
      </c>
      <c r="G24" s="776">
        <f>'Haver Pivoted'!GR34</f>
        <v>1376.8</v>
      </c>
      <c r="H24" s="776">
        <f>'Haver Pivoted'!GS34</f>
        <v>1373.6</v>
      </c>
      <c r="I24" s="776">
        <f>'Haver Pivoted'!GT34</f>
        <v>1373.1</v>
      </c>
      <c r="J24" s="776">
        <f>'Haver Pivoted'!GU34</f>
        <v>1288.7</v>
      </c>
      <c r="K24" s="776">
        <f>'Haver Pivoted'!GV34</f>
        <v>1390.2</v>
      </c>
      <c r="L24" s="776">
        <f>'Haver Pivoted'!GW34</f>
        <v>1411.7</v>
      </c>
      <c r="M24" s="776">
        <f>'Haver Pivoted'!GX34</f>
        <v>1436.2</v>
      </c>
      <c r="N24" s="776">
        <f>'Haver Pivoted'!GY34</f>
        <v>1524.3</v>
      </c>
      <c r="O24" s="776">
        <f>'Haver Pivoted'!GZ34</f>
        <v>1538.3</v>
      </c>
      <c r="P24" s="776">
        <f>'Haver Pivoted'!HA34</f>
        <v>1579.3</v>
      </c>
      <c r="Q24" s="776">
        <f>'Haver Pivoted'!HB34</f>
        <v>1605.3</v>
      </c>
      <c r="R24" s="776">
        <f>'Haver Pivoted'!HC34</f>
        <v>1644.2</v>
      </c>
      <c r="S24" s="776">
        <f>'Haver Pivoted'!HD34</f>
        <v>1668.2</v>
      </c>
      <c r="T24" s="891">
        <f>'Haver Pivoted'!HE34</f>
        <v>1676.9</v>
      </c>
      <c r="U24" s="891">
        <f>'Haver Pivoted'!HF34</f>
        <v>1697.8</v>
      </c>
      <c r="V24" s="891">
        <f>'Haver Pivoted'!HG34</f>
        <v>1709.4</v>
      </c>
      <c r="W24" s="891">
        <f>'Haver Pivoted'!HH34</f>
        <v>1724</v>
      </c>
      <c r="X24" s="891">
        <f>'Haver Pivoted'!HI34</f>
        <v>1744.3</v>
      </c>
      <c r="Y24" s="891">
        <f>'Haver Pivoted'!HJ34</f>
        <v>1760.8</v>
      </c>
      <c r="Z24" s="891">
        <f>'Haver Pivoted'!HK34</f>
        <v>1782.3</v>
      </c>
      <c r="AA24" s="891">
        <f>'Haver Pivoted'!HL34</f>
        <v>1797.7</v>
      </c>
      <c r="AB24" s="896">
        <f>$Y132*AB137*(AB111/$Y111)</f>
        <v>1818.0467195342537</v>
      </c>
      <c r="AC24" s="896">
        <f t="shared" ref="AC24:AH24" si="13">$Y132*AC137*(AC111/$Y111)</f>
        <v>1835.0933613515201</v>
      </c>
      <c r="AD24" s="896">
        <f t="shared" si="13"/>
        <v>1852.1947861633787</v>
      </c>
      <c r="AE24" s="896">
        <f t="shared" si="13"/>
        <v>1868.4744660563547</v>
      </c>
      <c r="AF24" s="896">
        <f t="shared" si="13"/>
        <v>1884.2245770016061</v>
      </c>
      <c r="AG24" s="896">
        <f t="shared" si="13"/>
        <v>1897.9020646514537</v>
      </c>
      <c r="AH24" s="896">
        <f t="shared" si="13"/>
        <v>1912.8213001787235</v>
      </c>
      <c r="AI24" s="896">
        <f t="shared" ref="AI24:AJ24" si="14">$Y132*AI137*(AI111/$Y111)</f>
        <v>1928.6170636194686</v>
      </c>
      <c r="AJ24" s="896">
        <f t="shared" si="14"/>
        <v>1945.1706584854053</v>
      </c>
      <c r="AK24" s="846"/>
      <c r="AL24" s="846"/>
      <c r="AM24" s="846"/>
      <c r="AN24" s="846"/>
      <c r="AO24" s="846"/>
      <c r="AP24" s="846"/>
    </row>
    <row r="25" spans="4:56" ht="14.9" customHeight="1" x14ac:dyDescent="0.35">
      <c r="D25" s="885" t="s">
        <v>484</v>
      </c>
      <c r="E25" s="911" t="s">
        <v>489</v>
      </c>
      <c r="F25" s="805">
        <f>'Haver Pivoted'!GQ35</f>
        <v>76.8</v>
      </c>
      <c r="G25" s="819">
        <f>'Haver Pivoted'!GR35</f>
        <v>74.099999999999994</v>
      </c>
      <c r="H25" s="819">
        <f>'Haver Pivoted'!GS35</f>
        <v>70.3</v>
      </c>
      <c r="I25" s="819">
        <f>'Haver Pivoted'!GT35</f>
        <v>64.5</v>
      </c>
      <c r="J25" s="819">
        <f>'Haver Pivoted'!GU35</f>
        <v>66.400000000000006</v>
      </c>
      <c r="K25" s="819">
        <f>'Haver Pivoted'!GV35</f>
        <v>81.5</v>
      </c>
      <c r="L25" s="819">
        <f>'Haver Pivoted'!GW35</f>
        <v>82.4</v>
      </c>
      <c r="M25" s="819">
        <f>'Haver Pivoted'!GX35</f>
        <v>83.1</v>
      </c>
      <c r="N25" s="819">
        <f>'Haver Pivoted'!GY35</f>
        <v>93.7</v>
      </c>
      <c r="O25" s="819">
        <f>'Haver Pivoted'!GZ35</f>
        <v>119.3</v>
      </c>
      <c r="P25" s="819">
        <f>'Haver Pivoted'!HA35</f>
        <v>168.1</v>
      </c>
      <c r="Q25" s="819">
        <f>'Haver Pivoted'!HB35</f>
        <v>170.8</v>
      </c>
      <c r="R25" s="819">
        <f>'Haver Pivoted'!HC35</f>
        <v>157.6</v>
      </c>
      <c r="S25" s="819">
        <f>'Haver Pivoted'!HD35</f>
        <v>159.1</v>
      </c>
      <c r="T25" s="821">
        <f>'Haver Pivoted'!HE35</f>
        <v>162.19999999999999</v>
      </c>
      <c r="U25" s="894">
        <f>'Haver Pivoted'!HF35</f>
        <v>158.69999999999999</v>
      </c>
      <c r="V25" s="894">
        <f>'Haver Pivoted'!HG35</f>
        <v>162.4</v>
      </c>
      <c r="W25" s="894">
        <f>'Haver Pivoted'!HH35</f>
        <v>165.9</v>
      </c>
      <c r="X25" s="894">
        <f>'Haver Pivoted'!HI35</f>
        <v>166.9</v>
      </c>
      <c r="Y25" s="894">
        <f>'Haver Pivoted'!HJ35</f>
        <v>170.4</v>
      </c>
      <c r="Z25" s="894">
        <f>'Haver Pivoted'!HK35</f>
        <v>164</v>
      </c>
      <c r="AA25" s="894">
        <f>'Haver Pivoted'!HL35</f>
        <v>164.8</v>
      </c>
      <c r="AB25" s="820">
        <f>$Y133*AB138*(AB112/$Y112)</f>
        <v>163.15466849793015</v>
      </c>
      <c r="AC25" s="820">
        <f t="shared" ref="AC25:AJ25" si="15">$Y133*AC138*(AC112/$Y112)</f>
        <v>164.64893931448725</v>
      </c>
      <c r="AD25" s="820">
        <f t="shared" si="15"/>
        <v>166.13773661156984</v>
      </c>
      <c r="AE25" s="820">
        <f t="shared" si="15"/>
        <v>167.08465548067014</v>
      </c>
      <c r="AF25" s="820">
        <f t="shared" si="15"/>
        <v>167.16675827278866</v>
      </c>
      <c r="AG25" s="820">
        <f t="shared" si="15"/>
        <v>166.4333066631965</v>
      </c>
      <c r="AH25" s="820">
        <f t="shared" si="15"/>
        <v>166.31288923475603</v>
      </c>
      <c r="AI25" s="820">
        <f t="shared" si="15"/>
        <v>166.75624431219603</v>
      </c>
      <c r="AJ25" s="820">
        <f t="shared" si="15"/>
        <v>167.79621301236401</v>
      </c>
      <c r="AK25" s="846"/>
      <c r="AL25" s="846"/>
      <c r="AM25" s="846"/>
      <c r="AN25" s="846"/>
      <c r="AO25" s="846"/>
      <c r="AP25" s="846"/>
    </row>
    <row r="26" spans="4:56" ht="14.9" customHeight="1" x14ac:dyDescent="0.35">
      <c r="D26" s="763" t="s">
        <v>1890</v>
      </c>
      <c r="E26" s="874"/>
      <c r="F26" s="546">
        <f t="shared" ref="F26:AH26" si="16">F9+F19</f>
        <v>5162.2</v>
      </c>
      <c r="G26" s="546">
        <f t="shared" si="16"/>
        <v>5179.8999999999996</v>
      </c>
      <c r="H26" s="546">
        <f t="shared" si="16"/>
        <v>5227.3999999999996</v>
      </c>
      <c r="I26" s="546">
        <f t="shared" si="16"/>
        <v>5278.4</v>
      </c>
      <c r="J26" s="546">
        <f t="shared" si="16"/>
        <v>4928.3</v>
      </c>
      <c r="K26" s="546">
        <f t="shared" si="16"/>
        <v>5240.6000000000004</v>
      </c>
      <c r="L26" s="546">
        <f t="shared" si="16"/>
        <v>5439</v>
      </c>
      <c r="M26" s="546">
        <f t="shared" si="16"/>
        <v>5654.6</v>
      </c>
      <c r="N26" s="546">
        <f t="shared" si="16"/>
        <v>5924.9</v>
      </c>
      <c r="O26" s="546">
        <f t="shared" si="16"/>
        <v>6053.7000000000007</v>
      </c>
      <c r="P26" s="546">
        <f t="shared" si="16"/>
        <v>6248.8</v>
      </c>
      <c r="Q26" s="546">
        <f t="shared" si="16"/>
        <v>6732.8000000000011</v>
      </c>
      <c r="R26" s="546">
        <f t="shared" si="16"/>
        <v>6839.6</v>
      </c>
      <c r="S26" s="546">
        <f t="shared" si="16"/>
        <v>6829.3</v>
      </c>
      <c r="T26" s="546">
        <f t="shared" si="16"/>
        <v>6821.9000000000005</v>
      </c>
      <c r="U26" s="546">
        <f t="shared" si="16"/>
        <v>6493.7999999999993</v>
      </c>
      <c r="V26" s="546">
        <f t="shared" si="16"/>
        <v>6524</v>
      </c>
      <c r="W26" s="546">
        <f t="shared" si="16"/>
        <v>6601.4</v>
      </c>
      <c r="X26" s="546">
        <f t="shared" si="16"/>
        <v>6666.9</v>
      </c>
      <c r="Y26" s="547">
        <f t="shared" si="16"/>
        <v>6792.7</v>
      </c>
      <c r="Z26" s="547">
        <f t="shared" si="16"/>
        <v>6856.2</v>
      </c>
      <c r="AA26" s="547">
        <f t="shared" si="16"/>
        <v>6948.7</v>
      </c>
      <c r="AB26" s="547">
        <f t="shared" si="16"/>
        <v>7027.485405828671</v>
      </c>
      <c r="AC26" s="547">
        <f t="shared" si="16"/>
        <v>7126.4970378264497</v>
      </c>
      <c r="AD26" s="547">
        <f t="shared" si="16"/>
        <v>7184.2040948393187</v>
      </c>
      <c r="AE26" s="547">
        <f t="shared" si="16"/>
        <v>7241.1501905129398</v>
      </c>
      <c r="AF26" s="547">
        <f t="shared" si="16"/>
        <v>7298.0359035668835</v>
      </c>
      <c r="AG26" s="547">
        <f t="shared" si="16"/>
        <v>7402.3221740337694</v>
      </c>
      <c r="AH26" s="547">
        <f t="shared" si="16"/>
        <v>7458.2373153081789</v>
      </c>
      <c r="AI26" s="547">
        <f t="shared" ref="AI26:AJ26" si="17">AI9+AI19</f>
        <v>7514.9191338867731</v>
      </c>
      <c r="AJ26" s="547">
        <f t="shared" si="17"/>
        <v>7571.9087912375044</v>
      </c>
    </row>
    <row r="27" spans="4:56" ht="14.9" customHeight="1" x14ac:dyDescent="0.35">
      <c r="D27" s="763" t="s">
        <v>1908</v>
      </c>
      <c r="E27" s="874"/>
      <c r="F27" s="546">
        <f t="shared" ref="F27:AG27" si="18">F10+F21</f>
        <v>2217.6999999999998</v>
      </c>
      <c r="G27" s="546">
        <f t="shared" si="18"/>
        <v>2195.4</v>
      </c>
      <c r="H27" s="546">
        <f t="shared" si="18"/>
        <v>2226.3000000000002</v>
      </c>
      <c r="I27" s="546">
        <f t="shared" si="18"/>
        <v>2247.6999999999998</v>
      </c>
      <c r="J27" s="546">
        <f t="shared" si="18"/>
        <v>2107.2999999999997</v>
      </c>
      <c r="K27" s="546">
        <f t="shared" si="18"/>
        <v>2248.1999999999998</v>
      </c>
      <c r="L27" s="546">
        <f t="shared" si="18"/>
        <v>2377.8000000000002</v>
      </c>
      <c r="M27" s="546">
        <f t="shared" si="18"/>
        <v>2547.6999999999998</v>
      </c>
      <c r="N27" s="546">
        <f t="shared" si="18"/>
        <v>2675.6</v>
      </c>
      <c r="O27" s="546">
        <f t="shared" si="18"/>
        <v>2750</v>
      </c>
      <c r="P27" s="546">
        <f t="shared" si="18"/>
        <v>2847.1</v>
      </c>
      <c r="Q27" s="546">
        <f t="shared" si="18"/>
        <v>3254.1000000000004</v>
      </c>
      <c r="R27" s="546">
        <f t="shared" si="18"/>
        <v>3297.4</v>
      </c>
      <c r="S27" s="546">
        <f t="shared" si="18"/>
        <v>3224.9</v>
      </c>
      <c r="T27" s="546">
        <f t="shared" si="18"/>
        <v>3203.2999999999997</v>
      </c>
      <c r="U27" s="546">
        <f t="shared" si="18"/>
        <v>2834.3</v>
      </c>
      <c r="V27" s="546">
        <f t="shared" si="18"/>
        <v>2828.4</v>
      </c>
      <c r="W27" s="546">
        <f t="shared" si="18"/>
        <v>2866</v>
      </c>
      <c r="X27" s="546">
        <f t="shared" si="18"/>
        <v>2894.2999999999997</v>
      </c>
      <c r="Y27" s="546">
        <f t="shared" si="18"/>
        <v>2965.6</v>
      </c>
      <c r="Z27" s="546">
        <f t="shared" si="18"/>
        <v>3005.4</v>
      </c>
      <c r="AA27" s="546">
        <f t="shared" si="18"/>
        <v>3058.4</v>
      </c>
      <c r="AB27" s="546">
        <f t="shared" si="18"/>
        <v>3097.2500832855058</v>
      </c>
      <c r="AC27" s="546">
        <f t="shared" si="18"/>
        <v>3159.7097943510671</v>
      </c>
      <c r="AD27" s="546">
        <f t="shared" si="18"/>
        <v>3180.6248113049369</v>
      </c>
      <c r="AE27" s="546">
        <f t="shared" si="18"/>
        <v>3201.4182720641043</v>
      </c>
      <c r="AF27" s="546">
        <f t="shared" si="18"/>
        <v>3222.4933797728754</v>
      </c>
      <c r="AG27" s="546">
        <f t="shared" si="18"/>
        <v>3292.8577472577299</v>
      </c>
      <c r="AH27" s="546">
        <f t="shared" ref="AH27" si="19">AH10+AH21</f>
        <v>3313.4180871731392</v>
      </c>
      <c r="AI27" s="546">
        <f t="shared" ref="AI27:AJ27" si="20">AI10+AI21</f>
        <v>3333.6768043337115</v>
      </c>
      <c r="AJ27" s="546">
        <f t="shared" si="20"/>
        <v>3353.3001846518905</v>
      </c>
    </row>
    <row r="28" spans="4:56" ht="14.9" customHeight="1" x14ac:dyDescent="0.35">
      <c r="D28" s="763" t="s">
        <v>1909</v>
      </c>
      <c r="E28" s="874"/>
      <c r="F28" s="546">
        <f>F12+F23</f>
        <v>1424.3</v>
      </c>
      <c r="G28" s="546">
        <f t="shared" ref="G28:AG28" si="21">G12+G23</f>
        <v>1430.8999999999999</v>
      </c>
      <c r="H28" s="546">
        <f t="shared" si="21"/>
        <v>1448.7</v>
      </c>
      <c r="I28" s="546">
        <f t="shared" si="21"/>
        <v>1473.5</v>
      </c>
      <c r="J28" s="546">
        <f t="shared" si="21"/>
        <v>1403</v>
      </c>
      <c r="K28" s="546">
        <f t="shared" si="21"/>
        <v>1452.9</v>
      </c>
      <c r="L28" s="546">
        <f t="shared" si="21"/>
        <v>1490.8</v>
      </c>
      <c r="M28" s="546">
        <f t="shared" si="21"/>
        <v>1508.5</v>
      </c>
      <c r="N28" s="546">
        <f t="shared" si="21"/>
        <v>1544.5</v>
      </c>
      <c r="O28" s="546">
        <f t="shared" si="21"/>
        <v>1581.6</v>
      </c>
      <c r="P28" s="546">
        <f t="shared" si="21"/>
        <v>1626.6</v>
      </c>
      <c r="Q28" s="546">
        <f t="shared" si="21"/>
        <v>1666.3000000000002</v>
      </c>
      <c r="R28" s="546">
        <f t="shared" si="21"/>
        <v>1689</v>
      </c>
      <c r="S28" s="546">
        <f t="shared" si="21"/>
        <v>1735.9</v>
      </c>
      <c r="T28" s="546">
        <f t="shared" si="21"/>
        <v>1751.7</v>
      </c>
      <c r="U28" s="546">
        <f t="shared" si="21"/>
        <v>1782</v>
      </c>
      <c r="V28" s="546">
        <f t="shared" si="21"/>
        <v>1810.4</v>
      </c>
      <c r="W28" s="546">
        <f t="shared" si="21"/>
        <v>1839.2</v>
      </c>
      <c r="X28" s="546">
        <f t="shared" si="21"/>
        <v>1859</v>
      </c>
      <c r="Y28" s="546">
        <f t="shared" si="21"/>
        <v>1889.1</v>
      </c>
      <c r="Z28" s="546">
        <f t="shared" si="21"/>
        <v>1896.1000000000001</v>
      </c>
      <c r="AA28" s="546">
        <f t="shared" si="21"/>
        <v>1911.2</v>
      </c>
      <c r="AB28" s="546">
        <f t="shared" si="21"/>
        <v>1928.0396182106313</v>
      </c>
      <c r="AC28" s="546">
        <f t="shared" si="21"/>
        <v>1944.754253666104</v>
      </c>
      <c r="AD28" s="546">
        <f t="shared" si="21"/>
        <v>1961.6119350828869</v>
      </c>
      <c r="AE28" s="546">
        <f t="shared" si="21"/>
        <v>1978.6090252264123</v>
      </c>
      <c r="AF28" s="546">
        <f t="shared" si="21"/>
        <v>1995.7500731120424</v>
      </c>
      <c r="AG28" s="546">
        <f t="shared" si="21"/>
        <v>2013.0307998456638</v>
      </c>
      <c r="AH28" s="546">
        <f t="shared" ref="AH28" si="22">AH12+AH23</f>
        <v>2030.457764538013</v>
      </c>
      <c r="AI28" s="546">
        <f t="shared" ref="AI28:AJ28" si="23">AI12+AI23</f>
        <v>2048.030908218268</v>
      </c>
      <c r="AJ28" s="546">
        <f t="shared" si="23"/>
        <v>2065.7431119991415</v>
      </c>
    </row>
    <row r="29" spans="4:56" ht="14.9" customHeight="1" x14ac:dyDescent="0.35">
      <c r="D29" s="763"/>
      <c r="E29" s="874"/>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row>
    <row r="30" spans="4:56" ht="14.9" customHeight="1" x14ac:dyDescent="0.35">
      <c r="D30" s="763"/>
      <c r="E30" s="874"/>
      <c r="F30" s="546"/>
      <c r="G30" s="546"/>
      <c r="H30" s="546"/>
    </row>
    <row r="31" spans="4:56" ht="14.9" customHeight="1" x14ac:dyDescent="0.35">
      <c r="D31" s="763"/>
      <c r="E31" s="874"/>
      <c r="F31" s="546"/>
      <c r="G31" s="546"/>
      <c r="H31" s="546"/>
    </row>
    <row r="32" spans="4:56" ht="14.9" customHeight="1" x14ac:dyDescent="0.35">
      <c r="D32" s="763"/>
      <c r="E32" s="874"/>
      <c r="F32" s="546"/>
      <c r="G32" s="546"/>
      <c r="H32" s="546"/>
    </row>
    <row r="33" spans="3:41" ht="14.9" customHeight="1" x14ac:dyDescent="0.35">
      <c r="D33" s="763"/>
      <c r="E33" s="874"/>
      <c r="F33" s="546"/>
      <c r="G33" s="546"/>
      <c r="H33" s="546"/>
    </row>
    <row r="34" spans="3:41" ht="14.9" customHeight="1" x14ac:dyDescent="0.35">
      <c r="D34" s="763"/>
      <c r="E34" s="874"/>
      <c r="F34" s="546"/>
      <c r="G34" s="546"/>
      <c r="H34" s="546"/>
    </row>
    <row r="35" spans="3:41" ht="14.9" customHeight="1" x14ac:dyDescent="0.35">
      <c r="D35" s="763"/>
      <c r="E35" s="874"/>
      <c r="F35" s="546"/>
      <c r="G35" s="546"/>
      <c r="H35" s="546"/>
      <c r="I35" s="546"/>
      <c r="J35" s="546"/>
      <c r="K35" s="546"/>
      <c r="L35" s="546"/>
      <c r="M35" s="546"/>
      <c r="N35" s="546"/>
      <c r="O35" s="546"/>
    </row>
    <row r="36" spans="3:41" ht="14.9" customHeight="1" x14ac:dyDescent="0.35">
      <c r="D36" s="512"/>
      <c r="E36" s="314"/>
      <c r="F36" s="314"/>
      <c r="G36" s="314"/>
      <c r="H36" s="314"/>
      <c r="I36" s="314"/>
      <c r="J36" s="314"/>
      <c r="K36" s="314"/>
      <c r="L36" s="314"/>
      <c r="AI36" s="260"/>
      <c r="AJ36" s="260"/>
      <c r="AK36" s="260"/>
      <c r="AL36" s="260"/>
      <c r="AM36" s="260"/>
      <c r="AN36" s="260"/>
      <c r="AO36" s="260"/>
    </row>
    <row r="37" spans="3:41" ht="14.9" customHeight="1" x14ac:dyDescent="0.35">
      <c r="D37" s="1378" t="s">
        <v>917</v>
      </c>
      <c r="E37" s="1379"/>
      <c r="F37" s="1380"/>
      <c r="G37" s="493">
        <v>2020</v>
      </c>
      <c r="H37" s="494">
        <v>2021</v>
      </c>
      <c r="I37" s="493">
        <v>2022</v>
      </c>
      <c r="J37" s="913">
        <v>2023</v>
      </c>
      <c r="K37" s="913">
        <v>2024</v>
      </c>
      <c r="L37" s="914">
        <v>2025</v>
      </c>
      <c r="M37" s="914">
        <v>2026</v>
      </c>
      <c r="AI37" s="260"/>
      <c r="AJ37" s="260"/>
      <c r="AK37" s="260"/>
      <c r="AL37" s="260"/>
      <c r="AM37" s="260"/>
      <c r="AN37" s="260"/>
      <c r="AO37" s="260"/>
    </row>
    <row r="38" spans="3:41" ht="14.9" customHeight="1" x14ac:dyDescent="0.35">
      <c r="D38" s="878" t="s">
        <v>490</v>
      </c>
      <c r="E38" s="283"/>
      <c r="F38" s="308"/>
      <c r="G38" s="793">
        <f>AVERAGE(H10:K10)</f>
        <v>1712.5250000000001</v>
      </c>
      <c r="H38" s="460">
        <f>AVERAGE(L10:O10)</f>
        <v>2025.3000000000002</v>
      </c>
      <c r="I38" s="460">
        <f>AVERAGE(P10:S10)</f>
        <v>2519.5</v>
      </c>
      <c r="J38" s="460">
        <f t="shared" ref="J38:M40" si="24">I38*J62/I62</f>
        <v>2083.336548518414</v>
      </c>
      <c r="K38" s="460">
        <f t="shared" si="24"/>
        <v>2341.9568253268721</v>
      </c>
      <c r="L38" s="460">
        <f t="shared" si="24"/>
        <v>2440.7412462079401</v>
      </c>
      <c r="M38" s="460">
        <f t="shared" si="24"/>
        <v>2549.9936511856295</v>
      </c>
      <c r="N38" t="s">
        <v>1914</v>
      </c>
    </row>
    <row r="39" spans="3:41" ht="14.9" customHeight="1" x14ac:dyDescent="0.35">
      <c r="D39" s="903" t="s">
        <v>495</v>
      </c>
      <c r="E39" s="219"/>
      <c r="F39" s="219"/>
      <c r="G39" s="794">
        <f>AVERAGE(H12:K12)</f>
        <v>1424.5250000000001</v>
      </c>
      <c r="H39" s="232">
        <f>AVERAGE(L12:O12)</f>
        <v>1509.7249999999999</v>
      </c>
      <c r="I39" s="232">
        <f>AVERAGE(P12:S12)</f>
        <v>1656.375</v>
      </c>
      <c r="J39" s="232">
        <f t="shared" si="24"/>
        <v>1802.5599531117082</v>
      </c>
      <c r="K39" s="232">
        <f t="shared" si="24"/>
        <v>1874.0133896372563</v>
      </c>
      <c r="L39" s="232">
        <f t="shared" si="24"/>
        <v>1939.5973210951479</v>
      </c>
      <c r="M39" s="232">
        <f t="shared" si="24"/>
        <v>2025.6279419774246</v>
      </c>
    </row>
    <row r="40" spans="3:41" ht="14.9" customHeight="1" x14ac:dyDescent="0.35">
      <c r="D40" s="903" t="s">
        <v>105</v>
      </c>
      <c r="E40" s="219"/>
      <c r="F40" s="219"/>
      <c r="G40" s="794">
        <f>AVERAGE(H14:K14)</f>
        <v>160.375</v>
      </c>
      <c r="H40" s="232">
        <f>AVERAGE(L14:O14)</f>
        <v>171.3</v>
      </c>
      <c r="I40" s="232">
        <f>AVERAGE(P14:S14)</f>
        <v>203.05</v>
      </c>
      <c r="J40" s="232">
        <f t="shared" si="24"/>
        <v>168.63950531914898</v>
      </c>
      <c r="K40" s="232">
        <f t="shared" si="24"/>
        <v>175.55292579787235</v>
      </c>
      <c r="L40" s="232">
        <f t="shared" si="24"/>
        <v>186.43878191489358</v>
      </c>
      <c r="M40" s="232">
        <f t="shared" si="24"/>
        <v>193.07354867021277</v>
      </c>
    </row>
    <row r="41" spans="3:41" ht="14.9" customHeight="1" x14ac:dyDescent="0.35">
      <c r="D41" s="903" t="s">
        <v>257</v>
      </c>
      <c r="E41" s="219"/>
      <c r="F41" s="219"/>
      <c r="G41" s="794">
        <f>AVERAGE(H16:K16)</f>
        <v>220.4</v>
      </c>
      <c r="H41" s="232">
        <f>AVERAGE(L16:O16)</f>
        <v>307.375</v>
      </c>
      <c r="I41" s="232">
        <f>AVERAGE(P16:S16)</f>
        <v>389.2</v>
      </c>
      <c r="J41" s="232">
        <f>I41*J67/I67</f>
        <v>384.36050058018151</v>
      </c>
      <c r="K41" s="232">
        <f>J41*K67/J67</f>
        <v>481.29522509397054</v>
      </c>
      <c r="L41" s="232">
        <f>K41*L67/K67</f>
        <v>448.9439546964108</v>
      </c>
      <c r="M41" s="232">
        <f>L41*M67/L67</f>
        <v>430.95820197850145</v>
      </c>
    </row>
    <row r="42" spans="3:41" ht="14.9" customHeight="1" x14ac:dyDescent="0.35">
      <c r="C42" s="57"/>
      <c r="D42" s="903" t="s">
        <v>913</v>
      </c>
      <c r="E42" s="57"/>
      <c r="F42" s="239"/>
      <c r="G42" s="548"/>
      <c r="H42" s="792">
        <f>H38/G38-1+0.021</f>
        <v>0.2036396694938761</v>
      </c>
      <c r="I42" s="792">
        <f>I38/H38-1.05</f>
        <v>0.1940132326075148</v>
      </c>
      <c r="J42" s="792">
        <f>J38/I38-1</f>
        <v>-0.17311508294565825</v>
      </c>
      <c r="K42" s="792">
        <f>K38/J38-1+K43</f>
        <v>0.17913754128797793</v>
      </c>
      <c r="L42" s="792">
        <f>L38/K38-1+L43</f>
        <v>4.2180291204676923E-2</v>
      </c>
      <c r="M42" s="792">
        <f>M38/L38-1+M43</f>
        <v>4.4761977594892421E-2</v>
      </c>
      <c r="N42" t="s">
        <v>900</v>
      </c>
    </row>
    <row r="43" spans="3:41" ht="14.9" customHeight="1" x14ac:dyDescent="0.35">
      <c r="C43" s="57"/>
      <c r="D43" s="903" t="s">
        <v>1889</v>
      </c>
      <c r="E43" s="57"/>
      <c r="F43" s="239"/>
      <c r="G43" s="548"/>
      <c r="H43" s="792"/>
      <c r="I43" s="792"/>
      <c r="J43" s="792"/>
      <c r="K43" s="792">
        <v>5.5E-2</v>
      </c>
      <c r="L43" s="792"/>
      <c r="M43" s="792"/>
    </row>
    <row r="44" spans="3:41" ht="14.9" customHeight="1" x14ac:dyDescent="0.35">
      <c r="C44" s="57"/>
      <c r="D44" s="903" t="s">
        <v>914</v>
      </c>
      <c r="E44" s="57"/>
      <c r="F44" s="239"/>
      <c r="G44" s="548"/>
      <c r="H44" s="792">
        <f>H39/G39-1.03</f>
        <v>2.9809410154261862E-2</v>
      </c>
      <c r="I44" s="792">
        <f>I39/H39-1.013</f>
        <v>8.413689579228012E-2</v>
      </c>
      <c r="J44" s="861">
        <f>J39/I39-1</f>
        <v>8.8255952372927826E-2</v>
      </c>
      <c r="K44" s="792">
        <f>K39/J39-1</f>
        <v>3.9639977800572046E-2</v>
      </c>
      <c r="L44" s="792">
        <f>L39/K39-1</f>
        <v>3.4996511668780705E-2</v>
      </c>
      <c r="M44" s="792">
        <f>M39/L39-1</f>
        <v>4.4354887453495584E-2</v>
      </c>
      <c r="N44" t="s">
        <v>901</v>
      </c>
    </row>
    <row r="45" spans="3:41" ht="14.9" customHeight="1" x14ac:dyDescent="0.35">
      <c r="C45" s="57"/>
      <c r="D45" s="903" t="s">
        <v>915</v>
      </c>
      <c r="E45" s="57"/>
      <c r="F45" s="239"/>
      <c r="G45" s="548"/>
      <c r="H45" s="792">
        <f>H40/G40-1</f>
        <v>6.8121590023382694E-2</v>
      </c>
      <c r="I45" s="792">
        <f>I40/H40-1.01</f>
        <v>0.17534734384121431</v>
      </c>
      <c r="J45" s="792">
        <f>J40/I40-1</f>
        <v>-0.16946808510638278</v>
      </c>
      <c r="K45" s="792">
        <f t="shared" ref="K45" si="25">K40/J40-1</f>
        <v>4.0995260663506894E-2</v>
      </c>
      <c r="L45" s="792">
        <f>L40/K40-1</f>
        <v>6.2008970044480805E-2</v>
      </c>
      <c r="M45" s="792">
        <f>M40/L40-1</f>
        <v>3.5586838141582922E-2</v>
      </c>
    </row>
    <row r="46" spans="3:41" ht="14.9" customHeight="1" x14ac:dyDescent="0.35">
      <c r="C46" s="57"/>
      <c r="D46" s="862" t="s">
        <v>916</v>
      </c>
      <c r="E46" s="35"/>
      <c r="F46" s="357"/>
      <c r="G46" s="356"/>
      <c r="H46" s="863">
        <f>H41/G41-1</f>
        <v>0.39462341197822148</v>
      </c>
      <c r="I46" s="863">
        <f>I41/H41-1.103</f>
        <v>0.16320577470516473</v>
      </c>
      <c r="J46" s="863">
        <f>J41/I41-1</f>
        <v>-1.2434479495936457E-2</v>
      </c>
      <c r="K46" s="863">
        <f>K41/J41-1-0.15</f>
        <v>0.10219741458206225</v>
      </c>
      <c r="L46" s="863">
        <f>L41/K41-1+0.15</f>
        <v>8.2782897666929228E-2</v>
      </c>
      <c r="M46" s="863">
        <f>M41/L41-1+0.03</f>
        <v>-1.0062356402753797E-2</v>
      </c>
    </row>
    <row r="47" spans="3:41" ht="14.9" customHeight="1" x14ac:dyDescent="0.35">
      <c r="D47" s="875"/>
      <c r="E47" s="874"/>
      <c r="F47" s="887"/>
      <c r="G47" s="887"/>
      <c r="H47" s="859"/>
      <c r="I47" s="859"/>
      <c r="J47" s="859"/>
      <c r="K47" s="859"/>
      <c r="L47" s="859"/>
    </row>
    <row r="48" spans="3:41" ht="14.9" customHeight="1" x14ac:dyDescent="0.35">
      <c r="D48" s="875"/>
      <c r="E48" s="874"/>
      <c r="F48" s="887"/>
      <c r="G48" s="887"/>
      <c r="H48" s="859"/>
      <c r="I48" s="859"/>
      <c r="J48" s="859"/>
      <c r="K48" s="859"/>
      <c r="L48" s="859"/>
    </row>
    <row r="49" spans="4:41" ht="14.9" customHeight="1" x14ac:dyDescent="0.35">
      <c r="D49" s="875"/>
      <c r="E49" s="874"/>
      <c r="F49" s="1384" t="s">
        <v>279</v>
      </c>
      <c r="G49" s="1385"/>
      <c r="H49" s="1385"/>
      <c r="I49" s="1385"/>
      <c r="J49" s="1385"/>
      <c r="K49" s="1385"/>
      <c r="L49" s="1385"/>
      <c r="M49" s="1385"/>
      <c r="N49" s="1385"/>
      <c r="O49" s="1385"/>
      <c r="P49" s="1385"/>
      <c r="Q49" s="1385"/>
      <c r="R49" s="1385"/>
      <c r="S49" s="1385"/>
      <c r="T49" s="1385"/>
      <c r="U49" s="1385"/>
      <c r="V49" s="1386"/>
      <c r="W49" s="1319" t="s">
        <v>280</v>
      </c>
      <c r="X49" s="1288"/>
      <c r="Y49" s="1288"/>
      <c r="Z49" s="1288"/>
      <c r="AA49" s="1288"/>
      <c r="AB49" s="1288"/>
      <c r="AC49" s="1288"/>
      <c r="AD49" s="1288"/>
      <c r="AE49" s="1288"/>
      <c r="AF49" s="1288"/>
      <c r="AG49" s="1288"/>
      <c r="AH49" s="1372"/>
    </row>
    <row r="50" spans="4:41" ht="14.9" customHeight="1" x14ac:dyDescent="0.35">
      <c r="D50" s="875"/>
      <c r="E50" s="874"/>
      <c r="F50" s="1282">
        <v>2019</v>
      </c>
      <c r="G50" s="1305"/>
      <c r="H50" s="1284"/>
      <c r="I50" s="1305">
        <v>2020</v>
      </c>
      <c r="J50" s="1305"/>
      <c r="K50" s="1305"/>
      <c r="L50" s="1305"/>
      <c r="M50" s="1282">
        <v>2021</v>
      </c>
      <c r="N50" s="1305"/>
      <c r="O50" s="1305"/>
      <c r="P50" s="1305"/>
      <c r="Q50" s="1282">
        <v>2022</v>
      </c>
      <c r="R50" s="1305"/>
      <c r="S50" s="1305"/>
      <c r="T50" s="1284"/>
      <c r="U50" s="284"/>
      <c r="V50" s="284">
        <v>2023</v>
      </c>
      <c r="W50" s="657"/>
      <c r="X50" s="728"/>
      <c r="Y50" s="1375">
        <v>2024</v>
      </c>
      <c r="Z50" s="1376"/>
      <c r="AA50" s="1376"/>
      <c r="AB50" s="1377"/>
      <c r="AC50" s="1375">
        <v>2025</v>
      </c>
      <c r="AD50" s="1376"/>
      <c r="AE50" s="1376"/>
      <c r="AF50" s="1377"/>
      <c r="AG50" s="1268">
        <v>2026</v>
      </c>
      <c r="AH50" s="1292"/>
      <c r="AI50" s="1292"/>
      <c r="AJ50" s="1270"/>
    </row>
    <row r="51" spans="4:41" ht="14.9" customHeight="1" x14ac:dyDescent="0.35">
      <c r="D51" s="875"/>
      <c r="E51" s="874"/>
      <c r="F51" s="281" t="s">
        <v>283</v>
      </c>
      <c r="G51" s="282" t="s">
        <v>238</v>
      </c>
      <c r="H51" s="280" t="s">
        <v>281</v>
      </c>
      <c r="I51" s="282" t="s">
        <v>282</v>
      </c>
      <c r="J51" s="282" t="s">
        <v>283</v>
      </c>
      <c r="K51" s="282" t="s">
        <v>238</v>
      </c>
      <c r="L51" s="282" t="s">
        <v>281</v>
      </c>
      <c r="M51" s="281" t="s">
        <v>282</v>
      </c>
      <c r="N51" s="282" t="s">
        <v>283</v>
      </c>
      <c r="O51" s="282" t="s">
        <v>238</v>
      </c>
      <c r="P51" s="282" t="s">
        <v>281</v>
      </c>
      <c r="Q51" s="281" t="s">
        <v>282</v>
      </c>
      <c r="R51" s="282" t="s">
        <v>283</v>
      </c>
      <c r="S51" s="282" t="s">
        <v>238</v>
      </c>
      <c r="T51" s="280" t="s">
        <v>281</v>
      </c>
      <c r="U51" s="282" t="s">
        <v>282</v>
      </c>
      <c r="V51" s="282" t="s">
        <v>283</v>
      </c>
      <c r="W51" s="267" t="s">
        <v>238</v>
      </c>
      <c r="X51" s="268" t="s">
        <v>281</v>
      </c>
      <c r="Y51" s="266" t="s">
        <v>282</v>
      </c>
      <c r="Z51" s="264" t="s">
        <v>283</v>
      </c>
      <c r="AA51" s="267" t="s">
        <v>238</v>
      </c>
      <c r="AB51" s="268" t="s">
        <v>281</v>
      </c>
      <c r="AC51" s="266" t="s">
        <v>282</v>
      </c>
      <c r="AD51" s="264" t="s">
        <v>283</v>
      </c>
      <c r="AE51" s="267" t="s">
        <v>238</v>
      </c>
      <c r="AF51" s="267" t="s">
        <v>281</v>
      </c>
      <c r="AG51" s="266" t="s">
        <v>282</v>
      </c>
      <c r="AH51" s="264" t="s">
        <v>283</v>
      </c>
      <c r="AI51" s="267" t="s">
        <v>238</v>
      </c>
      <c r="AJ51" s="268" t="s">
        <v>281</v>
      </c>
    </row>
    <row r="52" spans="4:41" ht="14.9" customHeight="1" x14ac:dyDescent="0.35">
      <c r="D52" s="903" t="s">
        <v>913</v>
      </c>
      <c r="E52" s="874"/>
      <c r="F52" s="887"/>
      <c r="G52" s="887"/>
      <c r="H52" s="859"/>
      <c r="I52" s="859"/>
      <c r="J52" s="859"/>
      <c r="K52" s="859"/>
      <c r="L52" s="859"/>
    </row>
    <row r="53" spans="4:41" ht="14.9" customHeight="1" x14ac:dyDescent="0.35">
      <c r="D53" s="903" t="s">
        <v>1889</v>
      </c>
      <c r="E53" s="874"/>
      <c r="F53" s="887"/>
      <c r="G53" s="887"/>
      <c r="H53" s="859"/>
      <c r="I53" s="859"/>
      <c r="J53" s="859"/>
      <c r="K53" s="859"/>
      <c r="L53" s="859"/>
      <c r="M53" s="762">
        <f>H42</f>
        <v>0.2036396694938761</v>
      </c>
      <c r="N53" s="762">
        <f>H42</f>
        <v>0.2036396694938761</v>
      </c>
      <c r="O53" s="762">
        <f>H42</f>
        <v>0.2036396694938761</v>
      </c>
      <c r="P53" s="762">
        <f>H42</f>
        <v>0.2036396694938761</v>
      </c>
      <c r="Q53" s="762">
        <f>I42</f>
        <v>0.1940132326075148</v>
      </c>
      <c r="R53" s="762">
        <f>I42</f>
        <v>0.1940132326075148</v>
      </c>
      <c r="S53" s="762">
        <f>I42</f>
        <v>0.1940132326075148</v>
      </c>
      <c r="T53" s="762">
        <f>I42</f>
        <v>0.1940132326075148</v>
      </c>
      <c r="U53" s="762">
        <f>J42</f>
        <v>-0.17311508294565825</v>
      </c>
      <c r="V53" s="762">
        <f>J42</f>
        <v>-0.17311508294565825</v>
      </c>
      <c r="W53" s="762">
        <f>J42</f>
        <v>-0.17311508294565825</v>
      </c>
      <c r="X53" s="762">
        <f>J42</f>
        <v>-0.17311508294565825</v>
      </c>
      <c r="Y53" s="762">
        <f>K42</f>
        <v>0.17913754128797793</v>
      </c>
      <c r="Z53" s="762">
        <f>K42</f>
        <v>0.17913754128797793</v>
      </c>
      <c r="AA53" s="762">
        <f>K42</f>
        <v>0.17913754128797793</v>
      </c>
      <c r="AB53" s="762">
        <f t="shared" ref="AB53:AC57" si="26">K42</f>
        <v>0.17913754128797793</v>
      </c>
      <c r="AC53" s="762">
        <f>L42</f>
        <v>4.2180291204676923E-2</v>
      </c>
      <c r="AD53" s="762">
        <f>L42</f>
        <v>4.2180291204676923E-2</v>
      </c>
      <c r="AE53" s="762">
        <f>L42</f>
        <v>4.2180291204676923E-2</v>
      </c>
      <c r="AF53" s="762">
        <f t="shared" ref="AF53:AG57" si="27">L42</f>
        <v>4.2180291204676923E-2</v>
      </c>
      <c r="AG53" s="762">
        <f t="shared" si="27"/>
        <v>4.4761977594892421E-2</v>
      </c>
      <c r="AH53" s="762">
        <f>M42</f>
        <v>4.4761977594892421E-2</v>
      </c>
      <c r="AI53" s="762">
        <f>M42</f>
        <v>4.4761977594892421E-2</v>
      </c>
      <c r="AJ53" s="762">
        <f>M42</f>
        <v>4.4761977594892421E-2</v>
      </c>
    </row>
    <row r="54" spans="4:41" ht="14.9" customHeight="1" x14ac:dyDescent="0.35">
      <c r="D54" s="903" t="s">
        <v>914</v>
      </c>
      <c r="E54" s="874"/>
      <c r="F54" s="887"/>
      <c r="G54" s="887"/>
      <c r="H54" s="859"/>
      <c r="I54" s="859"/>
      <c r="J54" s="859"/>
      <c r="K54" s="859"/>
      <c r="L54" s="859"/>
      <c r="Y54" s="762">
        <f>K43</f>
        <v>5.5E-2</v>
      </c>
      <c r="Z54" s="762">
        <f>K43</f>
        <v>5.5E-2</v>
      </c>
      <c r="AA54" s="762">
        <f>K43</f>
        <v>5.5E-2</v>
      </c>
      <c r="AB54" s="762">
        <f t="shared" si="26"/>
        <v>5.5E-2</v>
      </c>
      <c r="AC54" s="762">
        <f>L43</f>
        <v>0</v>
      </c>
      <c r="AD54" s="762">
        <f>L43</f>
        <v>0</v>
      </c>
      <c r="AE54" s="762">
        <f>L43</f>
        <v>0</v>
      </c>
      <c r="AF54" s="762">
        <f t="shared" si="27"/>
        <v>0</v>
      </c>
      <c r="AG54" s="762">
        <f t="shared" si="27"/>
        <v>0</v>
      </c>
      <c r="AH54" s="762">
        <f>M43</f>
        <v>0</v>
      </c>
      <c r="AI54" s="762">
        <f>M43</f>
        <v>0</v>
      </c>
      <c r="AJ54" s="762">
        <f>M43</f>
        <v>0</v>
      </c>
    </row>
    <row r="55" spans="4:41" ht="14.9" customHeight="1" x14ac:dyDescent="0.35">
      <c r="D55" s="903" t="s">
        <v>915</v>
      </c>
      <c r="E55" s="874"/>
      <c r="F55" s="887"/>
      <c r="G55" s="887"/>
      <c r="H55" s="859"/>
      <c r="I55" s="859"/>
      <c r="J55" s="859"/>
      <c r="K55" s="859"/>
      <c r="L55" s="859"/>
      <c r="M55" s="762">
        <f>H44</f>
        <v>2.9809410154261862E-2</v>
      </c>
      <c r="N55" s="762">
        <f>H44</f>
        <v>2.9809410154261862E-2</v>
      </c>
      <c r="O55" s="490">
        <f>H44</f>
        <v>2.9809410154261862E-2</v>
      </c>
      <c r="P55" s="762">
        <f t="shared" ref="P55:Q57" si="28">H44</f>
        <v>2.9809410154261862E-2</v>
      </c>
      <c r="Q55" s="762">
        <f t="shared" si="28"/>
        <v>8.413689579228012E-2</v>
      </c>
      <c r="R55" s="762">
        <f>I44</f>
        <v>8.413689579228012E-2</v>
      </c>
      <c r="S55" s="762">
        <f>I44</f>
        <v>8.413689579228012E-2</v>
      </c>
      <c r="T55" s="762">
        <f t="shared" ref="T55:U57" si="29">I44</f>
        <v>8.413689579228012E-2</v>
      </c>
      <c r="U55" s="490">
        <f t="shared" si="29"/>
        <v>8.8255952372927826E-2</v>
      </c>
      <c r="V55" s="490">
        <f>J44</f>
        <v>8.8255952372927826E-2</v>
      </c>
      <c r="W55" s="490">
        <f>J44</f>
        <v>8.8255952372927826E-2</v>
      </c>
      <c r="X55" s="490">
        <f>J44</f>
        <v>8.8255952372927826E-2</v>
      </c>
      <c r="Y55" s="762">
        <f>K44</f>
        <v>3.9639977800572046E-2</v>
      </c>
      <c r="Z55" s="762">
        <f>K44</f>
        <v>3.9639977800572046E-2</v>
      </c>
      <c r="AA55" s="762">
        <f>K44</f>
        <v>3.9639977800572046E-2</v>
      </c>
      <c r="AB55" s="762">
        <f t="shared" si="26"/>
        <v>3.9639977800572046E-2</v>
      </c>
      <c r="AC55" s="762">
        <f t="shared" si="26"/>
        <v>3.4996511668780705E-2</v>
      </c>
      <c r="AD55" s="762">
        <f>L44</f>
        <v>3.4996511668780705E-2</v>
      </c>
      <c r="AE55" s="762">
        <f>L44</f>
        <v>3.4996511668780705E-2</v>
      </c>
      <c r="AF55" s="762">
        <f t="shared" si="27"/>
        <v>3.4996511668780705E-2</v>
      </c>
      <c r="AG55" s="762">
        <f t="shared" si="27"/>
        <v>4.4354887453495584E-2</v>
      </c>
      <c r="AH55" s="762">
        <f>M44</f>
        <v>4.4354887453495584E-2</v>
      </c>
      <c r="AI55" s="762">
        <f>M44</f>
        <v>4.4354887453495584E-2</v>
      </c>
      <c r="AJ55" s="762">
        <f>M44</f>
        <v>4.4354887453495584E-2</v>
      </c>
    </row>
    <row r="56" spans="4:41" ht="14.9" customHeight="1" x14ac:dyDescent="0.35">
      <c r="D56" s="862" t="s">
        <v>916</v>
      </c>
      <c r="E56" s="874"/>
      <c r="F56" s="887"/>
      <c r="G56" s="887"/>
      <c r="H56" s="859"/>
      <c r="I56" s="859"/>
      <c r="J56" s="859"/>
      <c r="K56" s="859"/>
      <c r="L56" s="859"/>
      <c r="M56" s="762">
        <f>H45</f>
        <v>6.8121590023382694E-2</v>
      </c>
      <c r="N56" s="762">
        <f>H45</f>
        <v>6.8121590023382694E-2</v>
      </c>
      <c r="O56" s="762">
        <f>H45</f>
        <v>6.8121590023382694E-2</v>
      </c>
      <c r="P56" s="762">
        <f t="shared" si="28"/>
        <v>6.8121590023382694E-2</v>
      </c>
      <c r="Q56" s="762">
        <f t="shared" si="28"/>
        <v>0.17534734384121431</v>
      </c>
      <c r="R56" s="762">
        <f>I45</f>
        <v>0.17534734384121431</v>
      </c>
      <c r="S56" s="762">
        <f>I45</f>
        <v>0.17534734384121431</v>
      </c>
      <c r="T56" s="762">
        <f t="shared" si="29"/>
        <v>0.17534734384121431</v>
      </c>
      <c r="U56" s="762">
        <f t="shared" si="29"/>
        <v>-0.16946808510638278</v>
      </c>
      <c r="V56" s="762">
        <f>J45</f>
        <v>-0.16946808510638278</v>
      </c>
      <c r="W56" s="762">
        <f>J45</f>
        <v>-0.16946808510638278</v>
      </c>
      <c r="X56" s="762">
        <f>J45</f>
        <v>-0.16946808510638278</v>
      </c>
      <c r="Y56" s="762">
        <f>K45</f>
        <v>4.0995260663506894E-2</v>
      </c>
      <c r="Z56" s="762">
        <f>K45</f>
        <v>4.0995260663506894E-2</v>
      </c>
      <c r="AA56" s="762">
        <f>K45</f>
        <v>4.0995260663506894E-2</v>
      </c>
      <c r="AB56" s="762">
        <f t="shared" si="26"/>
        <v>4.0995260663506894E-2</v>
      </c>
      <c r="AC56" s="762">
        <f t="shared" si="26"/>
        <v>6.2008970044480805E-2</v>
      </c>
      <c r="AD56" s="762">
        <f>L45</f>
        <v>6.2008970044480805E-2</v>
      </c>
      <c r="AE56" s="762">
        <f>L45</f>
        <v>6.2008970044480805E-2</v>
      </c>
      <c r="AF56" s="762">
        <f t="shared" si="27"/>
        <v>6.2008970044480805E-2</v>
      </c>
      <c r="AG56" s="762">
        <f t="shared" si="27"/>
        <v>3.5586838141582922E-2</v>
      </c>
      <c r="AH56" s="762">
        <f>M45</f>
        <v>3.5586838141582922E-2</v>
      </c>
      <c r="AI56" s="762">
        <f>M45</f>
        <v>3.5586838141582922E-2</v>
      </c>
      <c r="AJ56" s="762">
        <f>M45</f>
        <v>3.5586838141582922E-2</v>
      </c>
    </row>
    <row r="57" spans="4:41" ht="14.9" customHeight="1" x14ac:dyDescent="0.35">
      <c r="D57" s="875"/>
      <c r="E57" s="874"/>
      <c r="F57" s="887"/>
      <c r="G57" s="887"/>
      <c r="H57" s="859"/>
      <c r="I57" s="859"/>
      <c r="J57" s="859"/>
      <c r="K57" s="859"/>
      <c r="L57" s="859"/>
      <c r="M57" s="762">
        <f>H46</f>
        <v>0.39462341197822148</v>
      </c>
      <c r="N57" s="762">
        <f>H46</f>
        <v>0.39462341197822148</v>
      </c>
      <c r="O57" s="762">
        <f>H46</f>
        <v>0.39462341197822148</v>
      </c>
      <c r="P57" s="762">
        <f t="shared" si="28"/>
        <v>0.39462341197822148</v>
      </c>
      <c r="Q57" s="762">
        <f t="shared" si="28"/>
        <v>0.16320577470516473</v>
      </c>
      <c r="R57" s="762">
        <f>I46</f>
        <v>0.16320577470516473</v>
      </c>
      <c r="S57" s="762">
        <f>I46</f>
        <v>0.16320577470516473</v>
      </c>
      <c r="T57" s="762">
        <f t="shared" si="29"/>
        <v>0.16320577470516473</v>
      </c>
      <c r="U57" s="762">
        <f t="shared" si="29"/>
        <v>-1.2434479495936457E-2</v>
      </c>
      <c r="V57" s="762">
        <f>J46</f>
        <v>-1.2434479495936457E-2</v>
      </c>
      <c r="W57" s="762">
        <f>J46</f>
        <v>-1.2434479495936457E-2</v>
      </c>
      <c r="X57" s="762">
        <f>J46</f>
        <v>-1.2434479495936457E-2</v>
      </c>
      <c r="Y57" s="762">
        <f>K46</f>
        <v>0.10219741458206225</v>
      </c>
      <c r="Z57" s="762">
        <f>K46</f>
        <v>0.10219741458206225</v>
      </c>
      <c r="AA57" s="762">
        <f>K46</f>
        <v>0.10219741458206225</v>
      </c>
      <c r="AB57" s="762">
        <f t="shared" si="26"/>
        <v>0.10219741458206225</v>
      </c>
      <c r="AC57" s="762">
        <f t="shared" si="26"/>
        <v>8.2782897666929228E-2</v>
      </c>
      <c r="AD57" s="762">
        <f>L46</f>
        <v>8.2782897666929228E-2</v>
      </c>
      <c r="AE57" s="762">
        <f>L46</f>
        <v>8.2782897666929228E-2</v>
      </c>
      <c r="AF57" s="762">
        <f t="shared" si="27"/>
        <v>8.2782897666929228E-2</v>
      </c>
      <c r="AG57" s="762">
        <f t="shared" si="27"/>
        <v>-1.0062356402753797E-2</v>
      </c>
      <c r="AH57" s="762">
        <f>N46</f>
        <v>0</v>
      </c>
      <c r="AI57" s="762">
        <f>O46</f>
        <v>0</v>
      </c>
      <c r="AJ57" s="762">
        <f>P46</f>
        <v>0</v>
      </c>
    </row>
    <row r="58" spans="4:41" ht="14.9" customHeight="1" x14ac:dyDescent="0.35">
      <c r="D58" s="875"/>
      <c r="E58" s="874"/>
      <c r="F58" s="887"/>
      <c r="G58" s="887"/>
      <c r="H58" s="859"/>
      <c r="I58" s="859"/>
      <c r="J58" s="809"/>
      <c r="K58" s="859"/>
      <c r="L58" s="859"/>
    </row>
    <row r="59" spans="4:41" ht="14.9" customHeight="1" x14ac:dyDescent="0.35">
      <c r="D59" s="875"/>
      <c r="E59" s="874"/>
      <c r="F59" s="887"/>
      <c r="G59" s="887"/>
      <c r="H59" s="859"/>
      <c r="I59" s="859"/>
      <c r="J59" s="859"/>
      <c r="K59" s="859"/>
      <c r="L59" s="859"/>
    </row>
    <row r="60" spans="4:41" ht="41.9" customHeight="1" x14ac:dyDescent="0.35">
      <c r="F60" s="239"/>
      <c r="G60" s="239"/>
      <c r="H60" s="714"/>
      <c r="I60" s="714"/>
      <c r="J60" s="714"/>
      <c r="K60" s="714"/>
      <c r="L60" s="714"/>
      <c r="M60" s="239" t="s">
        <v>1929</v>
      </c>
      <c r="N60" s="279"/>
      <c r="AF60" s="714"/>
      <c r="AG60" s="714"/>
      <c r="AH60" s="714"/>
      <c r="AI60" s="714"/>
      <c r="AJ60" s="714"/>
      <c r="AK60" s="714"/>
      <c r="AL60" s="714"/>
      <c r="AN60" s="714"/>
      <c r="AO60" s="714"/>
    </row>
    <row r="61" spans="4:41" ht="30.75" customHeight="1" x14ac:dyDescent="0.35">
      <c r="D61" s="835" t="s">
        <v>1930</v>
      </c>
      <c r="E61" s="655">
        <v>2018</v>
      </c>
      <c r="F61" s="837">
        <v>2019</v>
      </c>
      <c r="G61" s="837">
        <v>2020</v>
      </c>
      <c r="H61" s="837">
        <v>2021</v>
      </c>
      <c r="I61" s="838">
        <v>2022</v>
      </c>
      <c r="J61" s="777">
        <v>2023</v>
      </c>
      <c r="K61" s="778">
        <v>2024</v>
      </c>
      <c r="L61" s="779">
        <v>2025</v>
      </c>
      <c r="M61" s="779">
        <v>2026</v>
      </c>
      <c r="N61" s="912"/>
      <c r="O61" s="224"/>
    </row>
    <row r="62" spans="4:41" ht="30.75" customHeight="1" x14ac:dyDescent="0.35">
      <c r="D62" s="839" t="s">
        <v>490</v>
      </c>
      <c r="E62" s="840">
        <v>1683.5</v>
      </c>
      <c r="F62" s="840">
        <v>1717.9</v>
      </c>
      <c r="G62" s="840">
        <v>1609</v>
      </c>
      <c r="H62" s="366">
        <v>2044.377</v>
      </c>
      <c r="I62" s="460">
        <v>2632.145</v>
      </c>
      <c r="J62" s="460">
        <v>2176.4810000000002</v>
      </c>
      <c r="K62" s="460">
        <v>2446.6640000000002</v>
      </c>
      <c r="L62" s="460">
        <v>2549.8649999999998</v>
      </c>
      <c r="M62" s="904">
        <f>2841.002-147-30</f>
        <v>2664.002</v>
      </c>
      <c r="N62" s="797">
        <v>3121.953</v>
      </c>
      <c r="O62" s="224">
        <v>3224.15</v>
      </c>
      <c r="P62">
        <v>3326.8539999999998</v>
      </c>
      <c r="Q62">
        <v>3455.0859999999998</v>
      </c>
      <c r="R62">
        <v>3583.2</v>
      </c>
      <c r="S62">
        <v>3710.4380000000001</v>
      </c>
      <c r="T62">
        <v>3858.924</v>
      </c>
      <c r="U62">
        <v>4020.6480000000001</v>
      </c>
    </row>
    <row r="63" spans="4:41" ht="16.5" customHeight="1" x14ac:dyDescent="0.35">
      <c r="D63" s="916" t="s">
        <v>491</v>
      </c>
      <c r="E63" s="774">
        <v>1170.7</v>
      </c>
      <c r="F63" s="774">
        <v>1243.4000000000001</v>
      </c>
      <c r="G63" s="774">
        <v>1310</v>
      </c>
      <c r="H63" s="433">
        <v>1314.088</v>
      </c>
      <c r="I63" s="232">
        <v>1483.5260000000001</v>
      </c>
      <c r="J63" s="232">
        <v>1614.4559999999999</v>
      </c>
      <c r="K63" s="232">
        <v>1678.453</v>
      </c>
      <c r="L63" s="232">
        <v>1737.193</v>
      </c>
      <c r="M63" s="795">
        <v>1814.2460000000001</v>
      </c>
      <c r="N63" s="908">
        <v>1885.5429999999999</v>
      </c>
      <c r="O63" s="882">
        <v>1960.0719999999999</v>
      </c>
      <c r="P63" s="905">
        <v>2038.2460000000001</v>
      </c>
      <c r="Q63">
        <v>2118.127</v>
      </c>
      <c r="R63">
        <v>2199.9830000000002</v>
      </c>
      <c r="S63">
        <v>2283.1770000000001</v>
      </c>
      <c r="T63">
        <v>2367.9110000000001</v>
      </c>
      <c r="U63">
        <v>2455.0839999999998</v>
      </c>
    </row>
    <row r="64" spans="4:41" x14ac:dyDescent="0.35">
      <c r="D64" s="548" t="s">
        <v>492</v>
      </c>
      <c r="E64" s="433">
        <f t="shared" ref="E64:L64" si="30">E65+E66</f>
        <v>136.30000000000001</v>
      </c>
      <c r="F64" s="433">
        <f t="shared" si="30"/>
        <v>170.6</v>
      </c>
      <c r="G64" s="433">
        <f t="shared" si="30"/>
        <v>156</v>
      </c>
      <c r="H64" s="433">
        <f t="shared" si="30"/>
        <v>155.25900000000001</v>
      </c>
      <c r="I64" s="433">
        <f t="shared" si="30"/>
        <v>188</v>
      </c>
      <c r="J64" s="433">
        <f t="shared" si="30"/>
        <v>156.14000000000001</v>
      </c>
      <c r="K64" s="433">
        <f t="shared" si="30"/>
        <v>162.541</v>
      </c>
      <c r="L64" s="433">
        <f t="shared" si="30"/>
        <v>172.61999999999998</v>
      </c>
      <c r="M64" s="772">
        <f>M65+M66</f>
        <v>178.76300000000001</v>
      </c>
      <c r="N64" s="314"/>
      <c r="P64" s="909"/>
      <c r="Q64" s="909"/>
      <c r="R64" s="909"/>
      <c r="S64" s="909"/>
      <c r="T64" s="909"/>
      <c r="U64" s="909"/>
      <c r="V64" s="909"/>
      <c r="W64" s="909"/>
    </row>
    <row r="65" spans="4:26" x14ac:dyDescent="0.35">
      <c r="D65" s="668" t="s">
        <v>1916</v>
      </c>
      <c r="E65" s="774">
        <v>95</v>
      </c>
      <c r="F65" s="774">
        <v>99.8</v>
      </c>
      <c r="G65" s="774">
        <v>87</v>
      </c>
      <c r="H65" s="433">
        <v>75.274000000000001</v>
      </c>
      <c r="I65" s="773">
        <v>88</v>
      </c>
      <c r="J65" s="765">
        <v>75.802000000000007</v>
      </c>
      <c r="K65" s="765">
        <v>89.162000000000006</v>
      </c>
      <c r="L65" s="765">
        <v>96.432999999999979</v>
      </c>
      <c r="M65" s="771">
        <v>98.983999999999995</v>
      </c>
      <c r="N65" s="765">
        <v>99.646000000000001</v>
      </c>
      <c r="O65" s="765">
        <v>99.663999999999987</v>
      </c>
      <c r="P65" s="765">
        <v>99.603999999999999</v>
      </c>
      <c r="Q65" s="765">
        <v>99.308000000000007</v>
      </c>
      <c r="R65" s="765">
        <v>98.682000000000002</v>
      </c>
      <c r="S65" s="765">
        <v>97.385000000000005</v>
      </c>
      <c r="T65" s="765">
        <v>97.613</v>
      </c>
      <c r="U65" s="765">
        <v>98.284999999999997</v>
      </c>
      <c r="V65" s="765">
        <v>494.33099999999996</v>
      </c>
      <c r="W65" s="765">
        <v>985.60399999999993</v>
      </c>
    </row>
    <row r="66" spans="4:26" ht="16.5" customHeight="1" x14ac:dyDescent="0.35">
      <c r="D66" s="519" t="s">
        <v>1915</v>
      </c>
      <c r="E66" s="774">
        <v>41.3</v>
      </c>
      <c r="F66" s="774">
        <v>70.8</v>
      </c>
      <c r="G66" s="774">
        <v>69</v>
      </c>
      <c r="H66" s="433">
        <v>79.984999999999999</v>
      </c>
      <c r="I66" s="773">
        <v>100</v>
      </c>
      <c r="J66" s="765">
        <v>80.338000000000008</v>
      </c>
      <c r="K66" s="765">
        <v>73.378999999999991</v>
      </c>
      <c r="L66" s="765">
        <v>76.186999999999998</v>
      </c>
      <c r="M66" s="771">
        <v>79.779000000000011</v>
      </c>
      <c r="N66" s="765">
        <v>83.01700000000001</v>
      </c>
      <c r="O66" s="765">
        <v>85.426999999999992</v>
      </c>
      <c r="P66" s="765">
        <v>87.106999999999985</v>
      </c>
      <c r="Q66" s="765">
        <v>88.576999999999998</v>
      </c>
      <c r="R66" s="765">
        <v>90.27300000000001</v>
      </c>
      <c r="S66" s="765">
        <v>92.084999999999994</v>
      </c>
      <c r="T66" s="765">
        <v>94.007999999999996</v>
      </c>
      <c r="U66" s="765">
        <v>96.02600000000001</v>
      </c>
      <c r="V66" s="765">
        <v>411.51699999999994</v>
      </c>
      <c r="W66" s="765">
        <v>872.4860000000001</v>
      </c>
      <c r="X66" s="888"/>
      <c r="Y66" s="888"/>
      <c r="Z66" s="906"/>
    </row>
    <row r="67" spans="4:26" ht="16.5" customHeight="1" x14ac:dyDescent="0.35">
      <c r="D67" s="841" t="s">
        <v>106</v>
      </c>
      <c r="E67" s="842">
        <v>204.7</v>
      </c>
      <c r="F67" s="842">
        <v>230.2</v>
      </c>
      <c r="G67" s="842">
        <v>212</v>
      </c>
      <c r="H67" s="871">
        <v>371.83100000000002</v>
      </c>
      <c r="I67" s="484">
        <v>424.86700000000002</v>
      </c>
      <c r="J67" s="484">
        <v>419.584</v>
      </c>
      <c r="K67" s="484">
        <v>525.40200000000004</v>
      </c>
      <c r="L67" s="484">
        <v>490.08600000000001</v>
      </c>
      <c r="M67" s="808">
        <v>470.452</v>
      </c>
      <c r="N67" s="888">
        <v>459.399</v>
      </c>
      <c r="O67" s="907">
        <v>461.55399999999997</v>
      </c>
      <c r="P67" s="905">
        <v>460.858</v>
      </c>
      <c r="Q67" s="905">
        <v>462.81099999999998</v>
      </c>
      <c r="R67" s="905">
        <v>465.98700000000002</v>
      </c>
      <c r="S67" s="905">
        <v>471.01</v>
      </c>
      <c r="T67" s="905">
        <v>495.30399999999997</v>
      </c>
      <c r="U67" s="905">
        <v>506.70400000000001</v>
      </c>
      <c r="V67" s="905"/>
      <c r="W67" s="905"/>
      <c r="X67" s="888"/>
      <c r="Y67" s="888"/>
      <c r="Z67" s="906"/>
    </row>
    <row r="68" spans="4:26" ht="16.5" customHeight="1" x14ac:dyDescent="0.35"/>
    <row r="69" spans="4:26" x14ac:dyDescent="0.35">
      <c r="D69" s="607" t="s">
        <v>493</v>
      </c>
      <c r="E69" s="655">
        <v>2018</v>
      </c>
      <c r="F69" s="716">
        <v>2019</v>
      </c>
      <c r="G69" s="761">
        <v>2020</v>
      </c>
      <c r="H69" s="716">
        <v>2021</v>
      </c>
      <c r="I69" s="716">
        <v>2022</v>
      </c>
      <c r="J69" s="781">
        <v>2023</v>
      </c>
      <c r="K69" s="781">
        <v>2024</v>
      </c>
      <c r="L69" s="915">
        <v>2025</v>
      </c>
      <c r="M69" s="779">
        <v>2026</v>
      </c>
      <c r="O69" s="512" t="s">
        <v>494</v>
      </c>
    </row>
    <row r="70" spans="4:26" ht="14.9" customHeight="1" x14ac:dyDescent="0.35">
      <c r="D70" s="878" t="s">
        <v>490</v>
      </c>
      <c r="E70" s="308">
        <v>1622</v>
      </c>
      <c r="F70" s="308">
        <v>1687</v>
      </c>
      <c r="G70" s="782">
        <f t="shared" ref="G70:M73" si="31">G38</f>
        <v>1712.5250000000001</v>
      </c>
      <c r="H70" s="782">
        <f t="shared" si="31"/>
        <v>2025.3000000000002</v>
      </c>
      <c r="I70" s="782">
        <f t="shared" si="31"/>
        <v>2519.5</v>
      </c>
      <c r="J70" s="766">
        <f t="shared" si="31"/>
        <v>2083.336548518414</v>
      </c>
      <c r="K70" s="766">
        <f t="shared" si="31"/>
        <v>2341.9568253268721</v>
      </c>
      <c r="L70" s="766">
        <f t="shared" si="31"/>
        <v>2440.7412462079401</v>
      </c>
      <c r="M70" s="766">
        <f t="shared" si="31"/>
        <v>2549.9936511856295</v>
      </c>
    </row>
    <row r="71" spans="4:26" x14ac:dyDescent="0.35">
      <c r="D71" s="903" t="s">
        <v>495</v>
      </c>
      <c r="E71" s="219">
        <v>1332</v>
      </c>
      <c r="F71" s="219">
        <v>1388</v>
      </c>
      <c r="G71" s="766">
        <f t="shared" si="31"/>
        <v>1424.5250000000001</v>
      </c>
      <c r="H71" s="766">
        <f t="shared" si="31"/>
        <v>1509.7249999999999</v>
      </c>
      <c r="I71" s="766">
        <f t="shared" si="31"/>
        <v>1656.375</v>
      </c>
      <c r="J71" s="766">
        <f t="shared" ref="J71:M71" si="32">J39</f>
        <v>1802.5599531117082</v>
      </c>
      <c r="K71" s="766">
        <f t="shared" si="32"/>
        <v>1874.0133896372563</v>
      </c>
      <c r="L71" s="766">
        <f t="shared" si="32"/>
        <v>1939.5973210951479</v>
      </c>
      <c r="M71" s="766">
        <f t="shared" si="32"/>
        <v>2025.6279419774246</v>
      </c>
      <c r="N71" s="886"/>
    </row>
    <row r="72" spans="4:26" x14ac:dyDescent="0.35">
      <c r="D72" s="903" t="s">
        <v>105</v>
      </c>
      <c r="E72" s="219">
        <v>150</v>
      </c>
      <c r="F72" s="219">
        <v>175</v>
      </c>
      <c r="G72" s="766">
        <f t="shared" si="31"/>
        <v>160.375</v>
      </c>
      <c r="H72" s="766">
        <f t="shared" si="31"/>
        <v>171.3</v>
      </c>
      <c r="I72" s="766">
        <f t="shared" si="31"/>
        <v>203.05</v>
      </c>
      <c r="J72" s="766">
        <f t="shared" ref="J72:M72" si="33">J40</f>
        <v>168.63950531914898</v>
      </c>
      <c r="K72" s="766">
        <f t="shared" si="33"/>
        <v>175.55292579787235</v>
      </c>
      <c r="L72" s="766">
        <f t="shared" si="33"/>
        <v>186.43878191489358</v>
      </c>
      <c r="M72" s="766">
        <f t="shared" si="33"/>
        <v>193.07354867021277</v>
      </c>
      <c r="N72" s="886"/>
    </row>
    <row r="73" spans="4:26" x14ac:dyDescent="0.35">
      <c r="D73" s="862" t="s">
        <v>257</v>
      </c>
      <c r="E73" s="561">
        <v>208</v>
      </c>
      <c r="F73" s="561">
        <v>219</v>
      </c>
      <c r="G73" s="783">
        <f t="shared" si="31"/>
        <v>220.4</v>
      </c>
      <c r="H73" s="783">
        <f t="shared" si="31"/>
        <v>307.375</v>
      </c>
      <c r="I73" s="783">
        <f t="shared" si="31"/>
        <v>389.2</v>
      </c>
      <c r="J73" s="766">
        <f t="shared" ref="J73:M73" si="34">J41</f>
        <v>384.36050058018151</v>
      </c>
      <c r="K73" s="766">
        <f t="shared" si="34"/>
        <v>481.29522509397054</v>
      </c>
      <c r="L73" s="766">
        <f t="shared" si="34"/>
        <v>448.9439546964108</v>
      </c>
      <c r="M73" s="766">
        <f t="shared" si="34"/>
        <v>430.95820197850145</v>
      </c>
      <c r="O73" s="1261" t="s">
        <v>895</v>
      </c>
      <c r="P73" s="1261" t="s">
        <v>895</v>
      </c>
      <c r="Q73" s="1261" t="s">
        <v>895</v>
      </c>
      <c r="R73" s="1261" t="s">
        <v>895</v>
      </c>
      <c r="S73" s="1261" t="s">
        <v>895</v>
      </c>
      <c r="T73" s="1261" t="s">
        <v>895</v>
      </c>
      <c r="U73" s="1261" t="s">
        <v>895</v>
      </c>
      <c r="V73" s="1262" t="s">
        <v>895</v>
      </c>
    </row>
    <row r="74" spans="4:26" ht="14.9" customHeight="1" x14ac:dyDescent="0.35">
      <c r="D74" s="262"/>
      <c r="E74" s="219"/>
      <c r="F74" s="219"/>
      <c r="G74" s="219"/>
      <c r="P74" s="1263">
        <v>2022</v>
      </c>
      <c r="Q74" s="1264">
        <v>2022</v>
      </c>
      <c r="R74" s="1264">
        <v>2022</v>
      </c>
      <c r="S74" s="1265">
        <v>2022</v>
      </c>
    </row>
    <row r="75" spans="4:26" ht="17.25" customHeight="1" x14ac:dyDescent="0.35">
      <c r="D75" s="220" t="s">
        <v>497</v>
      </c>
      <c r="E75" s="219"/>
      <c r="F75" s="219"/>
      <c r="G75" s="219"/>
      <c r="P75" s="138" t="s">
        <v>896</v>
      </c>
      <c r="Q75" s="138" t="s">
        <v>897</v>
      </c>
      <c r="R75" s="138" t="s">
        <v>898</v>
      </c>
      <c r="S75" s="138" t="s">
        <v>899</v>
      </c>
      <c r="T75" s="129" t="s">
        <v>912</v>
      </c>
    </row>
    <row r="76" spans="4:26" ht="30" customHeight="1" x14ac:dyDescent="0.35">
      <c r="D76" s="790" t="s">
        <v>498</v>
      </c>
      <c r="E76" s="716">
        <v>2018</v>
      </c>
      <c r="F76" s="716">
        <v>2019</v>
      </c>
      <c r="G76" s="761">
        <v>2020</v>
      </c>
      <c r="H76" s="655">
        <v>2021</v>
      </c>
      <c r="I76" s="716">
        <v>2022</v>
      </c>
      <c r="J76" s="781">
        <v>2023</v>
      </c>
      <c r="K76" s="781">
        <v>2024</v>
      </c>
      <c r="L76" s="915">
        <v>2025</v>
      </c>
      <c r="M76" s="779">
        <v>2026</v>
      </c>
      <c r="O76" s="30" t="s">
        <v>496</v>
      </c>
      <c r="P76" s="142">
        <v>2973</v>
      </c>
      <c r="Q76" s="142">
        <v>3062.8</v>
      </c>
      <c r="R76" s="142">
        <v>3085.2</v>
      </c>
      <c r="S76" s="836">
        <v>2106.1999999999998</v>
      </c>
      <c r="T76" s="142">
        <v>3123.2</v>
      </c>
    </row>
    <row r="77" spans="4:26" x14ac:dyDescent="0.35">
      <c r="D77" s="878" t="s">
        <v>490</v>
      </c>
      <c r="E77" s="791">
        <f t="shared" ref="E77:M79" si="35">E70/E62</f>
        <v>0.96346896346896349</v>
      </c>
      <c r="F77" s="791">
        <f t="shared" si="35"/>
        <v>0.98201292275452579</v>
      </c>
      <c r="G77" s="791">
        <f t="shared" si="35"/>
        <v>1.0643412057178372</v>
      </c>
      <c r="H77" s="791">
        <f t="shared" si="35"/>
        <v>0.99066855085925942</v>
      </c>
      <c r="I77" s="791">
        <f t="shared" si="35"/>
        <v>0.95720410539692913</v>
      </c>
      <c r="J77" s="769">
        <f>J70/J62</f>
        <v>0.95720410539692913</v>
      </c>
      <c r="K77" s="791">
        <f t="shared" si="35"/>
        <v>0.95720410539692902</v>
      </c>
      <c r="L77" s="791">
        <f t="shared" si="35"/>
        <v>0.95720410539692902</v>
      </c>
      <c r="M77" s="768">
        <f t="shared" si="35"/>
        <v>0.95720410539692891</v>
      </c>
      <c r="T77" s="224"/>
    </row>
    <row r="78" spans="4:26" x14ac:dyDescent="0.35">
      <c r="D78" s="903" t="s">
        <v>495</v>
      </c>
      <c r="E78" s="770">
        <f t="shared" si="35"/>
        <v>1.1377808148970701</v>
      </c>
      <c r="F78" s="770">
        <f t="shared" si="35"/>
        <v>1.1162940324915553</v>
      </c>
      <c r="G78" s="770">
        <f t="shared" si="35"/>
        <v>1.0874236641221375</v>
      </c>
      <c r="H78" s="770">
        <f t="shared" si="35"/>
        <v>1.1488766353547097</v>
      </c>
      <c r="I78" s="770">
        <f t="shared" si="35"/>
        <v>1.1165122822249154</v>
      </c>
      <c r="J78" s="917">
        <f t="shared" si="35"/>
        <v>1.1165122822249156</v>
      </c>
      <c r="K78" s="770">
        <f t="shared" ref="K78:M78" si="36">K71/K63</f>
        <v>1.1165122822249156</v>
      </c>
      <c r="L78" s="770">
        <f t="shared" si="36"/>
        <v>1.1165122822249156</v>
      </c>
      <c r="M78" s="767">
        <f t="shared" si="36"/>
        <v>1.1165122822249158</v>
      </c>
    </row>
    <row r="79" spans="4:26" x14ac:dyDescent="0.35">
      <c r="D79" s="903" t="s">
        <v>105</v>
      </c>
      <c r="E79" s="770">
        <f t="shared" si="35"/>
        <v>1.1005135730007336</v>
      </c>
      <c r="F79" s="770">
        <f t="shared" si="35"/>
        <v>1.0257913247362251</v>
      </c>
      <c r="G79" s="770">
        <f t="shared" si="35"/>
        <v>1.0280448717948718</v>
      </c>
      <c r="H79" s="770">
        <f t="shared" si="35"/>
        <v>1.1033176820667401</v>
      </c>
      <c r="I79" s="770">
        <f t="shared" si="35"/>
        <v>1.0800531914893619</v>
      </c>
      <c r="J79" s="917">
        <f t="shared" si="35"/>
        <v>1.0800531914893619</v>
      </c>
      <c r="K79" s="770">
        <f t="shared" ref="K79:M79" si="37">K72/K64</f>
        <v>1.0800531914893619</v>
      </c>
      <c r="L79" s="770">
        <f t="shared" si="37"/>
        <v>1.0800531914893616</v>
      </c>
      <c r="M79" s="767">
        <f t="shared" si="37"/>
        <v>1.0800531914893616</v>
      </c>
    </row>
    <row r="80" spans="4:26" x14ac:dyDescent="0.35">
      <c r="D80" s="862" t="s">
        <v>257</v>
      </c>
      <c r="E80" s="864">
        <f t="shared" ref="E80:I80" si="38">E73/E67</f>
        <v>1.0161211529066927</v>
      </c>
      <c r="F80" s="864">
        <f t="shared" si="38"/>
        <v>0.95134665508253702</v>
      </c>
      <c r="G80" s="864">
        <f t="shared" si="38"/>
        <v>1.0396226415094341</v>
      </c>
      <c r="H80" s="864">
        <f t="shared" si="38"/>
        <v>0.82665243080862005</v>
      </c>
      <c r="I80" s="864">
        <f t="shared" si="38"/>
        <v>0.91605137607769016</v>
      </c>
      <c r="J80" s="918">
        <f t="shared" ref="J80:M80" si="39">J73/J65</f>
        <v>5.070585216487447</v>
      </c>
      <c r="K80" s="864">
        <f t="shared" si="39"/>
        <v>5.3979859704130737</v>
      </c>
      <c r="L80" s="864">
        <f t="shared" si="39"/>
        <v>4.6555012775337374</v>
      </c>
      <c r="M80" s="919">
        <f t="shared" si="39"/>
        <v>4.3538167984573413</v>
      </c>
    </row>
    <row r="82" spans="4:21" x14ac:dyDescent="0.35">
      <c r="D82" s="262"/>
      <c r="E82" s="219"/>
      <c r="F82" s="219"/>
      <c r="G82" s="219"/>
    </row>
    <row r="83" spans="4:21" x14ac:dyDescent="0.35">
      <c r="D83" s="239"/>
    </row>
    <row r="84" spans="4:21" ht="30" customHeight="1" x14ac:dyDescent="0.35">
      <c r="D84" s="397" t="s">
        <v>1931</v>
      </c>
      <c r="E84" s="655">
        <v>2018</v>
      </c>
      <c r="F84" s="837">
        <v>2019</v>
      </c>
      <c r="G84" s="837">
        <v>2020</v>
      </c>
      <c r="H84" s="850">
        <v>2021</v>
      </c>
      <c r="I84" s="837">
        <v>2022</v>
      </c>
      <c r="J84" s="843">
        <v>2023</v>
      </c>
      <c r="K84" s="843">
        <v>2024</v>
      </c>
      <c r="L84" s="796">
        <v>2025</v>
      </c>
      <c r="M84" s="779">
        <v>2026</v>
      </c>
    </row>
    <row r="85" spans="4:21" x14ac:dyDescent="0.35">
      <c r="D85" s="560" t="s">
        <v>1918</v>
      </c>
      <c r="E85" s="366">
        <v>14016.099999999999</v>
      </c>
      <c r="F85" s="366">
        <v>14604.2</v>
      </c>
      <c r="G85" s="366">
        <v>14711.300000000001</v>
      </c>
      <c r="H85" s="890">
        <v>21015.3</v>
      </c>
      <c r="I85" s="711">
        <v>21593.3</v>
      </c>
      <c r="J85" s="711">
        <v>22717.9</v>
      </c>
      <c r="K85" s="711">
        <v>24019.200000000001</v>
      </c>
      <c r="L85" s="711">
        <v>25601.3</v>
      </c>
      <c r="M85" s="448">
        <v>26829.599999999999</v>
      </c>
      <c r="N85">
        <v>27946.1</v>
      </c>
      <c r="O85">
        <v>29114.3</v>
      </c>
      <c r="P85">
        <v>30350.5</v>
      </c>
      <c r="Q85">
        <v>31638.799999999999</v>
      </c>
      <c r="R85">
        <v>32975.4</v>
      </c>
      <c r="S85">
        <v>34369.5</v>
      </c>
      <c r="T85">
        <v>35806.400000000001</v>
      </c>
      <c r="U85">
        <v>37320.199999999997</v>
      </c>
    </row>
    <row r="86" spans="4:21" x14ac:dyDescent="0.35">
      <c r="D86" s="903" t="s">
        <v>500</v>
      </c>
      <c r="E86" s="219">
        <v>8804</v>
      </c>
      <c r="F86" s="219">
        <v>9209</v>
      </c>
      <c r="G86" s="433">
        <v>9300</v>
      </c>
      <c r="H86" s="789">
        <v>10074.1</v>
      </c>
      <c r="I86" s="436">
        <v>10975.3</v>
      </c>
      <c r="J86" s="436">
        <v>11633.3</v>
      </c>
      <c r="K86" s="436">
        <v>12314.7</v>
      </c>
      <c r="L86" s="436">
        <v>12911.1</v>
      </c>
      <c r="M86" s="780">
        <v>13456.5</v>
      </c>
      <c r="N86">
        <v>13986.1</v>
      </c>
      <c r="O86">
        <v>14525.5</v>
      </c>
      <c r="P86">
        <v>15089.5</v>
      </c>
      <c r="Q86">
        <v>15670.2</v>
      </c>
      <c r="R86">
        <v>16264.2</v>
      </c>
      <c r="S86">
        <v>16872.900000000001</v>
      </c>
      <c r="T86">
        <v>17495.7</v>
      </c>
      <c r="U86">
        <v>18140.7</v>
      </c>
    </row>
    <row r="87" spans="4:21" x14ac:dyDescent="0.35">
      <c r="D87" s="903" t="s">
        <v>501</v>
      </c>
      <c r="E87" s="219">
        <v>13844</v>
      </c>
      <c r="F87" s="219">
        <v>14403</v>
      </c>
      <c r="G87" s="433">
        <v>14201</v>
      </c>
      <c r="H87" s="789">
        <v>15545.1</v>
      </c>
      <c r="I87" s="436">
        <v>17212</v>
      </c>
      <c r="J87" s="436">
        <v>18321.3</v>
      </c>
      <c r="K87" s="436">
        <v>19338.099999999999</v>
      </c>
      <c r="L87" s="436">
        <v>20190.099999999999</v>
      </c>
      <c r="M87" s="780">
        <v>20873.900000000001</v>
      </c>
      <c r="N87">
        <v>21571.5</v>
      </c>
      <c r="O87">
        <v>22340.1</v>
      </c>
      <c r="P87">
        <v>23227.9</v>
      </c>
      <c r="Q87">
        <v>24187.599999999999</v>
      </c>
      <c r="R87">
        <v>25198.1</v>
      </c>
      <c r="S87">
        <v>26280.5</v>
      </c>
      <c r="T87">
        <v>27389</v>
      </c>
      <c r="U87">
        <v>28538.6</v>
      </c>
    </row>
    <row r="88" spans="4:21" x14ac:dyDescent="0.35">
      <c r="D88" s="862" t="s">
        <v>1917</v>
      </c>
      <c r="E88" s="871">
        <v>2335</v>
      </c>
      <c r="F88" s="871">
        <v>2442</v>
      </c>
      <c r="G88" s="871">
        <v>2392</v>
      </c>
      <c r="H88" s="844">
        <v>2796</v>
      </c>
      <c r="I88" s="851">
        <v>3144.3</v>
      </c>
      <c r="J88" s="851">
        <v>3216.6</v>
      </c>
      <c r="K88" s="851">
        <v>3412.7</v>
      </c>
      <c r="L88" s="851">
        <v>3518.9</v>
      </c>
      <c r="M88" s="226">
        <v>3584.9</v>
      </c>
      <c r="N88">
        <v>3652.1</v>
      </c>
      <c r="O88">
        <v>3702.7</v>
      </c>
      <c r="P88">
        <v>3767.6</v>
      </c>
      <c r="Q88">
        <v>3875.9</v>
      </c>
      <c r="R88">
        <v>4003.6</v>
      </c>
      <c r="S88">
        <v>4146.8999999999996</v>
      </c>
      <c r="T88">
        <v>4293.6000000000004</v>
      </c>
      <c r="U88">
        <v>4443.3999999999996</v>
      </c>
    </row>
    <row r="90" spans="4:21" x14ac:dyDescent="0.35">
      <c r="D90" s="239" t="s">
        <v>502</v>
      </c>
    </row>
    <row r="91" spans="4:21" x14ac:dyDescent="0.35">
      <c r="D91" s="607" t="s">
        <v>503</v>
      </c>
      <c r="E91" s="716">
        <v>2018</v>
      </c>
      <c r="F91" s="837">
        <v>2019</v>
      </c>
      <c r="G91" s="837">
        <v>2020</v>
      </c>
      <c r="H91" s="850">
        <v>2021</v>
      </c>
      <c r="I91" s="837">
        <v>2022</v>
      </c>
      <c r="J91" s="843">
        <v>2023</v>
      </c>
      <c r="K91" s="843">
        <v>2024</v>
      </c>
      <c r="L91" s="796">
        <v>2025</v>
      </c>
      <c r="M91" s="779">
        <v>2026</v>
      </c>
    </row>
    <row r="92" spans="4:21" x14ac:dyDescent="0.35">
      <c r="D92" s="784" t="s">
        <v>490</v>
      </c>
      <c r="E92" s="785">
        <f t="shared" ref="E92:L94" si="40">E62/E85</f>
        <v>0.12011187134794987</v>
      </c>
      <c r="F92" s="785">
        <f t="shared" si="40"/>
        <v>0.11763054463784391</v>
      </c>
      <c r="G92" s="785">
        <f t="shared" si="40"/>
        <v>0.10937170746297063</v>
      </c>
      <c r="H92" s="785">
        <f t="shared" si="40"/>
        <v>9.7280409987009472E-2</v>
      </c>
      <c r="I92" s="785">
        <f t="shared" si="40"/>
        <v>0.12189637526454966</v>
      </c>
      <c r="J92" s="785">
        <f t="shared" si="40"/>
        <v>9.5804673847494706E-2</v>
      </c>
      <c r="K92" s="785">
        <f t="shared" si="40"/>
        <v>0.10186284305888622</v>
      </c>
      <c r="L92" s="785">
        <f t="shared" si="40"/>
        <v>9.9599043798557094E-2</v>
      </c>
      <c r="M92" s="785">
        <f>M62/M85</f>
        <v>9.9293392372603401E-2</v>
      </c>
    </row>
    <row r="93" spans="4:21" x14ac:dyDescent="0.35">
      <c r="D93" s="798" t="s">
        <v>491</v>
      </c>
      <c r="E93" s="899">
        <f t="shared" si="40"/>
        <v>0.13297364834166289</v>
      </c>
      <c r="F93" s="899">
        <f>F63/F86</f>
        <v>0.13502008904332718</v>
      </c>
      <c r="G93" s="899">
        <f>G63/G86</f>
        <v>0.14086021505376345</v>
      </c>
      <c r="H93" s="899">
        <f t="shared" si="40"/>
        <v>0.13044222312663165</v>
      </c>
      <c r="I93" s="899">
        <f t="shared" si="40"/>
        <v>0.13516951700636887</v>
      </c>
      <c r="J93" s="899">
        <f t="shared" si="40"/>
        <v>0.13877885036919876</v>
      </c>
      <c r="K93" s="899">
        <f t="shared" si="40"/>
        <v>0.13629670231511931</v>
      </c>
      <c r="L93" s="899">
        <f t="shared" si="40"/>
        <v>0.13455034815004144</v>
      </c>
      <c r="M93" s="899">
        <f t="shared" ref="M93" si="41">M63/M86</f>
        <v>0.1348230223312154</v>
      </c>
    </row>
    <row r="94" spans="4:21" x14ac:dyDescent="0.35">
      <c r="D94" s="903" t="s">
        <v>504</v>
      </c>
      <c r="E94" s="899">
        <f t="shared" si="40"/>
        <v>9.8454203987286912E-3</v>
      </c>
      <c r="F94" s="899">
        <f t="shared" si="40"/>
        <v>1.1844754565021176E-2</v>
      </c>
      <c r="G94" s="899">
        <f t="shared" si="40"/>
        <v>1.0985141891416098E-2</v>
      </c>
      <c r="H94" s="899">
        <f t="shared" si="40"/>
        <v>9.9876488411139216E-3</v>
      </c>
      <c r="I94" s="899">
        <f t="shared" si="40"/>
        <v>1.0922612131071346E-2</v>
      </c>
      <c r="J94" s="899">
        <f t="shared" si="40"/>
        <v>8.5223210143385037E-3</v>
      </c>
      <c r="K94" s="899">
        <f t="shared" si="40"/>
        <v>8.4052207817727695E-3</v>
      </c>
      <c r="L94" s="899">
        <f t="shared" si="40"/>
        <v>8.5497347710016287E-3</v>
      </c>
      <c r="M94" s="899">
        <f t="shared" ref="M94" si="42">M64/M87</f>
        <v>8.5639482799093596E-3</v>
      </c>
    </row>
    <row r="95" spans="4:21" x14ac:dyDescent="0.35">
      <c r="D95" s="799" t="s">
        <v>106</v>
      </c>
      <c r="E95" s="866">
        <f t="shared" ref="E95:L95" si="43">E67/E88</f>
        <v>8.7665952890792292E-2</v>
      </c>
      <c r="F95" s="866">
        <f t="shared" si="43"/>
        <v>9.4266994266994267E-2</v>
      </c>
      <c r="G95" s="866">
        <f t="shared" si="43"/>
        <v>8.8628762541806017E-2</v>
      </c>
      <c r="H95" s="866">
        <f t="shared" si="43"/>
        <v>0.13298676680972818</v>
      </c>
      <c r="I95" s="866">
        <f t="shared" si="43"/>
        <v>0.13512292084088667</v>
      </c>
      <c r="J95" s="866">
        <f t="shared" si="43"/>
        <v>0.13044332525026425</v>
      </c>
      <c r="K95" s="866">
        <f t="shared" si="43"/>
        <v>0.1539549330442172</v>
      </c>
      <c r="L95" s="866">
        <f t="shared" si="43"/>
        <v>0.13927249992895507</v>
      </c>
      <c r="M95" s="866">
        <f t="shared" ref="M95" si="44">M67/M88</f>
        <v>0.1312315545761388</v>
      </c>
    </row>
    <row r="97" spans="4:68" x14ac:dyDescent="0.35">
      <c r="D97" s="239" t="s">
        <v>505</v>
      </c>
    </row>
    <row r="98" spans="4:68" x14ac:dyDescent="0.35">
      <c r="D98" s="803" t="s">
        <v>351</v>
      </c>
    </row>
    <row r="99" spans="4:68" x14ac:dyDescent="0.35">
      <c r="D99" s="607" t="s">
        <v>506</v>
      </c>
      <c r="E99" s="716">
        <v>2018</v>
      </c>
      <c r="F99" s="837">
        <v>2019</v>
      </c>
      <c r="G99" s="837">
        <v>2020</v>
      </c>
      <c r="H99" s="850">
        <v>2021</v>
      </c>
      <c r="I99" s="837">
        <v>2022</v>
      </c>
      <c r="J99" s="843">
        <v>2023</v>
      </c>
      <c r="K99" s="843">
        <v>2024</v>
      </c>
      <c r="L99" s="796">
        <v>2025</v>
      </c>
      <c r="M99" s="779">
        <v>2026</v>
      </c>
    </row>
    <row r="100" spans="4:68" ht="20.25" customHeight="1" x14ac:dyDescent="0.35">
      <c r="D100" s="784" t="s">
        <v>490</v>
      </c>
      <c r="E100" s="785">
        <f t="shared" ref="E100:G103" si="45">E92*E77</f>
        <v>0.11572406018792676</v>
      </c>
      <c r="F100" s="785">
        <f t="shared" si="45"/>
        <v>0.11551471494501581</v>
      </c>
      <c r="G100" s="785">
        <f t="shared" si="45"/>
        <v>0.11640881499255673</v>
      </c>
      <c r="H100" s="785">
        <f>N119</f>
        <v>0.13102202825485806</v>
      </c>
      <c r="I100" s="785">
        <f>H100</f>
        <v>0.13102202825485806</v>
      </c>
      <c r="J100" s="785">
        <f t="shared" ref="J100" si="46">I100</f>
        <v>0.13102202825485806</v>
      </c>
      <c r="K100" s="785">
        <f>J100</f>
        <v>0.13102202825485806</v>
      </c>
      <c r="L100" s="785">
        <f>K100</f>
        <v>0.13102202825485806</v>
      </c>
      <c r="M100" s="786"/>
      <c r="N100" s="800"/>
      <c r="O100" s="899"/>
      <c r="P100" s="899"/>
      <c r="Q100" s="899"/>
      <c r="R100" s="899"/>
      <c r="S100" s="899"/>
      <c r="T100" s="899"/>
      <c r="U100" s="899"/>
      <c r="V100" s="899"/>
      <c r="W100" s="899"/>
      <c r="X100" s="899"/>
      <c r="Y100" s="899"/>
    </row>
    <row r="101" spans="4:68" ht="18.75" customHeight="1" x14ac:dyDescent="0.35">
      <c r="D101" s="798" t="s">
        <v>491</v>
      </c>
      <c r="E101" s="899">
        <f t="shared" si="45"/>
        <v>0.15129486597001363</v>
      </c>
      <c r="F101" s="899">
        <f t="shared" si="45"/>
        <v>0.15072211966554458</v>
      </c>
      <c r="G101" s="899">
        <f t="shared" si="45"/>
        <v>0.15317473118279573</v>
      </c>
      <c r="H101" s="899">
        <f>N121</f>
        <v>0.14952123741713724</v>
      </c>
      <c r="I101" s="899">
        <f>H101</f>
        <v>0.14952123741713724</v>
      </c>
      <c r="J101" s="899">
        <f>I101</f>
        <v>0.14952123741713724</v>
      </c>
      <c r="K101" s="899">
        <f t="shared" ref="K101:L101" si="47">J101</f>
        <v>0.14952123741713724</v>
      </c>
      <c r="L101" s="899">
        <f t="shared" si="47"/>
        <v>0.14952123741713724</v>
      </c>
      <c r="M101" s="787"/>
      <c r="N101" s="800"/>
      <c r="O101" s="899"/>
      <c r="P101" s="899"/>
      <c r="Q101" s="899"/>
      <c r="R101" s="899"/>
      <c r="S101" s="899"/>
      <c r="T101" s="899"/>
      <c r="U101" s="899"/>
      <c r="V101" s="899"/>
      <c r="W101" s="899"/>
      <c r="X101" s="899"/>
      <c r="Y101" s="899"/>
    </row>
    <row r="102" spans="4:68" ht="19.399999999999999" customHeight="1" x14ac:dyDescent="0.35">
      <c r="D102" s="903" t="s">
        <v>105</v>
      </c>
      <c r="E102" s="899">
        <f t="shared" si="45"/>
        <v>1.0835018780699219E-2</v>
      </c>
      <c r="F102" s="899">
        <f t="shared" si="45"/>
        <v>1.2150246476428523E-2</v>
      </c>
      <c r="G102" s="899">
        <f t="shared" si="45"/>
        <v>1.1293218787409338E-2</v>
      </c>
      <c r="H102" s="899">
        <f>N122</f>
        <v>1.1269768922909786E-2</v>
      </c>
      <c r="I102" s="899">
        <f>AVERAGE($F79:$G79)*I94</f>
        <v>1.1216628077731996E-2</v>
      </c>
      <c r="J102" s="899">
        <f>AVERAGE($F79:$G79)*J94</f>
        <v>8.7517256888530147E-3</v>
      </c>
      <c r="K102" s="899">
        <f>J102</f>
        <v>8.7517256888530147E-3</v>
      </c>
      <c r="L102" s="899">
        <f>K102</f>
        <v>8.7517256888530147E-3</v>
      </c>
      <c r="M102" s="787"/>
      <c r="N102" s="800"/>
      <c r="O102" s="899"/>
      <c r="P102" s="899"/>
      <c r="Q102" s="899"/>
      <c r="R102" s="899"/>
      <c r="S102" s="899"/>
      <c r="T102" s="899"/>
      <c r="U102" s="899"/>
      <c r="V102" s="899"/>
      <c r="W102" s="899"/>
      <c r="X102" s="899"/>
      <c r="Y102" s="899"/>
    </row>
    <row r="103" spans="4:68" ht="19.399999999999999" customHeight="1" x14ac:dyDescent="0.35">
      <c r="D103" s="799" t="s">
        <v>106</v>
      </c>
      <c r="E103" s="866">
        <f t="shared" si="45"/>
        <v>8.9079229122055667E-2</v>
      </c>
      <c r="F103" s="866">
        <f t="shared" si="45"/>
        <v>8.9680589680589687E-2</v>
      </c>
      <c r="G103" s="866">
        <f t="shared" si="45"/>
        <v>9.2140468227424749E-2</v>
      </c>
      <c r="H103" s="866">
        <f>M123</f>
        <v>0.11887481034977652</v>
      </c>
      <c r="I103" s="866">
        <f>N123</f>
        <v>0.12443013242636948</v>
      </c>
      <c r="J103" s="866">
        <f>I103</f>
        <v>0.12443013242636948</v>
      </c>
      <c r="K103" s="866">
        <f>J103</f>
        <v>0.12443013242636948</v>
      </c>
      <c r="L103" s="866">
        <f>K103</f>
        <v>0.12443013242636948</v>
      </c>
      <c r="M103" s="788"/>
      <c r="N103" s="800"/>
      <c r="O103" s="899"/>
      <c r="P103" s="899"/>
      <c r="Q103" s="899"/>
      <c r="R103" s="899"/>
      <c r="S103" s="899"/>
      <c r="T103" s="899"/>
      <c r="U103" s="899"/>
      <c r="V103" s="899"/>
      <c r="W103" s="899"/>
      <c r="X103" s="899"/>
      <c r="Y103" s="899"/>
    </row>
    <row r="104" spans="4:68" x14ac:dyDescent="0.35">
      <c r="E104" s="678"/>
      <c r="F104" s="678"/>
      <c r="G104" s="678"/>
      <c r="H104" s="678"/>
      <c r="I104" s="678"/>
      <c r="J104" s="678"/>
      <c r="K104" s="678"/>
      <c r="L104" s="678"/>
    </row>
    <row r="105" spans="4:68" x14ac:dyDescent="0.35">
      <c r="D105" s="802" t="s">
        <v>364</v>
      </c>
      <c r="E105" s="899"/>
      <c r="F105" s="899"/>
      <c r="G105" s="899"/>
      <c r="H105" s="899"/>
      <c r="I105" s="899"/>
      <c r="J105" s="899"/>
      <c r="K105" s="899"/>
      <c r="L105" s="899"/>
      <c r="M105" s="899"/>
      <c r="N105" s="899"/>
      <c r="O105" s="899"/>
      <c r="P105" s="899"/>
      <c r="Q105" s="899"/>
      <c r="R105" s="899"/>
      <c r="S105" s="899"/>
      <c r="T105" s="899"/>
      <c r="U105" s="899"/>
      <c r="V105" s="899"/>
      <c r="W105" s="899"/>
      <c r="X105" s="899"/>
      <c r="Y105" s="899"/>
    </row>
    <row r="106" spans="4:68" x14ac:dyDescent="0.35">
      <c r="D106" s="1367" t="s">
        <v>1932</v>
      </c>
      <c r="E106" s="1390"/>
      <c r="F106" s="1282">
        <v>2019</v>
      </c>
      <c r="G106" s="1283"/>
      <c r="H106" s="1284"/>
      <c r="I106" s="1282">
        <v>2020</v>
      </c>
      <c r="J106" s="1283"/>
      <c r="K106" s="1283"/>
      <c r="L106" s="1284"/>
      <c r="M106" s="1282">
        <v>2021</v>
      </c>
      <c r="N106" s="1283"/>
      <c r="O106" s="1283"/>
      <c r="P106" s="1283"/>
      <c r="Q106" s="1282">
        <v>2022</v>
      </c>
      <c r="R106" s="1305"/>
      <c r="S106" s="1305"/>
      <c r="T106" s="1284"/>
      <c r="U106" s="284"/>
      <c r="V106" s="284">
        <v>2023</v>
      </c>
      <c r="W106" s="552"/>
      <c r="X106" s="257"/>
      <c r="Y106" s="1268">
        <v>2024</v>
      </c>
      <c r="Z106" s="1292"/>
      <c r="AA106" s="1292"/>
      <c r="AB106" s="1270"/>
      <c r="AC106" s="1268">
        <v>2025</v>
      </c>
      <c r="AD106" s="1292"/>
      <c r="AE106" s="1292"/>
      <c r="AF106" s="1270"/>
      <c r="AG106" s="1268">
        <v>2026</v>
      </c>
      <c r="AH106" s="1292"/>
      <c r="AI106" s="1292"/>
      <c r="AJ106" s="1270"/>
    </row>
    <row r="107" spans="4:68" x14ac:dyDescent="0.35">
      <c r="D107" s="1391"/>
      <c r="E107" s="1392"/>
      <c r="F107" s="212" t="s">
        <v>283</v>
      </c>
      <c r="G107" s="213" t="s">
        <v>238</v>
      </c>
      <c r="H107" s="214" t="s">
        <v>281</v>
      </c>
      <c r="I107" s="212" t="s">
        <v>282</v>
      </c>
      <c r="J107" s="213" t="s">
        <v>283</v>
      </c>
      <c r="K107" s="213" t="s">
        <v>238</v>
      </c>
      <c r="L107" s="214" t="s">
        <v>281</v>
      </c>
      <c r="M107" s="212" t="s">
        <v>282</v>
      </c>
      <c r="N107" s="213" t="s">
        <v>283</v>
      </c>
      <c r="O107" s="213" t="s">
        <v>238</v>
      </c>
      <c r="P107" s="213" t="s">
        <v>281</v>
      </c>
      <c r="Q107" s="212" t="s">
        <v>282</v>
      </c>
      <c r="R107" s="213" t="s">
        <v>283</v>
      </c>
      <c r="S107" s="213" t="s">
        <v>238</v>
      </c>
      <c r="T107" s="214" t="s">
        <v>281</v>
      </c>
      <c r="U107" s="213" t="s">
        <v>282</v>
      </c>
      <c r="V107" s="282" t="s">
        <v>283</v>
      </c>
      <c r="W107" s="267" t="s">
        <v>238</v>
      </c>
      <c r="X107" s="268" t="s">
        <v>281</v>
      </c>
      <c r="Y107" s="266" t="s">
        <v>282</v>
      </c>
      <c r="Z107" s="264" t="s">
        <v>283</v>
      </c>
      <c r="AA107" s="267" t="s">
        <v>238</v>
      </c>
      <c r="AB107" s="267" t="s">
        <v>281</v>
      </c>
      <c r="AC107" s="266" t="s">
        <v>282</v>
      </c>
      <c r="AD107" s="264" t="s">
        <v>283</v>
      </c>
      <c r="AE107" s="267" t="s">
        <v>238</v>
      </c>
      <c r="AF107" s="267" t="s">
        <v>281</v>
      </c>
      <c r="AG107" s="266" t="s">
        <v>282</v>
      </c>
      <c r="AH107" s="264" t="s">
        <v>283</v>
      </c>
      <c r="AI107" s="267" t="s">
        <v>238</v>
      </c>
      <c r="AJ107" s="268" t="s">
        <v>281</v>
      </c>
    </row>
    <row r="108" spans="4:68" x14ac:dyDescent="0.35">
      <c r="D108" s="806" t="s">
        <v>499</v>
      </c>
      <c r="E108" s="845"/>
      <c r="F108" s="366">
        <f t="shared" ref="F108:AC108" si="48">F109+F110</f>
        <v>0</v>
      </c>
      <c r="G108" s="366">
        <f t="shared" si="48"/>
        <v>0</v>
      </c>
      <c r="H108" s="366">
        <f t="shared" si="48"/>
        <v>0</v>
      </c>
      <c r="I108" s="366">
        <f t="shared" si="48"/>
        <v>15134.800000000001</v>
      </c>
      <c r="J108" s="366">
        <f t="shared" si="48"/>
        <v>14265.5</v>
      </c>
      <c r="K108" s="366">
        <f t="shared" si="48"/>
        <v>14943.5</v>
      </c>
      <c r="L108" s="366">
        <f t="shared" si="48"/>
        <v>15319.300000000001</v>
      </c>
      <c r="M108" s="366">
        <f t="shared" si="48"/>
        <v>15399.800000000001</v>
      </c>
      <c r="N108" s="366">
        <f t="shared" si="48"/>
        <v>15959.6</v>
      </c>
      <c r="O108" s="366">
        <f t="shared" si="48"/>
        <v>16325.6</v>
      </c>
      <c r="P108" s="366">
        <f t="shared" si="48"/>
        <v>16677.3</v>
      </c>
      <c r="Q108" s="366">
        <f t="shared" si="48"/>
        <v>16822.5</v>
      </c>
      <c r="R108" s="366">
        <f t="shared" si="48"/>
        <v>17045.7</v>
      </c>
      <c r="S108" s="366">
        <f t="shared" si="48"/>
        <v>17425.3</v>
      </c>
      <c r="T108" s="822">
        <f t="shared" si="48"/>
        <v>17575.3</v>
      </c>
      <c r="U108" s="366">
        <f t="shared" si="48"/>
        <v>17915.599999999999</v>
      </c>
      <c r="V108" s="366">
        <f t="shared" si="48"/>
        <v>18121.099999999999</v>
      </c>
      <c r="W108" s="366">
        <f>W109+W110</f>
        <v>18358</v>
      </c>
      <c r="X108" s="366">
        <f t="shared" si="48"/>
        <v>18587</v>
      </c>
      <c r="Y108" s="848">
        <f t="shared" si="48"/>
        <v>18861</v>
      </c>
      <c r="Z108" s="848">
        <f t="shared" si="48"/>
        <v>19328.199999999997</v>
      </c>
      <c r="AA108" s="848">
        <f t="shared" si="48"/>
        <v>19684.3</v>
      </c>
      <c r="AB108" s="848">
        <f t="shared" si="48"/>
        <v>19956.400000000001</v>
      </c>
      <c r="AC108" s="848">
        <f t="shared" si="48"/>
        <v>20210.8</v>
      </c>
      <c r="AD108" s="848">
        <f t="shared" ref="AD108:AI108" si="49">AD109+AD110</f>
        <v>20461.5</v>
      </c>
      <c r="AE108" s="848">
        <f t="shared" si="49"/>
        <v>20706.900000000001</v>
      </c>
      <c r="AF108" s="848">
        <f t="shared" si="49"/>
        <v>20958.7</v>
      </c>
      <c r="AG108" s="847">
        <f t="shared" si="49"/>
        <v>21195.9</v>
      </c>
      <c r="AH108" s="847">
        <f t="shared" si="49"/>
        <v>21422</v>
      </c>
      <c r="AI108" s="847">
        <f t="shared" si="49"/>
        <v>21637.5</v>
      </c>
      <c r="AJ108" s="847">
        <f>AJ109+AJ110</f>
        <v>21832.699999999997</v>
      </c>
    </row>
    <row r="109" spans="4:68" x14ac:dyDescent="0.35">
      <c r="D109" s="668" t="s">
        <v>500</v>
      </c>
      <c r="E109" s="600"/>
      <c r="F109" s="433"/>
      <c r="G109" s="433"/>
      <c r="H109" s="433"/>
      <c r="I109" s="224">
        <v>9624.7000000000007</v>
      </c>
      <c r="J109" s="436">
        <v>8995.7000000000007</v>
      </c>
      <c r="K109" s="436">
        <v>9425.4</v>
      </c>
      <c r="L109" s="436">
        <v>9783.7000000000007</v>
      </c>
      <c r="M109" s="436">
        <v>9878.7000000000007</v>
      </c>
      <c r="N109" s="436">
        <v>10170</v>
      </c>
      <c r="O109" s="436">
        <v>10447.700000000001</v>
      </c>
      <c r="P109" s="436">
        <v>10754.1</v>
      </c>
      <c r="Q109" s="436">
        <v>10886.7</v>
      </c>
      <c r="R109" s="436">
        <v>10988.9</v>
      </c>
      <c r="S109" s="436">
        <v>11271.4</v>
      </c>
      <c r="T109" s="436">
        <v>11317</v>
      </c>
      <c r="U109" s="436">
        <v>11565.4</v>
      </c>
      <c r="V109" s="436">
        <v>11733.3</v>
      </c>
      <c r="W109" s="436">
        <v>11917.5</v>
      </c>
      <c r="X109" s="436">
        <v>12049</v>
      </c>
      <c r="Y109" s="658">
        <v>12238.2</v>
      </c>
      <c r="Z109" s="658">
        <v>12410.3</v>
      </c>
      <c r="AA109" s="658">
        <v>12561.1</v>
      </c>
      <c r="AB109" s="658">
        <v>12703.8</v>
      </c>
      <c r="AC109" s="658">
        <v>12842</v>
      </c>
      <c r="AD109" s="658">
        <v>12980.8</v>
      </c>
      <c r="AE109" s="658">
        <v>13118</v>
      </c>
      <c r="AF109" s="658">
        <v>13255.1</v>
      </c>
      <c r="AG109" s="853">
        <v>13389.6</v>
      </c>
      <c r="AH109" s="503">
        <v>13523.9</v>
      </c>
      <c r="AI109" s="503">
        <v>13657.4</v>
      </c>
      <c r="AJ109" s="503">
        <v>13786.3</v>
      </c>
      <c r="AK109">
        <v>13919.5</v>
      </c>
      <c r="AL109">
        <v>14052.5</v>
      </c>
      <c r="AM109">
        <v>14186.3</v>
      </c>
      <c r="AN109">
        <v>14318</v>
      </c>
      <c r="AO109">
        <v>14454.9</v>
      </c>
      <c r="AP109">
        <v>14594.1</v>
      </c>
      <c r="AQ109">
        <v>14734.9</v>
      </c>
      <c r="AR109">
        <v>14873.8</v>
      </c>
      <c r="AS109">
        <v>15016.8</v>
      </c>
      <c r="AT109">
        <v>15161.1</v>
      </c>
      <c r="AU109">
        <v>15306.5</v>
      </c>
      <c r="AV109">
        <v>15449.3</v>
      </c>
      <c r="AW109">
        <v>15596</v>
      </c>
      <c r="AX109">
        <v>15743.5</v>
      </c>
      <c r="AY109">
        <v>15892</v>
      </c>
      <c r="AZ109">
        <v>16036.9</v>
      </c>
      <c r="BA109">
        <v>16187.6</v>
      </c>
      <c r="BB109">
        <v>16339.5</v>
      </c>
      <c r="BC109">
        <v>16492.599999999999</v>
      </c>
      <c r="BD109">
        <v>16640.900000000001</v>
      </c>
      <c r="BE109">
        <v>16794.7</v>
      </c>
      <c r="BF109">
        <v>16949.900000000001</v>
      </c>
      <c r="BG109">
        <v>17106</v>
      </c>
      <c r="BH109">
        <v>17257.8</v>
      </c>
      <c r="BI109">
        <v>17415.7</v>
      </c>
      <c r="BJ109">
        <v>17574.7</v>
      </c>
      <c r="BK109">
        <v>17734.5</v>
      </c>
      <c r="BL109">
        <v>17895.5</v>
      </c>
      <c r="BM109">
        <v>18057.8</v>
      </c>
      <c r="BN109">
        <v>18221.7</v>
      </c>
      <c r="BO109">
        <v>18387.8</v>
      </c>
      <c r="BP109">
        <v>18556.3</v>
      </c>
    </row>
    <row r="110" spans="4:68" x14ac:dyDescent="0.35">
      <c r="D110" s="270" t="s">
        <v>894</v>
      </c>
      <c r="E110" s="555"/>
      <c r="F110" s="433"/>
      <c r="G110" s="433"/>
      <c r="H110" s="433"/>
      <c r="I110" s="436">
        <v>5510.1</v>
      </c>
      <c r="J110" s="436">
        <v>5269.8</v>
      </c>
      <c r="K110" s="436">
        <v>5518.1</v>
      </c>
      <c r="L110" s="436">
        <v>5535.6</v>
      </c>
      <c r="M110" s="436">
        <v>5521.1</v>
      </c>
      <c r="N110" s="436">
        <v>5789.6</v>
      </c>
      <c r="O110" s="436">
        <v>5877.9</v>
      </c>
      <c r="P110" s="436">
        <v>5923.2</v>
      </c>
      <c r="Q110" s="436">
        <v>5935.8</v>
      </c>
      <c r="R110" s="436">
        <v>6056.8</v>
      </c>
      <c r="S110" s="436">
        <v>6153.9</v>
      </c>
      <c r="T110" s="436">
        <v>6258.3</v>
      </c>
      <c r="U110" s="436">
        <v>6350.2</v>
      </c>
      <c r="V110" s="436">
        <v>6387.8</v>
      </c>
      <c r="W110" s="436">
        <v>6440.5</v>
      </c>
      <c r="X110" s="436">
        <v>6538</v>
      </c>
      <c r="Y110" s="658">
        <v>6622.8</v>
      </c>
      <c r="Z110" s="658">
        <v>6917.9</v>
      </c>
      <c r="AA110" s="658">
        <v>7123.2</v>
      </c>
      <c r="AB110" s="658">
        <v>7252.6</v>
      </c>
      <c r="AC110" s="658">
        <v>7368.8</v>
      </c>
      <c r="AD110" s="658">
        <v>7480.7</v>
      </c>
      <c r="AE110" s="658">
        <v>7588.9</v>
      </c>
      <c r="AF110" s="658">
        <v>7703.6</v>
      </c>
      <c r="AG110" s="853">
        <v>7806.3</v>
      </c>
      <c r="AH110" s="503">
        <v>7898.1</v>
      </c>
      <c r="AI110" s="503">
        <v>7980.1</v>
      </c>
      <c r="AJ110" s="503">
        <v>8046.4</v>
      </c>
      <c r="AK110">
        <v>8109.6</v>
      </c>
      <c r="AL110">
        <v>8174.2</v>
      </c>
      <c r="AM110">
        <v>8244.5</v>
      </c>
      <c r="AN110">
        <v>8320.6</v>
      </c>
      <c r="AO110">
        <v>8405.2000000000007</v>
      </c>
      <c r="AP110">
        <v>8493.1</v>
      </c>
      <c r="AQ110">
        <v>8577.5</v>
      </c>
      <c r="AR110">
        <v>8661.2000000000007</v>
      </c>
      <c r="AS110">
        <v>8744.5</v>
      </c>
      <c r="AT110">
        <v>8829.2999999999993</v>
      </c>
      <c r="AU110">
        <v>8916.2999999999993</v>
      </c>
      <c r="AV110">
        <v>9007.5</v>
      </c>
      <c r="AW110">
        <v>9103.1</v>
      </c>
      <c r="AX110">
        <v>9198.1</v>
      </c>
      <c r="AY110">
        <v>9293.2000000000007</v>
      </c>
      <c r="AZ110">
        <v>9389.7999999999993</v>
      </c>
      <c r="BA110">
        <v>9488</v>
      </c>
      <c r="BB110">
        <v>9588.2000000000007</v>
      </c>
      <c r="BC110">
        <v>9688.9</v>
      </c>
      <c r="BD110">
        <v>9791.6</v>
      </c>
      <c r="BE110">
        <v>9896.2999999999993</v>
      </c>
      <c r="BF110">
        <v>10000.6</v>
      </c>
      <c r="BG110">
        <v>10103.6</v>
      </c>
      <c r="BH110">
        <v>10206.200000000001</v>
      </c>
      <c r="BI110">
        <v>10307.5</v>
      </c>
      <c r="BJ110">
        <v>10409.1</v>
      </c>
      <c r="BK110">
        <v>10513.6</v>
      </c>
      <c r="BL110">
        <v>10627.5</v>
      </c>
      <c r="BM110">
        <v>10741.4</v>
      </c>
      <c r="BN110">
        <v>10856.5</v>
      </c>
      <c r="BO110">
        <v>10971.8</v>
      </c>
      <c r="BP110">
        <v>11088.6</v>
      </c>
    </row>
    <row r="111" spans="4:68" x14ac:dyDescent="0.35">
      <c r="D111" s="270" t="s">
        <v>501</v>
      </c>
      <c r="E111" s="555"/>
      <c r="F111" s="433"/>
      <c r="G111" s="433"/>
      <c r="H111" s="433"/>
      <c r="I111" s="436">
        <v>14440.2</v>
      </c>
      <c r="J111" s="436">
        <v>13049.8</v>
      </c>
      <c r="K111" s="436">
        <v>14388.7</v>
      </c>
      <c r="L111" s="436">
        <v>14586</v>
      </c>
      <c r="M111" s="436">
        <v>15217.7</v>
      </c>
      <c r="N111" s="436">
        <v>15950.9</v>
      </c>
      <c r="O111" s="436">
        <v>16285.1</v>
      </c>
      <c r="P111" s="436">
        <v>16718.2</v>
      </c>
      <c r="Q111" s="436">
        <v>17030.599999999999</v>
      </c>
      <c r="R111" s="436">
        <v>17415.099999999999</v>
      </c>
      <c r="S111" s="436">
        <v>17684.2</v>
      </c>
      <c r="T111" s="436">
        <v>17917</v>
      </c>
      <c r="U111" s="436">
        <v>18269.599999999999</v>
      </c>
      <c r="V111" s="436">
        <v>18419</v>
      </c>
      <c r="W111" s="436">
        <v>18679.5</v>
      </c>
      <c r="X111" s="436">
        <v>18914.5</v>
      </c>
      <c r="Y111" s="658">
        <v>19191.599999999999</v>
      </c>
      <c r="Z111" s="658">
        <v>19506.599999999999</v>
      </c>
      <c r="AA111" s="658">
        <v>19739.8</v>
      </c>
      <c r="AB111" s="658">
        <v>19911.8</v>
      </c>
      <c r="AC111" s="658">
        <v>20098.5</v>
      </c>
      <c r="AD111" s="658">
        <v>20285.8</v>
      </c>
      <c r="AE111" s="658">
        <v>20464.099999999999</v>
      </c>
      <c r="AF111" s="658">
        <v>20636.599999999999</v>
      </c>
      <c r="AG111" s="853">
        <v>20786.400000000001</v>
      </c>
      <c r="AH111" s="503">
        <v>20949.8</v>
      </c>
      <c r="AI111" s="503">
        <v>21122.799999999999</v>
      </c>
      <c r="AJ111" s="503">
        <v>21304.1</v>
      </c>
      <c r="AK111">
        <v>21479.7</v>
      </c>
      <c r="AL111">
        <v>21659.5</v>
      </c>
      <c r="AM111">
        <v>21842.799999999999</v>
      </c>
      <c r="AN111">
        <v>22030.5</v>
      </c>
      <c r="AO111">
        <v>22229.7</v>
      </c>
      <c r="AP111">
        <v>22441.1</v>
      </c>
      <c r="AQ111">
        <v>22659.200000000001</v>
      </c>
      <c r="AR111">
        <v>22881.599999999999</v>
      </c>
      <c r="AS111">
        <v>23107.1</v>
      </c>
      <c r="AT111">
        <v>23342.5</v>
      </c>
      <c r="AU111">
        <v>23580.400000000001</v>
      </c>
      <c r="AV111">
        <v>23821.599999999999</v>
      </c>
      <c r="AW111">
        <v>24060.6</v>
      </c>
      <c r="AX111">
        <v>24308.3</v>
      </c>
      <c r="AY111">
        <v>24560.1</v>
      </c>
      <c r="AZ111">
        <v>24811.200000000001</v>
      </c>
      <c r="BA111">
        <v>25066.3</v>
      </c>
      <c r="BB111">
        <v>25325.5</v>
      </c>
      <c r="BC111">
        <v>25589.4</v>
      </c>
      <c r="BD111">
        <v>25868.400000000001</v>
      </c>
      <c r="BE111">
        <v>26142.400000000001</v>
      </c>
      <c r="BF111">
        <v>26418</v>
      </c>
      <c r="BG111">
        <v>26693</v>
      </c>
      <c r="BH111">
        <v>26968</v>
      </c>
      <c r="BI111">
        <v>27246.7</v>
      </c>
      <c r="BJ111">
        <v>27528.2</v>
      </c>
      <c r="BK111">
        <v>27813.200000000001</v>
      </c>
      <c r="BL111">
        <v>28100.799999999999</v>
      </c>
      <c r="BM111">
        <v>28391.5</v>
      </c>
      <c r="BN111">
        <v>28683.8</v>
      </c>
      <c r="BO111">
        <v>28978.400000000001</v>
      </c>
      <c r="BP111">
        <v>29274.3</v>
      </c>
    </row>
    <row r="112" spans="4:68" x14ac:dyDescent="0.35">
      <c r="D112" s="713" t="s">
        <v>1933</v>
      </c>
      <c r="E112" s="577"/>
      <c r="F112" s="577"/>
      <c r="G112" s="577"/>
      <c r="H112" s="871"/>
      <c r="I112" s="851">
        <v>1736.3</v>
      </c>
      <c r="J112" s="851">
        <v>1597.1</v>
      </c>
      <c r="K112" s="851">
        <v>2041.1</v>
      </c>
      <c r="L112" s="851">
        <v>1947.4</v>
      </c>
      <c r="M112" s="851">
        <v>2280.4</v>
      </c>
      <c r="N112" s="851">
        <v>2580</v>
      </c>
      <c r="O112" s="851">
        <v>2541.1</v>
      </c>
      <c r="P112" s="851">
        <v>2555</v>
      </c>
      <c r="Q112" s="851">
        <v>2604.4</v>
      </c>
      <c r="R112" s="851">
        <v>2781.5</v>
      </c>
      <c r="S112" s="851">
        <v>2809</v>
      </c>
      <c r="T112" s="851">
        <v>2748.4</v>
      </c>
      <c r="U112" s="851">
        <v>2673.1</v>
      </c>
      <c r="V112" s="851">
        <v>2658</v>
      </c>
      <c r="W112" s="851">
        <v>2757.8</v>
      </c>
      <c r="X112" s="851">
        <v>2900.3</v>
      </c>
      <c r="Y112" s="852">
        <v>2860.5</v>
      </c>
      <c r="Z112" s="852">
        <v>2913</v>
      </c>
      <c r="AA112" s="852">
        <v>2958.5</v>
      </c>
      <c r="AB112" s="852">
        <v>2980.8</v>
      </c>
      <c r="AC112" s="852">
        <v>3008.1</v>
      </c>
      <c r="AD112" s="852">
        <v>3035.3</v>
      </c>
      <c r="AE112" s="852">
        <v>3052.6</v>
      </c>
      <c r="AF112" s="852">
        <v>3054.1</v>
      </c>
      <c r="AG112" s="854">
        <v>3040.7</v>
      </c>
      <c r="AH112" s="503">
        <v>3038.5</v>
      </c>
      <c r="AI112" s="503">
        <v>3046.6</v>
      </c>
      <c r="AJ112" s="503">
        <v>3065.6</v>
      </c>
      <c r="AK112">
        <v>3073.9</v>
      </c>
      <c r="AL112">
        <v>3078.4</v>
      </c>
      <c r="AM112">
        <v>3078.6</v>
      </c>
      <c r="AN112">
        <v>3087.1</v>
      </c>
      <c r="AO112">
        <v>3087.3</v>
      </c>
      <c r="AP112">
        <v>3092.4</v>
      </c>
      <c r="AQ112">
        <v>3097</v>
      </c>
      <c r="AR112">
        <v>3111</v>
      </c>
      <c r="AS112">
        <v>3123.3</v>
      </c>
      <c r="AT112">
        <v>3140.7</v>
      </c>
      <c r="AU112">
        <v>3157.2</v>
      </c>
      <c r="AV112">
        <v>3188.9</v>
      </c>
      <c r="AW112">
        <v>3210.6</v>
      </c>
      <c r="AX112">
        <v>3237</v>
      </c>
      <c r="AY112">
        <v>3261.4</v>
      </c>
      <c r="AZ112">
        <v>3297</v>
      </c>
      <c r="BA112">
        <v>3322.8</v>
      </c>
      <c r="BB112">
        <v>3352.1</v>
      </c>
      <c r="BC112">
        <v>3378.8</v>
      </c>
      <c r="BD112">
        <v>3422.6</v>
      </c>
      <c r="BE112">
        <v>3449.9</v>
      </c>
      <c r="BF112">
        <v>3480.4</v>
      </c>
      <c r="BG112">
        <v>3508.6</v>
      </c>
      <c r="BH112">
        <v>3548.1</v>
      </c>
      <c r="BI112">
        <v>3576.2</v>
      </c>
      <c r="BJ112">
        <v>3607.8</v>
      </c>
      <c r="BK112">
        <v>3635.6</v>
      </c>
      <c r="BL112">
        <v>3674.3</v>
      </c>
      <c r="BM112">
        <v>3704.5</v>
      </c>
      <c r="BN112">
        <v>3737.4</v>
      </c>
      <c r="BO112">
        <v>3768.1</v>
      </c>
      <c r="BP112">
        <v>3807.3</v>
      </c>
    </row>
    <row r="113" spans="4:36" ht="18.75" customHeight="1" x14ac:dyDescent="0.35"/>
    <row r="114" spans="4:36" x14ac:dyDescent="0.35">
      <c r="D114" s="807"/>
      <c r="E114" s="600"/>
      <c r="F114" s="600"/>
      <c r="G114" s="600"/>
      <c r="H114" s="433"/>
      <c r="I114" s="433"/>
      <c r="J114" s="433"/>
      <c r="K114" s="433"/>
      <c r="L114" s="433"/>
      <c r="M114" s="433"/>
      <c r="N114" s="433"/>
      <c r="O114" s="433"/>
      <c r="P114" s="433"/>
      <c r="Q114" s="433"/>
      <c r="R114" s="433"/>
      <c r="S114" s="433"/>
      <c r="T114" s="433"/>
      <c r="U114" s="433"/>
      <c r="V114" s="433"/>
      <c r="W114" s="433"/>
      <c r="X114" s="433"/>
      <c r="Y114" s="433"/>
      <c r="Z114" s="775"/>
      <c r="AA114" s="433"/>
      <c r="AB114" s="433"/>
      <c r="AC114" s="433"/>
    </row>
    <row r="115" spans="4:36" x14ac:dyDescent="0.35">
      <c r="D115" s="512"/>
      <c r="AC115" s="57"/>
    </row>
    <row r="116" spans="4:36" x14ac:dyDescent="0.35">
      <c r="D116" s="1367" t="s">
        <v>507</v>
      </c>
      <c r="E116" s="1390"/>
      <c r="F116" s="1282">
        <v>2019</v>
      </c>
      <c r="G116" s="1283"/>
      <c r="H116" s="1284"/>
      <c r="I116" s="1283">
        <v>2020</v>
      </c>
      <c r="J116" s="1283"/>
      <c r="K116" s="1283"/>
      <c r="L116" s="1284"/>
      <c r="M116" s="1282">
        <v>2021</v>
      </c>
      <c r="N116" s="1283"/>
      <c r="O116" s="1283"/>
      <c r="P116" s="1283"/>
      <c r="Q116" s="1282">
        <v>2022</v>
      </c>
      <c r="R116" s="1305"/>
      <c r="S116" s="1305"/>
      <c r="T116" s="1284"/>
      <c r="U116" s="284"/>
      <c r="V116" s="284">
        <v>2023</v>
      </c>
      <c r="W116" s="552"/>
      <c r="X116" s="257"/>
      <c r="Y116" s="1268">
        <v>2024</v>
      </c>
      <c r="Z116" s="1292"/>
      <c r="AA116" s="1292"/>
      <c r="AB116" s="1270"/>
      <c r="AC116" s="1268">
        <v>2025</v>
      </c>
      <c r="AD116" s="1292"/>
      <c r="AE116" s="1292"/>
      <c r="AF116" s="1270"/>
      <c r="AG116" s="1268">
        <v>2026</v>
      </c>
      <c r="AH116" s="1292"/>
      <c r="AI116" s="1292"/>
      <c r="AJ116" s="1270"/>
    </row>
    <row r="117" spans="4:36" x14ac:dyDescent="0.35">
      <c r="D117" s="1391"/>
      <c r="E117" s="1392"/>
      <c r="F117" s="212" t="s">
        <v>283</v>
      </c>
      <c r="G117" s="213" t="s">
        <v>238</v>
      </c>
      <c r="H117" s="214" t="s">
        <v>281</v>
      </c>
      <c r="I117" s="213" t="s">
        <v>282</v>
      </c>
      <c r="J117" s="213" t="s">
        <v>283</v>
      </c>
      <c r="K117" s="213" t="s">
        <v>238</v>
      </c>
      <c r="L117" s="214" t="s">
        <v>281</v>
      </c>
      <c r="M117" s="212" t="s">
        <v>282</v>
      </c>
      <c r="N117" s="213" t="s">
        <v>283</v>
      </c>
      <c r="O117" s="213" t="s">
        <v>238</v>
      </c>
      <c r="P117" s="213" t="s">
        <v>281</v>
      </c>
      <c r="Q117" s="212" t="s">
        <v>282</v>
      </c>
      <c r="R117" s="213" t="s">
        <v>283</v>
      </c>
      <c r="S117" s="213" t="s">
        <v>238</v>
      </c>
      <c r="T117" s="214" t="s">
        <v>281</v>
      </c>
      <c r="U117" s="212" t="s">
        <v>282</v>
      </c>
      <c r="V117" s="282" t="s">
        <v>283</v>
      </c>
      <c r="W117" s="267" t="s">
        <v>238</v>
      </c>
      <c r="X117" s="268" t="s">
        <v>281</v>
      </c>
      <c r="Y117" s="266" t="s">
        <v>282</v>
      </c>
      <c r="Z117" s="264" t="s">
        <v>283</v>
      </c>
      <c r="AA117" s="267" t="s">
        <v>238</v>
      </c>
      <c r="AB117" s="267" t="s">
        <v>281</v>
      </c>
      <c r="AC117" s="266" t="s">
        <v>282</v>
      </c>
      <c r="AD117" s="264" t="s">
        <v>283</v>
      </c>
      <c r="AE117" s="267" t="s">
        <v>238</v>
      </c>
      <c r="AF117" s="267" t="s">
        <v>281</v>
      </c>
      <c r="AG117" s="266" t="s">
        <v>282</v>
      </c>
      <c r="AH117" s="264" t="s">
        <v>283</v>
      </c>
      <c r="AI117" s="267" t="s">
        <v>238</v>
      </c>
      <c r="AJ117" s="268" t="s">
        <v>281</v>
      </c>
    </row>
    <row r="118" spans="4:36" x14ac:dyDescent="0.35">
      <c r="D118" s="1388" t="s">
        <v>508</v>
      </c>
      <c r="E118" s="1389"/>
      <c r="F118" s="250"/>
      <c r="G118" s="308"/>
      <c r="H118" s="308"/>
      <c r="I118" s="308"/>
      <c r="J118" s="308"/>
      <c r="K118" s="308"/>
      <c r="L118" s="308"/>
      <c r="M118" s="308"/>
      <c r="N118" s="308"/>
      <c r="O118" s="308"/>
      <c r="P118" s="308"/>
      <c r="Q118" s="308"/>
      <c r="R118" s="308"/>
      <c r="S118" s="308"/>
      <c r="T118" s="283"/>
      <c r="U118" s="308"/>
      <c r="V118" s="308"/>
      <c r="W118" s="283"/>
      <c r="X118" s="283"/>
      <c r="Y118" s="283"/>
      <c r="Z118" s="283"/>
      <c r="AA118" s="283"/>
      <c r="AB118" s="283"/>
      <c r="AC118" s="308"/>
    </row>
    <row r="119" spans="4:36" x14ac:dyDescent="0.35">
      <c r="D119" s="519" t="s">
        <v>481</v>
      </c>
      <c r="F119" s="872"/>
      <c r="G119" s="899"/>
      <c r="H119" s="899">
        <f t="shared" ref="H119:AA119" si="50">H10/H126</f>
        <v>0.11784269540900824</v>
      </c>
      <c r="I119" s="899">
        <f t="shared" si="50"/>
        <v>0.11798949979497039</v>
      </c>
      <c r="J119" s="899">
        <f t="shared" si="50"/>
        <v>0.11557617083128487</v>
      </c>
      <c r="K119" s="899">
        <f t="shared" si="50"/>
        <v>0.11769489871298738</v>
      </c>
      <c r="L119" s="899">
        <f t="shared" si="50"/>
        <v>0.12162864264434113</v>
      </c>
      <c r="M119" s="899">
        <f t="shared" si="50"/>
        <v>0.12929672515912594</v>
      </c>
      <c r="N119" s="899">
        <f t="shared" si="50"/>
        <v>0.13102202825485806</v>
      </c>
      <c r="O119" s="899">
        <f t="shared" si="50"/>
        <v>0.13305175527193708</v>
      </c>
      <c r="P119" s="899">
        <f t="shared" si="50"/>
        <v>0.13449158829300981</v>
      </c>
      <c r="Q119" s="899">
        <f t="shared" si="50"/>
        <v>0.15377510967444011</v>
      </c>
      <c r="R119" s="899">
        <f t="shared" si="50"/>
        <v>0.15188876770810855</v>
      </c>
      <c r="S119" s="897">
        <f t="shared" si="50"/>
        <v>0.14941502848112062</v>
      </c>
      <c r="T119" s="897">
        <f t="shared" si="50"/>
        <v>0.14577752318051879</v>
      </c>
      <c r="U119" s="897">
        <f t="shared" si="50"/>
        <v>0.12446834919321474</v>
      </c>
      <c r="V119" s="897">
        <f t="shared" si="50"/>
        <v>0.12219170632222978</v>
      </c>
      <c r="W119" s="897">
        <f t="shared" si="50"/>
        <v>0.12134111319265888</v>
      </c>
      <c r="X119" s="897">
        <f t="shared" si="50"/>
        <v>0.1208907628905298</v>
      </c>
      <c r="Y119" s="897">
        <f t="shared" si="50"/>
        <v>0.12253611957686264</v>
      </c>
      <c r="Z119" s="897">
        <f t="shared" si="50"/>
        <v>0.12263673629539379</v>
      </c>
      <c r="AA119" s="897">
        <f t="shared" si="50"/>
        <v>0.12320287437443861</v>
      </c>
      <c r="AB119" s="898">
        <f t="shared" ref="AB119:AC119" si="51">AA119+AB120</f>
        <v>0.12320287437443861</v>
      </c>
      <c r="AC119" s="898">
        <f t="shared" si="51"/>
        <v>0.12320287437443861</v>
      </c>
      <c r="AD119" s="898">
        <f t="shared" ref="AD119" si="52">AC119+AD120</f>
        <v>0.12320287437443861</v>
      </c>
      <c r="AE119" s="898">
        <f t="shared" ref="AE119" si="53">AD119+AE120</f>
        <v>0.12320287437443861</v>
      </c>
      <c r="AF119" s="898">
        <f t="shared" ref="AF119" si="54">AE119+AF120</f>
        <v>0.12320287437443861</v>
      </c>
      <c r="AG119" s="898">
        <f>AF119+AG120</f>
        <v>0.12320287437443861</v>
      </c>
      <c r="AH119" s="898">
        <f t="shared" ref="AH119:AJ119" si="55">AG119+AH120</f>
        <v>0.12320287437443861</v>
      </c>
      <c r="AI119" s="898">
        <f t="shared" si="55"/>
        <v>0.12320287437443861</v>
      </c>
      <c r="AJ119" s="898">
        <f t="shared" si="55"/>
        <v>0.12320287437443861</v>
      </c>
    </row>
    <row r="120" spans="4:36" x14ac:dyDescent="0.35">
      <c r="D120" s="519" t="s">
        <v>891</v>
      </c>
      <c r="F120" s="872"/>
      <c r="G120" s="899"/>
      <c r="H120" s="899"/>
      <c r="I120" s="899"/>
      <c r="J120" s="899"/>
      <c r="K120" s="899"/>
      <c r="L120" s="899"/>
      <c r="M120" s="899"/>
      <c r="N120" s="899"/>
      <c r="O120" s="899"/>
      <c r="P120" s="899"/>
      <c r="Q120" s="899"/>
      <c r="R120" s="899"/>
      <c r="S120" s="897"/>
      <c r="T120" s="897"/>
      <c r="U120" s="897"/>
      <c r="V120" s="897"/>
      <c r="W120" s="899"/>
      <c r="X120" s="899"/>
      <c r="Y120" s="898"/>
      <c r="Z120" s="898"/>
      <c r="AA120" s="898"/>
      <c r="AB120" s="898"/>
      <c r="AC120" s="898"/>
      <c r="AD120" s="898"/>
      <c r="AE120" s="898"/>
      <c r="AF120" s="898"/>
      <c r="AG120" s="898"/>
      <c r="AH120" s="898"/>
      <c r="AI120" s="898"/>
      <c r="AJ120" s="898"/>
    </row>
    <row r="121" spans="4:36" x14ac:dyDescent="0.35">
      <c r="D121" s="519" t="s">
        <v>482</v>
      </c>
      <c r="F121" s="872"/>
      <c r="G121" s="899"/>
      <c r="H121" s="899">
        <f t="shared" ref="H121:Z121" si="56">H12/H131</f>
        <v>0.15051429053199564</v>
      </c>
      <c r="I121" s="899">
        <f t="shared" si="56"/>
        <v>0.15080163959943962</v>
      </c>
      <c r="J121" s="899">
        <f t="shared" si="56"/>
        <v>0.15365395933505827</v>
      </c>
      <c r="K121" s="899">
        <f t="shared" si="56"/>
        <v>0.15177190789891759</v>
      </c>
      <c r="L121" s="899">
        <f t="shared" si="56"/>
        <v>0.14987512105611908</v>
      </c>
      <c r="M121" s="899">
        <f t="shared" si="56"/>
        <v>0.15037715626200734</v>
      </c>
      <c r="N121" s="899">
        <f t="shared" si="56"/>
        <v>0.14952123741713724</v>
      </c>
      <c r="O121" s="899">
        <f t="shared" si="56"/>
        <v>0.14900409068318232</v>
      </c>
      <c r="P121" s="899">
        <f t="shared" si="56"/>
        <v>0.14885815076123282</v>
      </c>
      <c r="Q121" s="899">
        <f t="shared" si="56"/>
        <v>0.15059075868264021</v>
      </c>
      <c r="R121" s="899">
        <f t="shared" si="56"/>
        <v>0.15126805836791402</v>
      </c>
      <c r="S121" s="897">
        <f t="shared" si="56"/>
        <v>0.1516602781441711</v>
      </c>
      <c r="T121" s="897">
        <f t="shared" si="56"/>
        <v>0.15250681030758786</v>
      </c>
      <c r="U121" s="897">
        <f t="shared" si="56"/>
        <v>0.15315714869600761</v>
      </c>
      <c r="V121" s="897">
        <f t="shared" si="56"/>
        <v>0.15350245274604646</v>
      </c>
      <c r="W121" s="897">
        <f t="shared" si="56"/>
        <v>0.15350192088487355</v>
      </c>
      <c r="X121" s="897">
        <f t="shared" si="56"/>
        <v>0.15333099520684071</v>
      </c>
      <c r="Y121" s="897">
        <f t="shared" si="56"/>
        <v>0.15191472369139494</v>
      </c>
      <c r="Z121" s="897">
        <f t="shared" si="56"/>
        <v>0.15120313826990739</v>
      </c>
      <c r="AA121" s="897">
        <f t="shared" ref="AA121" si="57">AA12/AA131</f>
        <v>0.15095564370717635</v>
      </c>
      <c r="AB121" s="898">
        <f t="shared" ref="AB121:AC121" si="58">AA121</f>
        <v>0.15095564370717635</v>
      </c>
      <c r="AC121" s="898">
        <f t="shared" si="58"/>
        <v>0.15095564370717635</v>
      </c>
      <c r="AD121" s="898">
        <f t="shared" ref="AD121:AD122" si="59">AC121</f>
        <v>0.15095564370717635</v>
      </c>
      <c r="AE121" s="898">
        <f t="shared" ref="AE121:AE122" si="60">AD121</f>
        <v>0.15095564370717635</v>
      </c>
      <c r="AF121" s="898">
        <f t="shared" ref="AF121:AF122" si="61">AE121</f>
        <v>0.15095564370717635</v>
      </c>
      <c r="AG121" s="898">
        <f t="shared" ref="AG121:AG122" si="62">AF121</f>
        <v>0.15095564370717635</v>
      </c>
      <c r="AH121" s="898">
        <f t="shared" ref="AH121:AH122" si="63">AG121</f>
        <v>0.15095564370717635</v>
      </c>
      <c r="AI121" s="898">
        <f t="shared" ref="AI121:AI122" si="64">AH121</f>
        <v>0.15095564370717635</v>
      </c>
      <c r="AJ121" s="898">
        <f>AI121</f>
        <v>0.15095564370717635</v>
      </c>
    </row>
    <row r="122" spans="4:36" x14ac:dyDescent="0.35">
      <c r="D122" s="519" t="s">
        <v>483</v>
      </c>
      <c r="F122" s="872"/>
      <c r="G122" s="899"/>
      <c r="H122" s="899">
        <f t="shared" ref="H122:Z122" si="65">H14/H132</f>
        <v>1.2162437929392559E-2</v>
      </c>
      <c r="I122" s="899">
        <f t="shared" si="65"/>
        <v>1.2699879968543479E-2</v>
      </c>
      <c r="J122" s="899">
        <f t="shared" si="65"/>
        <v>9.8135948268010566E-3</v>
      </c>
      <c r="K122" s="899">
        <f t="shared" si="65"/>
        <v>1.0312197817378091E-2</v>
      </c>
      <c r="L122" s="899">
        <f t="shared" si="65"/>
        <v>1.0757352891335144E-2</v>
      </c>
      <c r="M122" s="899">
        <f t="shared" si="65"/>
        <v>1.0629513611282226E-2</v>
      </c>
      <c r="N122" s="899">
        <f t="shared" si="65"/>
        <v>1.1269768922909786E-2</v>
      </c>
      <c r="O122" s="899">
        <f t="shared" si="65"/>
        <v>1.1232041261557454E-2</v>
      </c>
      <c r="P122" s="899">
        <f t="shared" si="65"/>
        <v>1.1643603451454263E-2</v>
      </c>
      <c r="Q122" s="899">
        <f t="shared" si="65"/>
        <v>1.2058153955435486E-2</v>
      </c>
      <c r="R122" s="899">
        <f t="shared" si="65"/>
        <v>1.1872436632999694E-2</v>
      </c>
      <c r="S122" s="897">
        <f t="shared" si="65"/>
        <v>1.1204842192412258E-2</v>
      </c>
      <c r="T122" s="897">
        <f t="shared" si="65"/>
        <v>1.0492426125036586E-2</v>
      </c>
      <c r="U122" s="897">
        <f t="shared" si="65"/>
        <v>9.7102592644627197E-3</v>
      </c>
      <c r="V122" s="897">
        <f t="shared" si="65"/>
        <v>9.4082640735963872E-3</v>
      </c>
      <c r="W122" s="897">
        <f t="shared" si="65"/>
        <v>9.097152517301494E-3</v>
      </c>
      <c r="X122" s="897">
        <f t="shared" si="65"/>
        <v>8.8314154260258106E-3</v>
      </c>
      <c r="Y122" s="897">
        <f t="shared" si="65"/>
        <v>9.1223590461677849E-3</v>
      </c>
      <c r="Z122" s="897">
        <f t="shared" si="65"/>
        <v>8.7589609149151277E-3</v>
      </c>
      <c r="AA122" s="897">
        <f t="shared" ref="AA122" si="66">AA14/AA132</f>
        <v>9.102678616232273E-3</v>
      </c>
      <c r="AB122" s="898">
        <f t="shared" ref="AB122:AC122" si="67">AA122</f>
        <v>9.102678616232273E-3</v>
      </c>
      <c r="AC122" s="898">
        <f t="shared" si="67"/>
        <v>9.102678616232273E-3</v>
      </c>
      <c r="AD122" s="898">
        <f t="shared" si="59"/>
        <v>9.102678616232273E-3</v>
      </c>
      <c r="AE122" s="898">
        <f t="shared" si="60"/>
        <v>9.102678616232273E-3</v>
      </c>
      <c r="AF122" s="898">
        <f t="shared" si="61"/>
        <v>9.102678616232273E-3</v>
      </c>
      <c r="AG122" s="898">
        <f t="shared" si="62"/>
        <v>9.102678616232273E-3</v>
      </c>
      <c r="AH122" s="898">
        <f t="shared" si="63"/>
        <v>9.102678616232273E-3</v>
      </c>
      <c r="AI122" s="898">
        <f t="shared" si="64"/>
        <v>9.102678616232273E-3</v>
      </c>
      <c r="AJ122" s="898">
        <f t="shared" ref="AJ122" si="68">AI122</f>
        <v>9.102678616232273E-3</v>
      </c>
    </row>
    <row r="123" spans="4:36" x14ac:dyDescent="0.35">
      <c r="D123" s="421" t="s">
        <v>484</v>
      </c>
      <c r="F123" s="872"/>
      <c r="G123" s="899"/>
      <c r="H123" s="899">
        <f t="shared" ref="H123:Z123" si="69">H16/H133</f>
        <v>0.11576477635782748</v>
      </c>
      <c r="I123" s="899">
        <f t="shared" si="69"/>
        <v>0.10926623302521968</v>
      </c>
      <c r="J123" s="899">
        <f t="shared" si="69"/>
        <v>0.11837969278216001</v>
      </c>
      <c r="K123" s="899">
        <f t="shared" si="69"/>
        <v>0.11127845432247516</v>
      </c>
      <c r="L123" s="899">
        <f t="shared" si="69"/>
        <v>0.11953366642874137</v>
      </c>
      <c r="M123" s="899">
        <f t="shared" si="69"/>
        <v>0.11887481034977652</v>
      </c>
      <c r="N123" s="899">
        <f t="shared" si="69"/>
        <v>0.12443013242636948</v>
      </c>
      <c r="O123" s="899">
        <f t="shared" si="69"/>
        <v>0.12539127902744412</v>
      </c>
      <c r="P123" s="899">
        <f t="shared" si="69"/>
        <v>0.13006032415146448</v>
      </c>
      <c r="Q123" s="899">
        <f t="shared" si="69"/>
        <v>0.13860590791251326</v>
      </c>
      <c r="R123" s="897">
        <f t="shared" si="69"/>
        <v>0.14498244638325977</v>
      </c>
      <c r="S123" s="897">
        <f t="shared" si="69"/>
        <v>0.13630663910258584</v>
      </c>
      <c r="T123" s="897">
        <f t="shared" si="69"/>
        <v>0.13929684023141967</v>
      </c>
      <c r="U123" s="897">
        <f t="shared" si="69"/>
        <v>0.1476608187134503</v>
      </c>
      <c r="V123" s="897">
        <f t="shared" si="69"/>
        <v>0.14539175187919007</v>
      </c>
      <c r="W123" s="897">
        <f t="shared" si="69"/>
        <v>0.1467350715978829</v>
      </c>
      <c r="X123" s="897">
        <f t="shared" si="69"/>
        <v>0.14285714285714288</v>
      </c>
      <c r="Y123" s="897">
        <f t="shared" si="69"/>
        <v>0.14434122151779549</v>
      </c>
      <c r="Z123" s="897">
        <f t="shared" si="69"/>
        <v>0.14783963564451369</v>
      </c>
      <c r="AA123" s="897">
        <f t="shared" ref="AA123" si="70">AA16/AA133</f>
        <v>0.14354479274996287</v>
      </c>
      <c r="AB123" s="898">
        <f t="shared" ref="AB123:AC123" si="71">AA123+AB124</f>
        <v>0.14354479274996287</v>
      </c>
      <c r="AC123" s="898">
        <f t="shared" si="71"/>
        <v>0.14354479274996287</v>
      </c>
      <c r="AD123" s="898">
        <f t="shared" ref="AD123" si="72">AC123+AD124</f>
        <v>0.14354479274996287</v>
      </c>
      <c r="AE123" s="898">
        <f t="shared" ref="AE123" si="73">AD123+AE124</f>
        <v>0.14354479274996287</v>
      </c>
      <c r="AF123" s="898">
        <f t="shared" ref="AF123" si="74">AE123+AF124</f>
        <v>0.14354479274996287</v>
      </c>
      <c r="AG123" s="898">
        <f t="shared" ref="AG123" si="75">AF123+AG124</f>
        <v>0.14354479274996287</v>
      </c>
      <c r="AH123" s="898">
        <f t="shared" ref="AH123" si="76">AG123+AH124</f>
        <v>0.14354479274996287</v>
      </c>
      <c r="AI123" s="898">
        <f t="shared" ref="AI123" si="77">AH123+AI124</f>
        <v>0.14354479274996287</v>
      </c>
      <c r="AJ123" s="898">
        <f t="shared" ref="AJ123" si="78">AI123+AJ124</f>
        <v>0.14354479274996287</v>
      </c>
    </row>
    <row r="124" spans="4:36" x14ac:dyDescent="0.35">
      <c r="D124" s="421" t="s">
        <v>1750</v>
      </c>
      <c r="F124" s="872"/>
      <c r="G124" s="899"/>
      <c r="H124" s="899"/>
      <c r="I124" s="899"/>
      <c r="J124" s="899"/>
      <c r="K124" s="899"/>
      <c r="L124" s="899"/>
      <c r="M124" s="899"/>
      <c r="N124" s="899"/>
      <c r="O124" s="899"/>
      <c r="P124" s="899"/>
      <c r="Q124" s="899"/>
      <c r="R124" s="899"/>
      <c r="S124" s="899"/>
      <c r="T124" s="899"/>
      <c r="U124" s="899">
        <v>-1.2E-2</v>
      </c>
      <c r="V124" s="899"/>
      <c r="W124" s="899"/>
      <c r="X124" s="899"/>
      <c r="Y124" s="898"/>
      <c r="Z124" s="898"/>
      <c r="AA124" s="898"/>
      <c r="AB124" s="898"/>
      <c r="AC124" s="898"/>
      <c r="AD124" s="898"/>
      <c r="AE124" s="898"/>
      <c r="AF124" s="898"/>
      <c r="AG124" s="898"/>
      <c r="AH124" s="898"/>
      <c r="AI124" s="898"/>
      <c r="AJ124" s="898"/>
    </row>
    <row r="125" spans="4:36" x14ac:dyDescent="0.35">
      <c r="D125" s="286" t="s">
        <v>509</v>
      </c>
      <c r="F125" s="271"/>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c r="AC125" s="219"/>
    </row>
    <row r="126" spans="4:36" ht="14.9" customHeight="1" x14ac:dyDescent="0.35">
      <c r="D126" s="668" t="s">
        <v>510</v>
      </c>
      <c r="F126" s="867">
        <f>SUM(F127:F130)</f>
        <v>14464.9</v>
      </c>
      <c r="G126" s="433">
        <f t="shared" ref="G126:O126" si="79">SUM(G127:G130)</f>
        <v>14564.8</v>
      </c>
      <c r="H126" s="433">
        <f t="shared" si="79"/>
        <v>14733.199999999999</v>
      </c>
      <c r="I126" s="433">
        <f t="shared" si="79"/>
        <v>14875.9</v>
      </c>
      <c r="J126" s="433">
        <f t="shared" si="79"/>
        <v>14034.9</v>
      </c>
      <c r="K126" s="433">
        <f t="shared" si="79"/>
        <v>14755.099999999999</v>
      </c>
      <c r="L126" s="433">
        <f t="shared" si="79"/>
        <v>15205.3</v>
      </c>
      <c r="M126" s="433">
        <f t="shared" si="79"/>
        <v>15380.9</v>
      </c>
      <c r="N126" s="433">
        <f t="shared" si="79"/>
        <v>15947.7</v>
      </c>
      <c r="O126" s="433">
        <f t="shared" si="79"/>
        <v>16336.5</v>
      </c>
      <c r="P126" s="433">
        <f t="shared" ref="P126:T126" si="80">SUM(P127:P130)</f>
        <v>16714.8</v>
      </c>
      <c r="Q126" s="433">
        <f t="shared" si="80"/>
        <v>16890.899999999998</v>
      </c>
      <c r="R126" s="433">
        <f t="shared" si="80"/>
        <v>17146.100000000002</v>
      </c>
      <c r="S126" s="334">
        <f t="shared" si="80"/>
        <v>17590.599999999999</v>
      </c>
      <c r="T126" s="334">
        <f t="shared" si="80"/>
        <v>17805.900000000001</v>
      </c>
      <c r="U126" s="334">
        <f t="shared" ref="U126:W126" si="81">SUM(U127:U130)</f>
        <v>18127.5</v>
      </c>
      <c r="V126" s="334">
        <f t="shared" si="81"/>
        <v>18387.5</v>
      </c>
      <c r="W126" s="334">
        <f t="shared" si="81"/>
        <v>18629.3</v>
      </c>
      <c r="X126" s="334">
        <f t="shared" ref="X126:Y126" si="82">SUM(X127:X130)</f>
        <v>18878.2</v>
      </c>
      <c r="Y126" s="334">
        <f t="shared" si="82"/>
        <v>19227.800000000003</v>
      </c>
      <c r="Z126" s="334">
        <f t="shared" ref="Z126" si="83">SUM(Z127:Z130)</f>
        <v>19369.399999999998</v>
      </c>
      <c r="AA126" s="334">
        <f>SUM(AA127:AA130)</f>
        <v>19482.5</v>
      </c>
      <c r="AB126" s="329"/>
      <c r="AC126" s="329"/>
      <c r="AD126" s="329"/>
      <c r="AE126" s="329"/>
      <c r="AF126" s="329"/>
      <c r="AG126" s="329"/>
      <c r="AH126" s="329"/>
      <c r="AI126" s="329"/>
      <c r="AJ126" s="329"/>
    </row>
    <row r="127" spans="4:36" x14ac:dyDescent="0.35">
      <c r="D127" s="801" t="s">
        <v>784</v>
      </c>
      <c r="E127" s="239" t="s">
        <v>780</v>
      </c>
      <c r="F127" s="867">
        <f>'Haver Pivoted'!GQ81</f>
        <v>9285</v>
      </c>
      <c r="G127" s="433">
        <f>'Haver Pivoted'!GR81</f>
        <v>9341</v>
      </c>
      <c r="H127" s="433">
        <f>'Haver Pivoted'!GS81</f>
        <v>9488.7999999999993</v>
      </c>
      <c r="I127" s="433">
        <f>'Haver Pivoted'!GT81</f>
        <v>9636.5</v>
      </c>
      <c r="J127" s="433">
        <f>'Haver Pivoted'!GU81</f>
        <v>9005.2999999999993</v>
      </c>
      <c r="K127" s="433">
        <f>'Haver Pivoted'!GV81</f>
        <v>9441.7999999999993</v>
      </c>
      <c r="L127" s="433">
        <f>'Haver Pivoted'!GW81</f>
        <v>9809.5</v>
      </c>
      <c r="M127" s="433">
        <f>'Haver Pivoted'!GX81</f>
        <v>9889.7999999999993</v>
      </c>
      <c r="N127" s="433">
        <f>'Haver Pivoted'!GY81</f>
        <v>10182.5</v>
      </c>
      <c r="O127" s="433">
        <f>'Haver Pivoted'!GZ81</f>
        <v>10462.799999999999</v>
      </c>
      <c r="P127" s="433">
        <f>'Haver Pivoted'!HA81</f>
        <v>10772</v>
      </c>
      <c r="Q127" s="433">
        <f>'Haver Pivoted'!HB81</f>
        <v>10909.7</v>
      </c>
      <c r="R127" s="433">
        <f>'Haver Pivoted'!HC81</f>
        <v>11012.9</v>
      </c>
      <c r="S127" s="334">
        <f>'Haver Pivoted'!HD81</f>
        <v>11296.3</v>
      </c>
      <c r="T127" s="334">
        <f>'Haver Pivoted'!HE81</f>
        <v>11343.1</v>
      </c>
      <c r="U127" s="334">
        <f>'Haver Pivoted'!HF81</f>
        <v>11499.3</v>
      </c>
      <c r="V127" s="334">
        <f>'Haver Pivoted'!HG81</f>
        <v>11660.4</v>
      </c>
      <c r="W127" s="334">
        <f>'Haver Pivoted'!HH81</f>
        <v>11843.5</v>
      </c>
      <c r="X127" s="334">
        <f>'Haver Pivoted'!HI81</f>
        <v>11975.4</v>
      </c>
      <c r="Y127" s="334">
        <f>'Haver Pivoted'!HJ81</f>
        <v>12270.7</v>
      </c>
      <c r="Z127" s="334">
        <f>'Haver Pivoted'!HK81</f>
        <v>12363.5</v>
      </c>
      <c r="AA127" s="334">
        <f>'Haver Pivoted'!HL81</f>
        <v>12478.5</v>
      </c>
      <c r="AB127" s="329"/>
      <c r="AC127" s="329"/>
      <c r="AD127" s="329"/>
      <c r="AE127" s="329"/>
      <c r="AF127" s="329"/>
      <c r="AG127" s="329"/>
      <c r="AH127" s="329"/>
      <c r="AI127" s="329"/>
      <c r="AJ127" s="329"/>
    </row>
    <row r="128" spans="4:36" x14ac:dyDescent="0.35">
      <c r="D128" s="801" t="s">
        <v>511</v>
      </c>
      <c r="E128" s="239" t="s">
        <v>781</v>
      </c>
      <c r="F128" s="867">
        <f>'Haver Pivoted'!GQ82</f>
        <v>1535.6</v>
      </c>
      <c r="G128" s="433">
        <f>'Haver Pivoted'!GR82</f>
        <v>1570.9</v>
      </c>
      <c r="H128" s="433">
        <f>'Haver Pivoted'!GS82</f>
        <v>1582.7</v>
      </c>
      <c r="I128" s="433">
        <f>'Haver Pivoted'!GT82</f>
        <v>1577.7</v>
      </c>
      <c r="J128" s="433">
        <f>'Haver Pivoted'!GU82</f>
        <v>1424.4</v>
      </c>
      <c r="K128" s="433">
        <f>'Haver Pivoted'!GV82</f>
        <v>1705.8</v>
      </c>
      <c r="L128" s="433">
        <f>'Haver Pivoted'!GW82</f>
        <v>1668.1</v>
      </c>
      <c r="M128" s="433">
        <f>'Haver Pivoted'!GX82</f>
        <v>1697.5</v>
      </c>
      <c r="N128" s="433">
        <f>'Haver Pivoted'!GY82</f>
        <v>1845.5</v>
      </c>
      <c r="O128" s="433">
        <f>'Haver Pivoted'!GZ82</f>
        <v>1867.1</v>
      </c>
      <c r="P128" s="433">
        <f>'Haver Pivoted'!HA82</f>
        <v>1850.8</v>
      </c>
      <c r="Q128" s="433">
        <f>'Haver Pivoted'!HB82</f>
        <v>1833.3</v>
      </c>
      <c r="R128" s="433">
        <f>'Haver Pivoted'!HC82</f>
        <v>1850.1</v>
      </c>
      <c r="S128" s="334">
        <f>'Haver Pivoted'!HD82</f>
        <v>1895.3</v>
      </c>
      <c r="T128" s="334">
        <f>'Haver Pivoted'!HE82</f>
        <v>1915.5</v>
      </c>
      <c r="U128" s="334">
        <f>'Haver Pivoted'!HF82</f>
        <v>1934.7</v>
      </c>
      <c r="V128" s="334">
        <f>'Haver Pivoted'!HG82</f>
        <v>1936.6</v>
      </c>
      <c r="W128" s="334">
        <f>'Haver Pivoted'!HH82</f>
        <v>1954.6</v>
      </c>
      <c r="X128" s="334">
        <f>'Haver Pivoted'!HI82</f>
        <v>1970.1</v>
      </c>
      <c r="Y128" s="334">
        <f>'Haver Pivoted'!HJ82</f>
        <v>1972.1</v>
      </c>
      <c r="Z128" s="334">
        <f>'Haver Pivoted'!HK82</f>
        <v>2002.3</v>
      </c>
      <c r="AA128" s="334">
        <f>'Haver Pivoted'!HL82</f>
        <v>2009.5</v>
      </c>
      <c r="AB128" s="329"/>
      <c r="AC128" s="329"/>
      <c r="AD128" s="329"/>
      <c r="AE128" s="329"/>
      <c r="AF128" s="329"/>
      <c r="AG128" s="329"/>
      <c r="AH128" s="329"/>
      <c r="AI128" s="329"/>
      <c r="AJ128" s="329"/>
    </row>
    <row r="129" spans="4:36" x14ac:dyDescent="0.35">
      <c r="D129" s="801" t="s">
        <v>512</v>
      </c>
      <c r="E129" s="239" t="s">
        <v>787</v>
      </c>
      <c r="F129" s="867">
        <f>'Haver Pivoted'!GQ83</f>
        <v>682.8</v>
      </c>
      <c r="G129" s="433">
        <f>'Haver Pivoted'!GR83</f>
        <v>690.2</v>
      </c>
      <c r="H129" s="433">
        <f>'Haver Pivoted'!GS83</f>
        <v>706.3</v>
      </c>
      <c r="I129" s="433">
        <f>'Haver Pivoted'!GT83</f>
        <v>729.3</v>
      </c>
      <c r="J129" s="433">
        <f>'Haver Pivoted'!GU83</f>
        <v>731.2</v>
      </c>
      <c r="K129" s="433">
        <f>'Haver Pivoted'!GV83</f>
        <v>744.6</v>
      </c>
      <c r="L129" s="433">
        <f>'Haver Pivoted'!GW83</f>
        <v>747.4</v>
      </c>
      <c r="M129" s="433">
        <f>'Haver Pivoted'!GX83</f>
        <v>745.6</v>
      </c>
      <c r="N129" s="433">
        <f>'Haver Pivoted'!GY83</f>
        <v>761.6</v>
      </c>
      <c r="O129" s="433">
        <f>'Haver Pivoted'!GZ83</f>
        <v>781.2</v>
      </c>
      <c r="P129" s="433">
        <f>'Haver Pivoted'!HA83</f>
        <v>800.7</v>
      </c>
      <c r="Q129" s="433">
        <f>'Haver Pivoted'!HB83</f>
        <v>814.3</v>
      </c>
      <c r="R129" s="433">
        <f>'Haver Pivoted'!HC83</f>
        <v>858.2</v>
      </c>
      <c r="S129" s="334">
        <f>'Haver Pivoted'!HD83</f>
        <v>889.5</v>
      </c>
      <c r="T129" s="334">
        <f>'Haver Pivoted'!HE83</f>
        <v>919.1</v>
      </c>
      <c r="U129" s="334">
        <f>'Haver Pivoted'!HF83</f>
        <v>963.6</v>
      </c>
      <c r="V129" s="334">
        <f>'Haver Pivoted'!HG83</f>
        <v>984.1</v>
      </c>
      <c r="W129" s="334">
        <f>'Haver Pivoted'!HH83</f>
        <v>995</v>
      </c>
      <c r="X129" s="334">
        <f>'Haver Pivoted'!HI83</f>
        <v>1013.6</v>
      </c>
      <c r="Y129" s="334">
        <f>'Haver Pivoted'!HJ83</f>
        <v>1046.0999999999999</v>
      </c>
      <c r="Z129" s="334">
        <f>'Haver Pivoted'!HK83</f>
        <v>1053.4000000000001</v>
      </c>
      <c r="AA129" s="334">
        <f>'Haver Pivoted'!HL83</f>
        <v>1055.7</v>
      </c>
      <c r="AB129" s="329"/>
      <c r="AC129" s="329"/>
      <c r="AD129" s="329"/>
      <c r="AE129" s="329"/>
      <c r="AF129" s="329"/>
      <c r="AG129" s="329"/>
      <c r="AH129" s="329"/>
      <c r="AI129" s="329"/>
      <c r="AJ129" s="329"/>
    </row>
    <row r="130" spans="4:36" x14ac:dyDescent="0.35">
      <c r="D130" s="801" t="s">
        <v>513</v>
      </c>
      <c r="E130" s="239" t="s">
        <v>783</v>
      </c>
      <c r="F130" s="867">
        <f>'Haver Pivoted'!GQ84</f>
        <v>2961.5</v>
      </c>
      <c r="G130" s="433">
        <f>'Haver Pivoted'!GR84</f>
        <v>2962.7</v>
      </c>
      <c r="H130" s="433">
        <f>'Haver Pivoted'!GS84</f>
        <v>2955.4</v>
      </c>
      <c r="I130" s="433">
        <f>'Haver Pivoted'!GT84</f>
        <v>2932.4</v>
      </c>
      <c r="J130" s="433">
        <f>'Haver Pivoted'!GU84</f>
        <v>2874</v>
      </c>
      <c r="K130" s="433">
        <f>'Haver Pivoted'!GV84</f>
        <v>2862.9</v>
      </c>
      <c r="L130" s="433">
        <f>'Haver Pivoted'!GW84</f>
        <v>2980.3</v>
      </c>
      <c r="M130" s="433">
        <f>'Haver Pivoted'!GX84</f>
        <v>3048</v>
      </c>
      <c r="N130" s="433">
        <f>'Haver Pivoted'!GY84</f>
        <v>3158.1</v>
      </c>
      <c r="O130" s="433">
        <f>'Haver Pivoted'!GZ84</f>
        <v>3225.4</v>
      </c>
      <c r="P130" s="433">
        <f>'Haver Pivoted'!HA84</f>
        <v>3291.3</v>
      </c>
      <c r="Q130" s="433">
        <f>'Haver Pivoted'!HB84</f>
        <v>3333.6</v>
      </c>
      <c r="R130" s="433">
        <f>'Haver Pivoted'!HC84</f>
        <v>3424.9</v>
      </c>
      <c r="S130" s="334">
        <f>'Haver Pivoted'!HD84</f>
        <v>3509.5</v>
      </c>
      <c r="T130" s="334">
        <f>'Haver Pivoted'!HE84</f>
        <v>3628.2</v>
      </c>
      <c r="U130" s="334">
        <f>'Haver Pivoted'!HF84</f>
        <v>3729.9</v>
      </c>
      <c r="V130" s="334">
        <f>'Haver Pivoted'!HG84</f>
        <v>3806.4</v>
      </c>
      <c r="W130" s="334">
        <f>'Haver Pivoted'!HH84</f>
        <v>3836.2</v>
      </c>
      <c r="X130" s="334">
        <f>'Haver Pivoted'!HI84</f>
        <v>3919.1</v>
      </c>
      <c r="Y130" s="334">
        <f>'Haver Pivoted'!HJ84</f>
        <v>3938.9</v>
      </c>
      <c r="Z130" s="334">
        <f>'Haver Pivoted'!HK84</f>
        <v>3950.2</v>
      </c>
      <c r="AA130" s="334">
        <f>'Haver Pivoted'!HL84</f>
        <v>3938.8</v>
      </c>
      <c r="AB130" s="329"/>
      <c r="AC130" s="329"/>
      <c r="AD130" s="329"/>
      <c r="AE130" s="329"/>
      <c r="AF130" s="329"/>
      <c r="AG130" s="329"/>
      <c r="AH130" s="329"/>
      <c r="AI130" s="329"/>
      <c r="AJ130" s="329"/>
    </row>
    <row r="131" spans="4:36" x14ac:dyDescent="0.35">
      <c r="D131" s="668" t="s">
        <v>500</v>
      </c>
      <c r="F131" s="867">
        <f>F127</f>
        <v>9285</v>
      </c>
      <c r="G131" s="433">
        <f t="shared" ref="G131:O131" si="84">G127</f>
        <v>9341</v>
      </c>
      <c r="H131" s="433">
        <f t="shared" si="84"/>
        <v>9488.7999999999993</v>
      </c>
      <c r="I131" s="433">
        <f t="shared" si="84"/>
        <v>9636.5</v>
      </c>
      <c r="J131" s="433">
        <f t="shared" si="84"/>
        <v>9005.2999999999993</v>
      </c>
      <c r="K131" s="433">
        <f t="shared" si="84"/>
        <v>9441.7999999999993</v>
      </c>
      <c r="L131" s="433">
        <f t="shared" si="84"/>
        <v>9809.5</v>
      </c>
      <c r="M131" s="433">
        <f t="shared" si="84"/>
        <v>9889.7999999999993</v>
      </c>
      <c r="N131" s="433">
        <f t="shared" si="84"/>
        <v>10182.5</v>
      </c>
      <c r="O131" s="433">
        <f t="shared" si="84"/>
        <v>10462.799999999999</v>
      </c>
      <c r="P131" s="433">
        <f t="shared" ref="P131:T131" si="85">P127</f>
        <v>10772</v>
      </c>
      <c r="Q131" s="433">
        <f t="shared" si="85"/>
        <v>10909.7</v>
      </c>
      <c r="R131" s="433">
        <f t="shared" si="85"/>
        <v>11012.9</v>
      </c>
      <c r="S131" s="334">
        <f t="shared" si="85"/>
        <v>11296.3</v>
      </c>
      <c r="T131" s="334">
        <f t="shared" si="85"/>
        <v>11343.1</v>
      </c>
      <c r="U131" s="334">
        <f t="shared" ref="U131:W131" si="86">U127</f>
        <v>11499.3</v>
      </c>
      <c r="V131" s="334">
        <f t="shared" si="86"/>
        <v>11660.4</v>
      </c>
      <c r="W131" s="334">
        <f t="shared" si="86"/>
        <v>11843.5</v>
      </c>
      <c r="X131" s="334">
        <f t="shared" ref="X131:Y131" si="87">X127</f>
        <v>11975.4</v>
      </c>
      <c r="Y131" s="334">
        <f t="shared" si="87"/>
        <v>12270.7</v>
      </c>
      <c r="Z131" s="334">
        <f t="shared" ref="Z131" si="88">Z127</f>
        <v>12363.5</v>
      </c>
      <c r="AA131" s="334">
        <f t="shared" ref="AA131" si="89">AA127</f>
        <v>12478.5</v>
      </c>
      <c r="AB131" s="329"/>
      <c r="AC131" s="329"/>
      <c r="AD131" s="329"/>
      <c r="AE131" s="329"/>
      <c r="AF131" s="329"/>
      <c r="AG131" s="329"/>
      <c r="AH131" s="329"/>
      <c r="AI131" s="329"/>
      <c r="AJ131" s="329"/>
    </row>
    <row r="132" spans="4:36" x14ac:dyDescent="0.35">
      <c r="D132" s="668" t="s">
        <v>501</v>
      </c>
      <c r="E132" s="239" t="s">
        <v>517</v>
      </c>
      <c r="F132" s="867">
        <f>'Haver Pivoted'!GQ5</f>
        <v>14350.7</v>
      </c>
      <c r="G132" s="433">
        <f>'Haver Pivoted'!GR5</f>
        <v>14548.3</v>
      </c>
      <c r="H132" s="433">
        <f>'Haver Pivoted'!GS5</f>
        <v>14701</v>
      </c>
      <c r="I132" s="433">
        <f>'Haver Pivoted'!GT5</f>
        <v>14496.2</v>
      </c>
      <c r="J132" s="433">
        <f>'Haver Pivoted'!GU5</f>
        <v>13175.6</v>
      </c>
      <c r="K132" s="433">
        <f>'Haver Pivoted'!GV5</f>
        <v>14478</v>
      </c>
      <c r="L132" s="433">
        <f>'Haver Pivoted'!GW5</f>
        <v>14752.7</v>
      </c>
      <c r="M132" s="433">
        <f>'Haver Pivoted'!GX5</f>
        <v>15259.4</v>
      </c>
      <c r="N132" s="433">
        <f>'Haver Pivoted'!GY5</f>
        <v>16016.3</v>
      </c>
      <c r="O132" s="433">
        <f>'Haver Pivoted'!GZ5</f>
        <v>16363.9</v>
      </c>
      <c r="P132" s="433">
        <f>'Haver Pivoted'!HA5</f>
        <v>16816.099999999999</v>
      </c>
      <c r="Q132" s="433">
        <f>'Haver Pivoted'!HB5</f>
        <v>17175.099999999999</v>
      </c>
      <c r="R132" s="433">
        <f>'Haver Pivoted'!HC5</f>
        <v>17603.8</v>
      </c>
      <c r="S132" s="334">
        <f>'Haver Pivoted'!HD5</f>
        <v>17876.2</v>
      </c>
      <c r="T132" s="334">
        <f>'Haver Pivoted'!HE5</f>
        <v>18108.3</v>
      </c>
      <c r="U132" s="334">
        <f>'Haver Pivoted'!HF5</f>
        <v>18506.2</v>
      </c>
      <c r="V132" s="334">
        <f>'Haver Pivoted'!HG5</f>
        <v>18685.7</v>
      </c>
      <c r="W132" s="334">
        <f>'Haver Pivoted'!HH5</f>
        <v>18929</v>
      </c>
      <c r="X132" s="334">
        <f>'Haver Pivoted'!HI5</f>
        <v>19170.2</v>
      </c>
      <c r="Y132" s="334">
        <f>'Haver Pivoted'!HJ5</f>
        <v>19424.8</v>
      </c>
      <c r="Z132" s="334">
        <f>'Haver Pivoted'!HK5</f>
        <v>19682.7</v>
      </c>
      <c r="AA132" s="334">
        <f>'Haver Pivoted'!HL5</f>
        <v>19928.2</v>
      </c>
      <c r="AB132" s="329"/>
      <c r="AC132" s="329"/>
      <c r="AD132" s="329"/>
      <c r="AE132" s="329"/>
      <c r="AF132" s="329"/>
      <c r="AG132" s="329"/>
      <c r="AH132" s="329"/>
      <c r="AI132" s="329"/>
      <c r="AJ132" s="329"/>
    </row>
    <row r="133" spans="4:36" x14ac:dyDescent="0.35">
      <c r="D133" s="668" t="s">
        <v>514</v>
      </c>
      <c r="E133" s="239" t="s">
        <v>782</v>
      </c>
      <c r="F133" s="867">
        <f>'Haver Pivoted'!GQ85</f>
        <v>1906.5</v>
      </c>
      <c r="G133" s="433">
        <f>'Haver Pivoted'!GR85</f>
        <v>1968.1</v>
      </c>
      <c r="H133" s="433">
        <f>'Haver Pivoted'!GS85</f>
        <v>2003.2</v>
      </c>
      <c r="I133" s="433">
        <f>'Haver Pivoted'!GT85</f>
        <v>1752.6</v>
      </c>
      <c r="J133" s="433">
        <f>'Haver Pivoted'!GU85</f>
        <v>1686.1</v>
      </c>
      <c r="K133" s="433">
        <f>'Haver Pivoted'!GV85</f>
        <v>2323.9</v>
      </c>
      <c r="L133" s="433">
        <f>'Haver Pivoted'!GW85</f>
        <v>2101.5</v>
      </c>
      <c r="M133" s="433">
        <f>'Haver Pivoted'!GX85</f>
        <v>2438.6999999999998</v>
      </c>
      <c r="N133" s="433">
        <f>'Haver Pivoted'!GY85</f>
        <v>2763.8</v>
      </c>
      <c r="O133" s="433">
        <f>'Haver Pivoted'!GZ85</f>
        <v>2747.4</v>
      </c>
      <c r="P133" s="433">
        <f>'Haver Pivoted'!HA85</f>
        <v>2751.8</v>
      </c>
      <c r="Q133" s="433">
        <f>'Haver Pivoted'!HB85</f>
        <v>2738.7</v>
      </c>
      <c r="R133" s="334">
        <f>'Haver Pivoted'!HC85</f>
        <v>2876.9</v>
      </c>
      <c r="S133" s="334">
        <f>'Haver Pivoted'!HD85</f>
        <v>2950.7</v>
      </c>
      <c r="T133" s="334">
        <f>'Haver Pivoted'!HE85</f>
        <v>2921.1</v>
      </c>
      <c r="U133" s="334">
        <f>'Haver Pivoted'!HF85</f>
        <v>2941.2</v>
      </c>
      <c r="V133" s="334">
        <f>'Haver Pivoted'!HG85</f>
        <v>2953.4</v>
      </c>
      <c r="W133" s="334">
        <f>'Haver Pivoted'!HH85</f>
        <v>3079.7</v>
      </c>
      <c r="X133" s="334">
        <f>'Haver Pivoted'!HI85</f>
        <v>3253.6</v>
      </c>
      <c r="Y133" s="334">
        <f>'Haver Pivoted'!HJ85</f>
        <v>3186.2</v>
      </c>
      <c r="Z133" s="334">
        <f>'Haver Pivoted'!HK85</f>
        <v>3337.4</v>
      </c>
      <c r="AA133" s="334">
        <f>'Haver Pivoted'!HL85</f>
        <v>3365.5</v>
      </c>
      <c r="AB133" s="329"/>
      <c r="AC133" s="329"/>
      <c r="AD133" s="329"/>
      <c r="AE133" s="329"/>
      <c r="AF133" s="329"/>
      <c r="AG133" s="329"/>
      <c r="AH133" s="329"/>
      <c r="AI133" s="329"/>
      <c r="AJ133" s="329"/>
    </row>
    <row r="134" spans="4:36" x14ac:dyDescent="0.35">
      <c r="D134" s="286" t="s">
        <v>515</v>
      </c>
      <c r="F134" s="271"/>
      <c r="G134" s="219"/>
      <c r="H134" s="219"/>
      <c r="I134" s="219"/>
      <c r="J134" s="219"/>
      <c r="K134" s="219"/>
      <c r="L134" s="219"/>
      <c r="M134" s="219"/>
      <c r="N134" s="219"/>
      <c r="O134" s="219"/>
      <c r="P134" s="219"/>
      <c r="Q134" s="219"/>
      <c r="R134" s="219"/>
      <c r="S134" s="219"/>
      <c r="T134" s="219"/>
      <c r="U134" s="219"/>
      <c r="V134" s="219"/>
      <c r="W134" s="219"/>
      <c r="X134" s="219"/>
      <c r="Y134" s="219"/>
      <c r="Z134" s="219"/>
      <c r="AA134" s="219"/>
      <c r="AB134" s="219"/>
      <c r="AC134" s="219"/>
      <c r="AD134" s="219"/>
      <c r="AE134" s="219"/>
      <c r="AF134" s="219"/>
      <c r="AG134" s="219"/>
      <c r="AH134" s="219"/>
      <c r="AI134" s="219"/>
      <c r="AJ134" s="219"/>
    </row>
    <row r="135" spans="4:36" x14ac:dyDescent="0.35">
      <c r="D135" s="903" t="s">
        <v>485</v>
      </c>
      <c r="F135" s="872">
        <f t="shared" ref="F135:Z135" si="90">F21/F126</f>
        <v>3.670955208815823E-2</v>
      </c>
      <c r="G135" s="899">
        <f t="shared" si="90"/>
        <v>3.4027243765791498E-2</v>
      </c>
      <c r="H135" s="899">
        <f t="shared" si="90"/>
        <v>3.3265006923139578E-2</v>
      </c>
      <c r="I135" s="899">
        <f t="shared" si="90"/>
        <v>3.3107240570318434E-2</v>
      </c>
      <c r="J135" s="899">
        <f t="shared" si="90"/>
        <v>3.4570962386621919E-2</v>
      </c>
      <c r="K135" s="899">
        <f t="shared" si="90"/>
        <v>3.4672757216149E-2</v>
      </c>
      <c r="L135" s="899">
        <f t="shared" si="90"/>
        <v>3.4751040755526034E-2</v>
      </c>
      <c r="M135" s="899">
        <f t="shared" si="90"/>
        <v>3.6343777022150851E-2</v>
      </c>
      <c r="N135" s="899">
        <f t="shared" si="90"/>
        <v>3.6751381076895101E-2</v>
      </c>
      <c r="O135" s="899">
        <f t="shared" si="90"/>
        <v>3.528295534539222E-2</v>
      </c>
      <c r="P135" s="899">
        <f t="shared" si="90"/>
        <v>3.5842486897839046E-2</v>
      </c>
      <c r="Q135" s="899">
        <f t="shared" si="90"/>
        <v>3.8878922970356826E-2</v>
      </c>
      <c r="R135" s="899">
        <f t="shared" si="90"/>
        <v>4.0423186613865542E-2</v>
      </c>
      <c r="S135" s="897">
        <f t="shared" si="90"/>
        <v>3.3915841415301358E-2</v>
      </c>
      <c r="T135" s="897">
        <f t="shared" si="90"/>
        <v>3.4123520855446787E-2</v>
      </c>
      <c r="U135" s="869">
        <f t="shared" si="90"/>
        <v>3.1885257205902635E-2</v>
      </c>
      <c r="V135" s="869">
        <f t="shared" si="90"/>
        <v>3.1630183548606389E-2</v>
      </c>
      <c r="W135" s="869">
        <f t="shared" si="90"/>
        <v>3.2502563166624622E-2</v>
      </c>
      <c r="X135" s="869">
        <f t="shared" si="90"/>
        <v>3.2423642084520768E-2</v>
      </c>
      <c r="Y135" s="869">
        <f t="shared" si="90"/>
        <v>3.1698894309281349E-2</v>
      </c>
      <c r="Z135" s="869">
        <f t="shared" si="90"/>
        <v>3.2525529959627042E-2</v>
      </c>
      <c r="AA135" s="869">
        <f t="shared" ref="AA135" si="91">AA21/AA126</f>
        <v>3.3779032465032721E-2</v>
      </c>
      <c r="AB135" s="898">
        <f t="shared" ref="AB135:AC137" si="92">AA135</f>
        <v>3.3779032465032721E-2</v>
      </c>
      <c r="AC135" s="898">
        <f t="shared" si="92"/>
        <v>3.3779032465032721E-2</v>
      </c>
      <c r="AD135" s="898">
        <f t="shared" ref="AD135:AD138" si="93">AC135</f>
        <v>3.3779032465032721E-2</v>
      </c>
      <c r="AE135" s="898">
        <f t="shared" ref="AE135:AE138" si="94">AD135</f>
        <v>3.3779032465032721E-2</v>
      </c>
      <c r="AF135" s="898">
        <f t="shared" ref="AF135:AF137" si="95">AE135</f>
        <v>3.3779032465032721E-2</v>
      </c>
      <c r="AG135" s="898">
        <f>AF135</f>
        <v>3.3779032465032721E-2</v>
      </c>
      <c r="AH135" s="898">
        <f t="shared" ref="AH135:AJ135" si="96">AG135</f>
        <v>3.3779032465032721E-2</v>
      </c>
      <c r="AI135" s="898">
        <f t="shared" si="96"/>
        <v>3.3779032465032721E-2</v>
      </c>
      <c r="AJ135" s="898">
        <f t="shared" si="96"/>
        <v>3.3779032465032721E-2</v>
      </c>
    </row>
    <row r="136" spans="4:36" x14ac:dyDescent="0.35">
      <c r="D136" s="903" t="s">
        <v>482</v>
      </c>
      <c r="F136" s="872">
        <f t="shared" ref="F136:Z136" si="97">F23/F131</f>
        <v>2.2401723209477652E-3</v>
      </c>
      <c r="G136" s="899">
        <f t="shared" si="97"/>
        <v>2.2053313349748422E-3</v>
      </c>
      <c r="H136" s="899">
        <f t="shared" si="97"/>
        <v>2.1604417839979767E-3</v>
      </c>
      <c r="I136" s="899">
        <f t="shared" si="97"/>
        <v>2.1065739635759873E-3</v>
      </c>
      <c r="J136" s="899">
        <f t="shared" si="97"/>
        <v>2.1431823481727428E-3</v>
      </c>
      <c r="K136" s="899">
        <f t="shared" si="97"/>
        <v>2.1076489652396787E-3</v>
      </c>
      <c r="L136" s="899">
        <f t="shared" si="97"/>
        <v>2.1000050970997504E-3</v>
      </c>
      <c r="M136" s="899">
        <f t="shared" si="97"/>
        <v>2.153734150336711E-3</v>
      </c>
      <c r="N136" s="899">
        <f t="shared" si="97"/>
        <v>2.1605696047139701E-3</v>
      </c>
      <c r="O136" s="899">
        <f t="shared" si="97"/>
        <v>2.1600336430018735E-3</v>
      </c>
      <c r="P136" s="899">
        <f t="shared" si="97"/>
        <v>2.1444485703676201E-3</v>
      </c>
      <c r="Q136" s="899">
        <f t="shared" si="97"/>
        <v>2.1448802441863661E-3</v>
      </c>
      <c r="R136" s="899">
        <f t="shared" si="97"/>
        <v>2.0975401574517159E-3</v>
      </c>
      <c r="S136" s="897">
        <f t="shared" si="97"/>
        <v>2.009507537866381E-3</v>
      </c>
      <c r="T136" s="897">
        <f t="shared" si="97"/>
        <v>1.9218732092637816E-3</v>
      </c>
      <c r="U136" s="869">
        <f t="shared" si="97"/>
        <v>1.808805753393685E-3</v>
      </c>
      <c r="V136" s="869">
        <f t="shared" si="97"/>
        <v>1.7580872011251759E-3</v>
      </c>
      <c r="W136" s="869">
        <f t="shared" si="97"/>
        <v>1.7900113986574913E-3</v>
      </c>
      <c r="X136" s="869">
        <f t="shared" si="97"/>
        <v>1.9039030011523625E-3</v>
      </c>
      <c r="Y136" s="869">
        <f t="shared" si="97"/>
        <v>2.0373735809693008E-3</v>
      </c>
      <c r="Z136" s="869">
        <f t="shared" si="97"/>
        <v>2.1595826424556154E-3</v>
      </c>
      <c r="AA136" s="869">
        <f t="shared" ref="AA136" si="98">AA23/AA131</f>
        <v>2.2037905196938736E-3</v>
      </c>
      <c r="AB136" s="898">
        <f t="shared" si="92"/>
        <v>2.2037905196938736E-3</v>
      </c>
      <c r="AC136" s="898">
        <f t="shared" si="92"/>
        <v>2.2037905196938736E-3</v>
      </c>
      <c r="AD136" s="898">
        <f t="shared" si="93"/>
        <v>2.2037905196938736E-3</v>
      </c>
      <c r="AE136" s="898">
        <f t="shared" si="94"/>
        <v>2.2037905196938736E-3</v>
      </c>
      <c r="AF136" s="898">
        <f t="shared" si="95"/>
        <v>2.2037905196938736E-3</v>
      </c>
      <c r="AG136" s="898">
        <f>AF136</f>
        <v>2.2037905196938736E-3</v>
      </c>
      <c r="AH136" s="898">
        <f t="shared" ref="AH136:AJ137" si="99">AG136</f>
        <v>2.2037905196938736E-3</v>
      </c>
      <c r="AI136" s="898">
        <f t="shared" si="99"/>
        <v>2.2037905196938736E-3</v>
      </c>
      <c r="AJ136" s="898">
        <f t="shared" si="99"/>
        <v>2.2037905196938736E-3</v>
      </c>
    </row>
    <row r="137" spans="4:36" x14ac:dyDescent="0.35">
      <c r="D137" s="903" t="s">
        <v>483</v>
      </c>
      <c r="F137" s="872">
        <f t="shared" ref="F137:Z137" si="100">F24/F132</f>
        <v>9.414174918296668E-2</v>
      </c>
      <c r="G137" s="899">
        <f t="shared" si="100"/>
        <v>9.4636486737282019E-2</v>
      </c>
      <c r="H137" s="899">
        <f t="shared" si="100"/>
        <v>9.343582069246989E-2</v>
      </c>
      <c r="I137" s="899">
        <f t="shared" si="100"/>
        <v>9.4721375256963877E-2</v>
      </c>
      <c r="J137" s="899">
        <f t="shared" si="100"/>
        <v>9.7809587419168773E-2</v>
      </c>
      <c r="K137" s="899">
        <f t="shared" si="100"/>
        <v>9.6021549937836723E-2</v>
      </c>
      <c r="L137" s="899">
        <f t="shared" si="100"/>
        <v>9.569095826526669E-2</v>
      </c>
      <c r="M137" s="899">
        <f t="shared" si="100"/>
        <v>9.4119034824436093E-2</v>
      </c>
      <c r="N137" s="899">
        <f t="shared" si="100"/>
        <v>9.5171793735132335E-2</v>
      </c>
      <c r="O137" s="899">
        <f t="shared" si="100"/>
        <v>9.4005707685820616E-2</v>
      </c>
      <c r="P137" s="899">
        <f t="shared" si="100"/>
        <v>9.3915949595922962E-2</v>
      </c>
      <c r="Q137" s="899">
        <f t="shared" si="100"/>
        <v>9.3466704706231696E-2</v>
      </c>
      <c r="R137" s="899">
        <f t="shared" si="100"/>
        <v>9.3400288574057883E-2</v>
      </c>
      <c r="S137" s="897">
        <f t="shared" si="100"/>
        <v>9.3319609312941226E-2</v>
      </c>
      <c r="T137" s="897">
        <f t="shared" si="100"/>
        <v>9.2603944047757111E-2</v>
      </c>
      <c r="U137" s="869">
        <f t="shared" si="100"/>
        <v>9.1742226929353396E-2</v>
      </c>
      <c r="V137" s="869">
        <f t="shared" si="100"/>
        <v>9.1481721316300696E-2</v>
      </c>
      <c r="W137" s="869">
        <f t="shared" si="100"/>
        <v>9.1077183158117178E-2</v>
      </c>
      <c r="X137" s="869">
        <f t="shared" si="100"/>
        <v>9.0990182679366927E-2</v>
      </c>
      <c r="Y137" s="869">
        <f t="shared" si="100"/>
        <v>9.0647007948601782E-2</v>
      </c>
      <c r="Z137" s="869">
        <f t="shared" si="100"/>
        <v>9.0551601152280933E-2</v>
      </c>
      <c r="AA137" s="869">
        <f t="shared" ref="AA137" si="101">AA24/AA132</f>
        <v>9.0208849770676724E-2</v>
      </c>
      <c r="AB137" s="898">
        <f t="shared" si="92"/>
        <v>9.0208849770676724E-2</v>
      </c>
      <c r="AC137" s="898">
        <f t="shared" si="92"/>
        <v>9.0208849770676724E-2</v>
      </c>
      <c r="AD137" s="898">
        <f t="shared" si="93"/>
        <v>9.0208849770676724E-2</v>
      </c>
      <c r="AE137" s="898">
        <f t="shared" si="94"/>
        <v>9.0208849770676724E-2</v>
      </c>
      <c r="AF137" s="898">
        <f t="shared" si="95"/>
        <v>9.0208849770676724E-2</v>
      </c>
      <c r="AG137" s="898">
        <f t="shared" ref="AG137" si="102">AF137</f>
        <v>9.0208849770676724E-2</v>
      </c>
      <c r="AH137" s="898">
        <f t="shared" si="99"/>
        <v>9.0208849770676724E-2</v>
      </c>
      <c r="AI137" s="898">
        <f t="shared" si="99"/>
        <v>9.0208849770676724E-2</v>
      </c>
      <c r="AJ137" s="898">
        <f t="shared" si="99"/>
        <v>9.0208849770676724E-2</v>
      </c>
    </row>
    <row r="138" spans="4:36" x14ac:dyDescent="0.35">
      <c r="D138" s="862" t="s">
        <v>516</v>
      </c>
      <c r="E138" s="357"/>
      <c r="F138" s="865">
        <f t="shared" ref="F138:Z138" si="103">F25/F133</f>
        <v>4.028324154209284E-2</v>
      </c>
      <c r="G138" s="866">
        <f t="shared" si="103"/>
        <v>3.7650525887912199E-2</v>
      </c>
      <c r="H138" s="866">
        <f t="shared" si="103"/>
        <v>3.5093849840255591E-2</v>
      </c>
      <c r="I138" s="866">
        <f t="shared" si="103"/>
        <v>3.6802464909277646E-2</v>
      </c>
      <c r="J138" s="866">
        <f t="shared" si="103"/>
        <v>3.9380819642963055E-2</v>
      </c>
      <c r="K138" s="866">
        <f t="shared" si="103"/>
        <v>3.5070355867292048E-2</v>
      </c>
      <c r="L138" s="866">
        <f t="shared" si="103"/>
        <v>3.9210088032357843E-2</v>
      </c>
      <c r="M138" s="866">
        <f t="shared" si="103"/>
        <v>3.4075532045762087E-2</v>
      </c>
      <c r="N138" s="866">
        <f t="shared" si="103"/>
        <v>3.3902597872494389E-2</v>
      </c>
      <c r="O138" s="866">
        <f t="shared" si="103"/>
        <v>4.3422872534032174E-2</v>
      </c>
      <c r="P138" s="866">
        <f t="shared" si="103"/>
        <v>6.1087288320372114E-2</v>
      </c>
      <c r="Q138" s="866">
        <f t="shared" si="103"/>
        <v>6.2365355825756752E-2</v>
      </c>
      <c r="R138" s="870">
        <f t="shared" si="103"/>
        <v>5.4781188084396394E-2</v>
      </c>
      <c r="S138" s="870">
        <f t="shared" si="103"/>
        <v>5.391940895380757E-2</v>
      </c>
      <c r="T138" s="823">
        <f t="shared" si="103"/>
        <v>5.5527027489644311E-2</v>
      </c>
      <c r="U138" s="900">
        <f t="shared" si="103"/>
        <v>5.3957568339453282E-2</v>
      </c>
      <c r="V138" s="900">
        <f t="shared" si="103"/>
        <v>5.4987472066093314E-2</v>
      </c>
      <c r="W138" s="900">
        <f t="shared" si="103"/>
        <v>5.3868883332792161E-2</v>
      </c>
      <c r="X138" s="900">
        <f t="shared" si="103"/>
        <v>5.1297024834030001E-2</v>
      </c>
      <c r="Y138" s="900">
        <f t="shared" si="103"/>
        <v>5.348063523947022E-2</v>
      </c>
      <c r="Z138" s="900">
        <f t="shared" si="103"/>
        <v>4.9140049140049137E-2</v>
      </c>
      <c r="AA138" s="868">
        <f t="shared" ref="AA138:AB138" si="104">Z138</f>
        <v>4.9140049140049137E-2</v>
      </c>
      <c r="AB138" s="868">
        <f t="shared" si="104"/>
        <v>4.9140049140049137E-2</v>
      </c>
      <c r="AC138" s="898">
        <f>AB138</f>
        <v>4.9140049140049137E-2</v>
      </c>
      <c r="AD138" s="898">
        <f t="shared" si="93"/>
        <v>4.9140049140049137E-2</v>
      </c>
      <c r="AE138" s="898">
        <f t="shared" si="94"/>
        <v>4.9140049140049137E-2</v>
      </c>
      <c r="AF138" s="898">
        <f>AE138</f>
        <v>4.9140049140049137E-2</v>
      </c>
      <c r="AG138" s="898">
        <f>AF138</f>
        <v>4.9140049140049137E-2</v>
      </c>
      <c r="AH138" s="898">
        <f t="shared" ref="AH138:AJ138" si="105">AG138</f>
        <v>4.9140049140049137E-2</v>
      </c>
      <c r="AI138" s="898">
        <f t="shared" si="105"/>
        <v>4.9140049140049137E-2</v>
      </c>
      <c r="AJ138" s="898">
        <f t="shared" si="105"/>
        <v>4.9140049140049137E-2</v>
      </c>
    </row>
    <row r="142" spans="4:36" x14ac:dyDescent="0.35">
      <c r="D142" s="1387" t="s">
        <v>1704</v>
      </c>
      <c r="E142" s="1387"/>
      <c r="F142" s="1387"/>
      <c r="G142" s="1387"/>
      <c r="H142" s="1387"/>
      <c r="I142" s="1387"/>
      <c r="J142" s="1387"/>
      <c r="K142" s="1387"/>
      <c r="L142" s="1387"/>
      <c r="M142" s="1387"/>
      <c r="N142" s="1387"/>
      <c r="O142" s="1387"/>
      <c r="P142" s="1387"/>
      <c r="Q142" s="1387"/>
      <c r="R142" s="1387"/>
      <c r="S142" s="1387"/>
      <c r="T142" s="1387"/>
      <c r="U142" s="1387"/>
      <c r="V142" s="1387"/>
      <c r="W142" s="1387"/>
      <c r="X142" s="1387"/>
      <c r="Y142" s="1387"/>
      <c r="Z142" s="1387"/>
      <c r="AA142" s="1387"/>
      <c r="AB142" s="1387"/>
      <c r="AC142" s="1387"/>
    </row>
    <row r="143" spans="4:36" x14ac:dyDescent="0.35">
      <c r="D143" s="834" t="s">
        <v>1697</v>
      </c>
      <c r="E143" s="448"/>
      <c r="F143" s="283"/>
      <c r="G143" s="283"/>
      <c r="H143" s="283"/>
      <c r="I143" s="283"/>
      <c r="J143" s="283"/>
      <c r="K143" s="283"/>
      <c r="L143" s="283"/>
      <c r="M143" s="283"/>
      <c r="N143" s="283"/>
      <c r="O143" s="283"/>
      <c r="P143" s="283"/>
      <c r="Q143" s="283"/>
      <c r="R143" s="283"/>
      <c r="S143" s="904"/>
      <c r="T143" s="283"/>
      <c r="U143" s="289"/>
      <c r="V143" s="289"/>
      <c r="W143" s="289"/>
      <c r="X143" s="289"/>
      <c r="Y143" s="289"/>
      <c r="Z143" s="289"/>
      <c r="AA143" s="289"/>
      <c r="AB143" s="289"/>
      <c r="AC143" s="209"/>
    </row>
    <row r="144" spans="4:36" x14ac:dyDescent="0.35">
      <c r="D144" s="824" t="s">
        <v>510</v>
      </c>
      <c r="E144" s="825"/>
      <c r="F144" s="826"/>
      <c r="G144" s="826">
        <f>(G126/F126)^4-1</f>
        <v>2.7913001349364253E-2</v>
      </c>
      <c r="H144" s="826">
        <f t="shared" ref="H144:S144" si="106">(H126/G126)^4-1</f>
        <v>4.7056786044947341E-2</v>
      </c>
      <c r="I144" s="826">
        <f t="shared" si="106"/>
        <v>3.9308941340777448E-2</v>
      </c>
      <c r="J144" s="826">
        <f t="shared" si="106"/>
        <v>-0.20767330318048161</v>
      </c>
      <c r="K144" s="826">
        <f t="shared" si="106"/>
        <v>0.22160650997768916</v>
      </c>
      <c r="L144" s="826">
        <f t="shared" si="106"/>
        <v>0.12774612606997193</v>
      </c>
      <c r="M144" s="826">
        <f t="shared" si="106"/>
        <v>4.7000819432919894E-2</v>
      </c>
      <c r="N144" s="826">
        <f t="shared" si="106"/>
        <v>0.15575354729693691</v>
      </c>
      <c r="O144" s="826">
        <f t="shared" si="106"/>
        <v>0.10114329593307891</v>
      </c>
      <c r="P144" s="826">
        <f t="shared" si="106"/>
        <v>9.5894303203679421E-2</v>
      </c>
      <c r="Q144" s="826">
        <f t="shared" si="106"/>
        <v>4.2812972925388104E-2</v>
      </c>
      <c r="R144" s="826">
        <f t="shared" si="106"/>
        <v>6.1818398365929728E-2</v>
      </c>
      <c r="S144" s="826">
        <f t="shared" si="106"/>
        <v>0.10779959808936046</v>
      </c>
      <c r="T144" s="827"/>
      <c r="U144" s="329"/>
      <c r="V144" s="329"/>
      <c r="W144" s="329"/>
      <c r="X144" s="329"/>
      <c r="Y144" s="329"/>
      <c r="Z144" s="329"/>
      <c r="AA144" s="329"/>
      <c r="AB144" s="329"/>
      <c r="AC144" s="429"/>
    </row>
    <row r="145" spans="4:29" x14ac:dyDescent="0.35">
      <c r="D145" s="828" t="s">
        <v>784</v>
      </c>
      <c r="E145" s="829"/>
      <c r="F145" s="826"/>
      <c r="G145" s="826">
        <f t="shared" ref="G145:S145" si="107">(G127/F127)^4-1</f>
        <v>2.4344066214849969E-2</v>
      </c>
      <c r="H145" s="826">
        <f t="shared" si="107"/>
        <v>6.4808926543423739E-2</v>
      </c>
      <c r="I145" s="826">
        <f t="shared" si="107"/>
        <v>6.3731772577288348E-2</v>
      </c>
      <c r="J145" s="826">
        <f t="shared" si="107"/>
        <v>-0.23736727268240676</v>
      </c>
      <c r="K145" s="826">
        <f t="shared" si="107"/>
        <v>0.20844376621817839</v>
      </c>
      <c r="L145" s="826">
        <f t="shared" si="107"/>
        <v>0.16511367309277247</v>
      </c>
      <c r="M145" s="826">
        <f t="shared" si="107"/>
        <v>3.314802533242589E-2</v>
      </c>
      <c r="N145" s="826">
        <f t="shared" si="107"/>
        <v>0.12374465481168762</v>
      </c>
      <c r="O145" s="826">
        <f t="shared" si="107"/>
        <v>0.11474111578039969</v>
      </c>
      <c r="P145" s="826">
        <f t="shared" si="107"/>
        <v>0.12355331155960547</v>
      </c>
      <c r="Q145" s="826">
        <f t="shared" si="107"/>
        <v>5.2121400356726078E-2</v>
      </c>
      <c r="R145" s="826">
        <f t="shared" si="107"/>
        <v>3.8378170832219727E-2</v>
      </c>
      <c r="S145" s="826">
        <f t="shared" si="107"/>
        <v>0.10697569974210452</v>
      </c>
      <c r="T145" s="827"/>
      <c r="U145" s="329"/>
      <c r="V145" s="329"/>
      <c r="W145" s="329"/>
      <c r="X145" s="329"/>
      <c r="Y145" s="329"/>
      <c r="Z145" s="329"/>
      <c r="AA145" s="329"/>
      <c r="AB145" s="329"/>
      <c r="AC145" s="429"/>
    </row>
    <row r="146" spans="4:29" x14ac:dyDescent="0.35">
      <c r="D146" s="828" t="s">
        <v>511</v>
      </c>
      <c r="E146" s="829"/>
      <c r="F146" s="826"/>
      <c r="G146" s="826">
        <f t="shared" ref="G146:S146" si="108">(G128/F128)^4-1</f>
        <v>9.5170520378034862E-2</v>
      </c>
      <c r="H146" s="826">
        <f t="shared" si="108"/>
        <v>3.0386715102811657E-2</v>
      </c>
      <c r="I146" s="826">
        <f t="shared" si="108"/>
        <v>-1.2576877927581664E-2</v>
      </c>
      <c r="J146" s="826">
        <f t="shared" si="108"/>
        <v>-0.33559918291781621</v>
      </c>
      <c r="K146" s="826">
        <f t="shared" si="108"/>
        <v>1.0567645594940451</v>
      </c>
      <c r="L146" s="826">
        <f t="shared" si="108"/>
        <v>-8.5516467937984397E-2</v>
      </c>
      <c r="M146" s="826">
        <f t="shared" si="108"/>
        <v>7.2385177080469099E-2</v>
      </c>
      <c r="N146" s="826">
        <f t="shared" si="108"/>
        <v>0.39706645948874297</v>
      </c>
      <c r="O146" s="826">
        <f t="shared" si="108"/>
        <v>4.7644934993231525E-2</v>
      </c>
      <c r="P146" s="826">
        <f t="shared" si="108"/>
        <v>-3.4465830968520295E-2</v>
      </c>
      <c r="Q146" s="826">
        <f t="shared" si="108"/>
        <v>-3.7288431797324884E-2</v>
      </c>
      <c r="R146" s="826">
        <f t="shared" si="108"/>
        <v>3.7162148806803685E-2</v>
      </c>
      <c r="S146" s="826">
        <f t="shared" si="108"/>
        <v>0.10136440863642315</v>
      </c>
      <c r="T146" s="827"/>
      <c r="U146" s="329"/>
      <c r="V146" s="329"/>
      <c r="W146" s="329"/>
      <c r="X146" s="329"/>
      <c r="Y146" s="329"/>
      <c r="Z146" s="329"/>
      <c r="AA146" s="329"/>
      <c r="AB146" s="329"/>
      <c r="AC146" s="429"/>
    </row>
    <row r="147" spans="4:29" x14ac:dyDescent="0.35">
      <c r="D147" s="828" t="s">
        <v>512</v>
      </c>
      <c r="E147" s="829"/>
      <c r="F147" s="826"/>
      <c r="G147" s="826">
        <f t="shared" ref="G147:S147" si="109">(G129/F129)^4-1</f>
        <v>4.4060751620176752E-2</v>
      </c>
      <c r="H147" s="826">
        <f t="shared" si="109"/>
        <v>9.6622128532301677E-2</v>
      </c>
      <c r="I147" s="826">
        <f t="shared" si="109"/>
        <v>0.13675802614067245</v>
      </c>
      <c r="J147" s="826">
        <f t="shared" si="109"/>
        <v>1.0461745960318236E-2</v>
      </c>
      <c r="K147" s="826">
        <f t="shared" si="109"/>
        <v>7.5343951398924913E-2</v>
      </c>
      <c r="L147" s="826">
        <f t="shared" si="109"/>
        <v>1.5126690012599919E-2</v>
      </c>
      <c r="M147" s="826">
        <f t="shared" si="109"/>
        <v>-9.5986507456689019E-3</v>
      </c>
      <c r="N147" s="826">
        <f t="shared" si="109"/>
        <v>8.8639640354544413E-2</v>
      </c>
      <c r="O147" s="826">
        <f t="shared" si="109"/>
        <v>0.10698362579219722</v>
      </c>
      <c r="P147" s="826">
        <f t="shared" si="109"/>
        <v>0.10364747893427251</v>
      </c>
      <c r="Q147" s="826">
        <f t="shared" si="109"/>
        <v>6.9691205228084696E-2</v>
      </c>
      <c r="R147" s="826">
        <f t="shared" si="109"/>
        <v>0.23371913760147933</v>
      </c>
      <c r="S147" s="826">
        <f t="shared" si="109"/>
        <v>0.15406366806084937</v>
      </c>
      <c r="T147" s="827"/>
      <c r="U147" s="329"/>
      <c r="V147" s="329"/>
      <c r="W147" s="329"/>
      <c r="X147" s="329"/>
      <c r="Y147" s="329"/>
      <c r="Z147" s="329"/>
      <c r="AA147" s="329"/>
      <c r="AB147" s="329"/>
      <c r="AC147" s="429"/>
    </row>
    <row r="148" spans="4:29" x14ac:dyDescent="0.35">
      <c r="D148" s="828" t="s">
        <v>513</v>
      </c>
      <c r="E148" s="829"/>
      <c r="F148" s="826"/>
      <c r="G148" s="826">
        <f t="shared" ref="G148:S148" si="110">(G130/F130)^4-1</f>
        <v>1.6217856588427448E-3</v>
      </c>
      <c r="H148" s="826">
        <f t="shared" si="110"/>
        <v>-9.8195076585786412E-3</v>
      </c>
      <c r="I148" s="826">
        <f t="shared" si="110"/>
        <v>-3.0767948453107596E-2</v>
      </c>
      <c r="J148" s="826">
        <f t="shared" si="110"/>
        <v>-7.7313403452727636E-2</v>
      </c>
      <c r="K148" s="826">
        <f t="shared" si="110"/>
        <v>-1.5359581864805461E-2</v>
      </c>
      <c r="L148" s="826">
        <f t="shared" si="110"/>
        <v>0.17439776752664971</v>
      </c>
      <c r="M148" s="826">
        <f t="shared" si="110"/>
        <v>9.4006543160045863E-2</v>
      </c>
      <c r="N148" s="826">
        <f t="shared" si="110"/>
        <v>0.15250723378892039</v>
      </c>
      <c r="O148" s="826">
        <f t="shared" si="110"/>
        <v>8.8004811201423561E-2</v>
      </c>
      <c r="P148" s="826">
        <f t="shared" si="110"/>
        <v>8.4265283746917774E-2</v>
      </c>
      <c r="Q148" s="826">
        <f t="shared" si="110"/>
        <v>5.2407830182700454E-2</v>
      </c>
      <c r="R148" s="826">
        <f t="shared" si="110"/>
        <v>0.11413452453651107</v>
      </c>
      <c r="S148" s="826">
        <f t="shared" si="110"/>
        <v>0.10252743449255797</v>
      </c>
      <c r="T148" s="827"/>
      <c r="U148" s="329"/>
      <c r="V148" s="329"/>
      <c r="W148" s="329"/>
      <c r="X148" s="329"/>
      <c r="Y148" s="329"/>
      <c r="Z148" s="329"/>
      <c r="AA148" s="329"/>
      <c r="AB148" s="329"/>
      <c r="AC148" s="429"/>
    </row>
    <row r="149" spans="4:29" x14ac:dyDescent="0.35">
      <c r="D149" s="824" t="s">
        <v>500</v>
      </c>
      <c r="E149" s="825"/>
      <c r="F149" s="826"/>
      <c r="G149" s="826">
        <f t="shared" ref="G149:S149" si="111">(G131/F131)^4-1</f>
        <v>2.4344066214849969E-2</v>
      </c>
      <c r="H149" s="826">
        <f t="shared" si="111"/>
        <v>6.4808926543423739E-2</v>
      </c>
      <c r="I149" s="826">
        <f t="shared" si="111"/>
        <v>6.3731772577288348E-2</v>
      </c>
      <c r="J149" s="826">
        <f t="shared" si="111"/>
        <v>-0.23736727268240676</v>
      </c>
      <c r="K149" s="826">
        <f t="shared" si="111"/>
        <v>0.20844376621817839</v>
      </c>
      <c r="L149" s="826">
        <f t="shared" si="111"/>
        <v>0.16511367309277247</v>
      </c>
      <c r="M149" s="826">
        <f t="shared" si="111"/>
        <v>3.314802533242589E-2</v>
      </c>
      <c r="N149" s="826">
        <f t="shared" si="111"/>
        <v>0.12374465481168762</v>
      </c>
      <c r="O149" s="826">
        <f t="shared" si="111"/>
        <v>0.11474111578039969</v>
      </c>
      <c r="P149" s="826">
        <f t="shared" si="111"/>
        <v>0.12355331155960547</v>
      </c>
      <c r="Q149" s="826">
        <f t="shared" si="111"/>
        <v>5.2121400356726078E-2</v>
      </c>
      <c r="R149" s="826">
        <f t="shared" si="111"/>
        <v>3.8378170832219727E-2</v>
      </c>
      <c r="S149" s="826">
        <f t="shared" si="111"/>
        <v>0.10697569974210452</v>
      </c>
      <c r="T149" s="827"/>
      <c r="U149" s="329"/>
      <c r="V149" s="329"/>
      <c r="W149" s="329"/>
      <c r="X149" s="329"/>
      <c r="Y149" s="329"/>
      <c r="Z149" s="329"/>
      <c r="AA149" s="329"/>
      <c r="AB149" s="329"/>
      <c r="AC149" s="429"/>
    </row>
    <row r="150" spans="4:29" x14ac:dyDescent="0.35">
      <c r="D150" s="824" t="s">
        <v>501</v>
      </c>
      <c r="E150" s="829"/>
      <c r="F150" s="826"/>
      <c r="G150" s="826">
        <f t="shared" ref="G150:S150" si="112">(G132/F132)^4-1</f>
        <v>5.6225503215933115E-2</v>
      </c>
      <c r="H150" s="826">
        <f t="shared" si="112"/>
        <v>4.2649929393125507E-2</v>
      </c>
      <c r="I150" s="826">
        <f t="shared" si="112"/>
        <v>-5.4570436543737832E-2</v>
      </c>
      <c r="J150" s="826">
        <f t="shared" si="112"/>
        <v>-0.31755930379794983</v>
      </c>
      <c r="K150" s="826">
        <f t="shared" si="112"/>
        <v>0.45798374797974395</v>
      </c>
      <c r="L150" s="826">
        <f t="shared" si="112"/>
        <v>7.8081900447835251E-2</v>
      </c>
      <c r="M150" s="826">
        <f t="shared" si="112"/>
        <v>0.14462647249539784</v>
      </c>
      <c r="N150" s="826">
        <f t="shared" si="112"/>
        <v>0.21366534100957191</v>
      </c>
      <c r="O150" s="826">
        <f t="shared" si="112"/>
        <v>8.9678764816876422E-2</v>
      </c>
      <c r="P150" s="826">
        <f t="shared" si="112"/>
        <v>0.1152028170216266</v>
      </c>
      <c r="Q150" s="826">
        <f t="shared" si="112"/>
        <v>8.8168054860614076E-2</v>
      </c>
      <c r="R150" s="826">
        <f t="shared" si="112"/>
        <v>0.10364298156306018</v>
      </c>
      <c r="S150" s="826">
        <f t="shared" si="112"/>
        <v>6.3347260248833859E-2</v>
      </c>
      <c r="T150" s="827"/>
      <c r="U150" s="329"/>
      <c r="V150" s="329"/>
      <c r="W150" s="329"/>
      <c r="X150" s="329"/>
      <c r="Y150" s="329"/>
      <c r="Z150" s="329"/>
      <c r="AA150" s="329"/>
      <c r="AB150" s="329"/>
      <c r="AC150" s="429"/>
    </row>
    <row r="151" spans="4:29" x14ac:dyDescent="0.35">
      <c r="D151" s="830" t="s">
        <v>514</v>
      </c>
      <c r="E151" s="831"/>
      <c r="F151" s="832"/>
      <c r="G151" s="832">
        <f t="shared" ref="G151:S151" si="113">(G133/F133)^4-1</f>
        <v>0.13564189817892713</v>
      </c>
      <c r="H151" s="832">
        <f t="shared" si="113"/>
        <v>7.3269037673770798E-2</v>
      </c>
      <c r="I151" s="832">
        <f t="shared" si="113"/>
        <v>-0.41408585427253519</v>
      </c>
      <c r="J151" s="832">
        <f t="shared" si="113"/>
        <v>-0.1433526334649271</v>
      </c>
      <c r="K151" s="832">
        <f t="shared" si="113"/>
        <v>2.6085807680777386</v>
      </c>
      <c r="L151" s="832">
        <f t="shared" si="113"/>
        <v>-0.33127457784416303</v>
      </c>
      <c r="M151" s="832">
        <f t="shared" si="113"/>
        <v>0.81349321781472628</v>
      </c>
      <c r="N151" s="832">
        <f t="shared" si="113"/>
        <v>0.64965427523107366</v>
      </c>
      <c r="O151" s="832">
        <f t="shared" si="113"/>
        <v>-2.3525007110185348E-2</v>
      </c>
      <c r="P151" s="832">
        <f t="shared" si="113"/>
        <v>6.4214621581073494E-3</v>
      </c>
      <c r="Q151" s="832">
        <f t="shared" si="113"/>
        <v>-1.8906537249130384E-2</v>
      </c>
      <c r="R151" s="832">
        <f t="shared" si="113"/>
        <v>0.2176464803225644</v>
      </c>
      <c r="S151" s="832">
        <f t="shared" si="113"/>
        <v>0.10662674433130115</v>
      </c>
      <c r="T151" s="833"/>
      <c r="U151" s="267"/>
      <c r="V151" s="267"/>
      <c r="W151" s="267"/>
      <c r="X151" s="267"/>
      <c r="Y151" s="267"/>
      <c r="Z151" s="267"/>
      <c r="AA151" s="267"/>
      <c r="AB151" s="267"/>
      <c r="AC151" s="268"/>
    </row>
    <row r="154" spans="4:29" ht="14.9" customHeight="1" x14ac:dyDescent="0.35"/>
  </sheetData>
  <mergeCells count="42">
    <mergeCell ref="AG50:AJ50"/>
    <mergeCell ref="AG106:AJ106"/>
    <mergeCell ref="AG116:AJ116"/>
    <mergeCell ref="W49:AH49"/>
    <mergeCell ref="D142:AC142"/>
    <mergeCell ref="D118:E118"/>
    <mergeCell ref="D116:E117"/>
    <mergeCell ref="Y50:AB50"/>
    <mergeCell ref="D106:E107"/>
    <mergeCell ref="F106:H106"/>
    <mergeCell ref="I106:L106"/>
    <mergeCell ref="M116:P116"/>
    <mergeCell ref="F116:H116"/>
    <mergeCell ref="I116:L116"/>
    <mergeCell ref="Q116:T116"/>
    <mergeCell ref="AC106:AF106"/>
    <mergeCell ref="AC116:AF116"/>
    <mergeCell ref="Y116:AB116"/>
    <mergeCell ref="O73:V73"/>
    <mergeCell ref="P74:S74"/>
    <mergeCell ref="Q106:T106"/>
    <mergeCell ref="M106:P106"/>
    <mergeCell ref="Y106:AB106"/>
    <mergeCell ref="D1:AC1"/>
    <mergeCell ref="D2:AC3"/>
    <mergeCell ref="AC6:AF6"/>
    <mergeCell ref="F6:H6"/>
    <mergeCell ref="I6:L6"/>
    <mergeCell ref="W5:AG5"/>
    <mergeCell ref="Q6:T6"/>
    <mergeCell ref="Y6:AB6"/>
    <mergeCell ref="AG6:AJ6"/>
    <mergeCell ref="AC50:AF50"/>
    <mergeCell ref="D5:E7"/>
    <mergeCell ref="M6:P6"/>
    <mergeCell ref="D37:F37"/>
    <mergeCell ref="F5:V5"/>
    <mergeCell ref="F49:V49"/>
    <mergeCell ref="F50:H50"/>
    <mergeCell ref="M50:P50"/>
    <mergeCell ref="Q50:T50"/>
    <mergeCell ref="I50:L50"/>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abSelected="1" topLeftCell="A22" zoomScaleNormal="100" workbookViewId="0">
      <pane xSplit="3" topLeftCell="T1" activePane="topRight" state="frozen"/>
      <selection activeCell="A16" sqref="A16"/>
      <selection pane="topRight" activeCell="Z32" sqref="Z32"/>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271" t="s">
        <v>1705</v>
      </c>
      <c r="C1" s="1271"/>
      <c r="D1" s="1271"/>
      <c r="E1" s="1271"/>
      <c r="F1" s="1271"/>
      <c r="G1" s="1271"/>
      <c r="H1" s="1271"/>
      <c r="I1" s="1271"/>
      <c r="J1" s="1271"/>
      <c r="K1" s="1271"/>
      <c r="L1" s="1271"/>
      <c r="M1" s="1271"/>
      <c r="N1" s="1271"/>
      <c r="O1" s="1271"/>
      <c r="P1" s="1271"/>
      <c r="Q1" s="1271"/>
      <c r="R1" s="1271"/>
      <c r="S1" s="1271"/>
      <c r="T1" s="1271"/>
      <c r="U1" s="1271"/>
      <c r="V1" s="1271"/>
      <c r="W1" s="1271"/>
      <c r="X1" s="1271"/>
      <c r="Y1" s="1271"/>
      <c r="Z1" s="1271"/>
      <c r="AA1" s="1271"/>
      <c r="AB1" s="1271"/>
      <c r="AC1" s="1271"/>
    </row>
    <row r="2" spans="2:36" x14ac:dyDescent="0.35">
      <c r="B2" s="1313" t="s">
        <v>1706</v>
      </c>
      <c r="C2" s="1313"/>
      <c r="D2" s="1313"/>
      <c r="E2" s="1313"/>
      <c r="F2" s="1313"/>
      <c r="G2" s="1313"/>
      <c r="H2" s="1313"/>
      <c r="I2" s="1313"/>
      <c r="J2" s="1313"/>
      <c r="K2" s="1313"/>
      <c r="L2" s="1313"/>
      <c r="M2" s="1313"/>
      <c r="N2" s="1313"/>
      <c r="O2" s="1313"/>
      <c r="P2" s="1313"/>
      <c r="Q2" s="1313"/>
      <c r="R2" s="1313"/>
      <c r="S2" s="1313"/>
      <c r="T2" s="1313"/>
      <c r="U2" s="1313"/>
      <c r="V2" s="1313"/>
      <c r="W2" s="1313"/>
      <c r="X2" s="1313"/>
      <c r="Y2" s="1313"/>
      <c r="Z2" s="1313"/>
      <c r="AA2" s="1313"/>
      <c r="AB2" s="1313"/>
      <c r="AC2" s="1313"/>
    </row>
    <row r="3" spans="2:36" x14ac:dyDescent="0.35">
      <c r="B3" s="1313"/>
      <c r="C3" s="1313"/>
      <c r="D3" s="1313"/>
      <c r="E3" s="1313"/>
      <c r="F3" s="1313"/>
      <c r="G3" s="1313"/>
      <c r="H3" s="1313"/>
      <c r="I3" s="1313"/>
      <c r="J3" s="1313"/>
      <c r="K3" s="1313"/>
      <c r="L3" s="1313"/>
      <c r="M3" s="1313"/>
      <c r="N3" s="1313"/>
      <c r="O3" s="1313"/>
      <c r="P3" s="1313"/>
      <c r="Q3" s="1313"/>
      <c r="R3" s="1313"/>
      <c r="S3" s="1313"/>
      <c r="T3" s="1313"/>
      <c r="U3" s="1313"/>
      <c r="V3" s="1313"/>
      <c r="W3" s="1313"/>
      <c r="X3" s="1313"/>
      <c r="Y3" s="1313"/>
      <c r="Z3" s="1313"/>
      <c r="AA3" s="1313"/>
      <c r="AB3" s="1313"/>
      <c r="AC3" s="1313"/>
    </row>
    <row r="4" spans="2:36" x14ac:dyDescent="0.35">
      <c r="B4" s="1313"/>
      <c r="C4" s="1313"/>
      <c r="D4" s="1313"/>
      <c r="E4" s="1313"/>
      <c r="F4" s="1313"/>
      <c r="G4" s="1313"/>
      <c r="H4" s="1313"/>
      <c r="I4" s="1313"/>
      <c r="J4" s="1313"/>
      <c r="K4" s="1313"/>
      <c r="L4" s="1313"/>
      <c r="M4" s="1313"/>
      <c r="N4" s="1313"/>
      <c r="O4" s="1313"/>
      <c r="P4" s="1313"/>
      <c r="Q4" s="1313"/>
      <c r="R4" s="1313"/>
      <c r="S4" s="1313"/>
      <c r="T4" s="1313"/>
      <c r="U4" s="1313"/>
      <c r="V4" s="1313"/>
      <c r="W4" s="1313"/>
      <c r="X4" s="1313"/>
      <c r="Y4" s="1313"/>
      <c r="Z4" s="1313"/>
      <c r="AA4" s="1313"/>
      <c r="AB4" s="1313"/>
      <c r="AC4" s="1313"/>
    </row>
    <row r="5" spans="2:36" x14ac:dyDescent="0.35">
      <c r="B5" s="245"/>
      <c r="C5" s="245"/>
      <c r="D5" s="245"/>
      <c r="E5" s="245"/>
      <c r="F5" s="245"/>
      <c r="G5" s="245"/>
      <c r="H5" s="245"/>
      <c r="I5" s="245"/>
      <c r="J5" s="245"/>
      <c r="K5" s="245"/>
      <c r="L5" s="245"/>
      <c r="M5" s="245"/>
      <c r="N5" s="245"/>
      <c r="O5" s="245"/>
      <c r="P5" s="245"/>
      <c r="Q5" s="245"/>
      <c r="R5" s="245"/>
      <c r="S5" s="245"/>
      <c r="T5" s="245"/>
      <c r="U5" s="245"/>
      <c r="V5" s="245"/>
      <c r="W5" s="245"/>
      <c r="X5" s="245"/>
      <c r="Y5" s="245"/>
      <c r="Z5" s="245"/>
      <c r="AA5" s="245"/>
      <c r="AB5" s="245"/>
      <c r="AC5" s="245"/>
    </row>
    <row r="6" spans="2:36" x14ac:dyDescent="0.35">
      <c r="B6" s="57"/>
      <c r="C6" s="947"/>
      <c r="D6" s="921"/>
      <c r="E6" s="921"/>
      <c r="F6" s="921"/>
      <c r="G6" s="921"/>
      <c r="H6" s="921"/>
      <c r="I6" s="921"/>
      <c r="J6" s="921"/>
      <c r="K6" s="921"/>
      <c r="L6" s="921"/>
      <c r="M6" s="921"/>
      <c r="N6" s="921"/>
      <c r="O6" s="921"/>
      <c r="P6" s="921"/>
      <c r="Q6" s="921"/>
      <c r="R6" s="921"/>
      <c r="S6" s="921"/>
      <c r="T6" s="921"/>
      <c r="U6" s="921"/>
      <c r="V6" s="921"/>
      <c r="W6" s="921"/>
      <c r="X6" s="921"/>
      <c r="Y6" s="921"/>
      <c r="Z6" s="921"/>
      <c r="AA6" s="921"/>
      <c r="AB6" s="921"/>
      <c r="AC6" s="921"/>
      <c r="AD6" s="921"/>
      <c r="AE6" s="921"/>
      <c r="AF6" s="921"/>
    </row>
    <row r="7" spans="2:36" ht="14.5" customHeight="1" x14ac:dyDescent="0.35">
      <c r="B7" s="1393" t="s">
        <v>1731</v>
      </c>
      <c r="C7" s="1393"/>
      <c r="D7" s="1393"/>
      <c r="E7" s="1393"/>
      <c r="F7" s="1393"/>
      <c r="G7" s="245"/>
      <c r="H7" s="245"/>
      <c r="I7" s="245"/>
      <c r="J7" s="245"/>
      <c r="K7" s="245"/>
      <c r="L7" s="245"/>
      <c r="M7" s="245"/>
      <c r="N7" s="245"/>
      <c r="O7" s="245"/>
      <c r="P7" s="245"/>
      <c r="Q7" s="245"/>
      <c r="R7" s="245"/>
      <c r="S7" s="245"/>
      <c r="T7" s="656"/>
      <c r="U7" s="656"/>
      <c r="V7" s="245"/>
      <c r="W7" s="245"/>
      <c r="X7" s="245"/>
      <c r="Y7" s="245"/>
      <c r="Z7" s="245"/>
      <c r="AA7" s="245"/>
      <c r="AB7" s="245"/>
      <c r="AC7" s="245"/>
    </row>
    <row r="8" spans="2:36" x14ac:dyDescent="0.35">
      <c r="B8" s="1276" t="s">
        <v>1720</v>
      </c>
      <c r="C8" s="1277"/>
      <c r="D8" s="1280" t="s">
        <v>279</v>
      </c>
      <c r="E8" s="1290"/>
      <c r="F8" s="1290"/>
      <c r="G8" s="1290"/>
      <c r="H8" s="1290"/>
      <c r="I8" s="1290"/>
      <c r="J8" s="1290"/>
      <c r="K8" s="1290"/>
      <c r="L8" s="1290"/>
      <c r="M8" s="1290"/>
      <c r="N8" s="1290"/>
      <c r="O8" s="1290"/>
      <c r="P8" s="1290"/>
      <c r="Q8" s="1290"/>
      <c r="R8" s="1290"/>
      <c r="S8" s="1290"/>
      <c r="T8" s="1290"/>
      <c r="U8" s="1290"/>
      <c r="V8" s="1290"/>
      <c r="W8" s="1288" t="s">
        <v>1746</v>
      </c>
      <c r="X8" s="1288"/>
      <c r="Y8" s="1288"/>
      <c r="Z8" s="1288"/>
      <c r="AA8" s="1288"/>
      <c r="AB8" s="1288"/>
      <c r="AC8" s="1288"/>
      <c r="AD8" s="1288"/>
      <c r="AE8" s="1288"/>
      <c r="AF8" s="1372"/>
    </row>
    <row r="9" spans="2:36" x14ac:dyDescent="0.35">
      <c r="B9" s="1278"/>
      <c r="C9" s="1279"/>
      <c r="D9" s="212">
        <v>2018</v>
      </c>
      <c r="E9" s="1273">
        <v>2019</v>
      </c>
      <c r="F9" s="1274"/>
      <c r="G9" s="1274"/>
      <c r="H9" s="1275"/>
      <c r="I9" s="1273">
        <v>2020</v>
      </c>
      <c r="J9" s="1274"/>
      <c r="K9" s="1274"/>
      <c r="L9" s="1274"/>
      <c r="M9" s="1273">
        <v>2021</v>
      </c>
      <c r="N9" s="1274"/>
      <c r="O9" s="1274"/>
      <c r="P9" s="1274"/>
      <c r="Q9" s="1299">
        <v>2022</v>
      </c>
      <c r="R9" s="1362"/>
      <c r="S9" s="556"/>
      <c r="T9" s="297"/>
      <c r="U9" s="238"/>
      <c r="V9" s="556">
        <v>2023</v>
      </c>
      <c r="W9" s="285"/>
      <c r="X9" s="285"/>
      <c r="Y9" s="1268">
        <v>2024</v>
      </c>
      <c r="Z9" s="1269"/>
      <c r="AA9" s="1269"/>
      <c r="AB9" s="1270"/>
      <c r="AC9" s="1268">
        <v>2025</v>
      </c>
      <c r="AD9" s="1269"/>
      <c r="AE9" s="1269"/>
      <c r="AF9" s="1270"/>
      <c r="AG9" s="1268">
        <v>2026</v>
      </c>
      <c r="AH9" s="1292"/>
      <c r="AI9" s="1292"/>
      <c r="AJ9" s="1270"/>
    </row>
    <row r="10" spans="2:36" x14ac:dyDescent="0.35">
      <c r="B10" s="1280"/>
      <c r="C10" s="1281"/>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4" t="s">
        <v>281</v>
      </c>
      <c r="U10" s="212" t="s">
        <v>282</v>
      </c>
      <c r="V10" s="213" t="s">
        <v>283</v>
      </c>
      <c r="W10" s="329" t="s">
        <v>238</v>
      </c>
      <c r="X10" s="329" t="s">
        <v>281</v>
      </c>
      <c r="Y10" s="430" t="s">
        <v>282</v>
      </c>
      <c r="Z10" s="336" t="s">
        <v>283</v>
      </c>
      <c r="AA10" s="329" t="s">
        <v>238</v>
      </c>
      <c r="AB10" s="429" t="s">
        <v>281</v>
      </c>
      <c r="AC10" s="924" t="s">
        <v>282</v>
      </c>
      <c r="AD10" s="329" t="s">
        <v>283</v>
      </c>
      <c r="AE10" s="329" t="s">
        <v>238</v>
      </c>
      <c r="AF10" s="429" t="s">
        <v>281</v>
      </c>
      <c r="AG10" s="266" t="s">
        <v>282</v>
      </c>
      <c r="AH10" s="264" t="s">
        <v>283</v>
      </c>
      <c r="AI10" s="267" t="s">
        <v>238</v>
      </c>
      <c r="AJ10" s="268" t="s">
        <v>281</v>
      </c>
    </row>
    <row r="11" spans="2:36" x14ac:dyDescent="0.35">
      <c r="B11" s="1394" t="s">
        <v>1730</v>
      </c>
      <c r="C11" s="1395"/>
      <c r="D11" s="1395"/>
      <c r="E11" s="1395"/>
      <c r="F11" s="1395"/>
      <c r="G11" s="1395"/>
      <c r="H11" s="1395"/>
      <c r="I11" s="1395"/>
      <c r="J11" s="1395"/>
      <c r="K11" s="1395"/>
      <c r="L11" s="1395"/>
      <c r="M11" s="1395"/>
      <c r="N11" s="1395"/>
      <c r="O11" s="1395"/>
      <c r="P11" s="1395"/>
      <c r="Q11" s="1395"/>
      <c r="R11" s="1395"/>
      <c r="S11" s="1395"/>
      <c r="T11" s="1395"/>
      <c r="U11" s="1395"/>
      <c r="V11" s="1395"/>
      <c r="W11" s="1395"/>
      <c r="X11" s="1395"/>
      <c r="Y11" s="1395"/>
      <c r="Z11" s="1395"/>
      <c r="AA11" s="1395"/>
      <c r="AB11" s="1395"/>
      <c r="AC11" s="1395"/>
      <c r="AD11" s="1395"/>
      <c r="AE11" s="1395"/>
      <c r="AF11" s="1396"/>
    </row>
    <row r="12" spans="2:36" x14ac:dyDescent="0.35">
      <c r="B12" s="957" t="s">
        <v>1709</v>
      </c>
      <c r="C12" s="958"/>
      <c r="D12" s="952">
        <f t="shared" ref="D12:T12" si="0">D45</f>
        <v>1.5264497223703488E-2</v>
      </c>
      <c r="E12" s="952">
        <f t="shared" si="0"/>
        <v>8.1697245486058723E-3</v>
      </c>
      <c r="F12" s="952">
        <f t="shared" si="0"/>
        <v>2.2550676192391039E-2</v>
      </c>
      <c r="G12" s="952">
        <f t="shared" si="0"/>
        <v>9.6649063963889503E-3</v>
      </c>
      <c r="H12" s="952">
        <f t="shared" si="0"/>
        <v>1.5834666967584843E-2</v>
      </c>
      <c r="I12" s="952">
        <f t="shared" si="0"/>
        <v>1.239349514115573E-2</v>
      </c>
      <c r="J12" s="952">
        <f t="shared" si="0"/>
        <v>-1.5843080973497181E-2</v>
      </c>
      <c r="K12" s="952">
        <f t="shared" si="0"/>
        <v>3.2862675445769929E-2</v>
      </c>
      <c r="L12" s="952">
        <f t="shared" si="0"/>
        <v>1.9524743592179927E-2</v>
      </c>
      <c r="M12" s="952">
        <f t="shared" si="0"/>
        <v>4.5919222990944863E-2</v>
      </c>
      <c r="N12" s="952">
        <f t="shared" si="0"/>
        <v>6.3763215063124212E-2</v>
      </c>
      <c r="O12" s="952">
        <f t="shared" si="0"/>
        <v>5.6353404292981857E-2</v>
      </c>
      <c r="P12" s="952">
        <f t="shared" si="0"/>
        <v>6.7661635913466744E-2</v>
      </c>
      <c r="Q12" s="952">
        <f t="shared" si="0"/>
        <v>7.7270298955965933E-2</v>
      </c>
      <c r="R12" s="952">
        <f t="shared" si="0"/>
        <v>7.554614845470442E-2</v>
      </c>
      <c r="S12" s="952">
        <f t="shared" si="0"/>
        <v>4.7220953130670873E-2</v>
      </c>
      <c r="T12" s="975">
        <f t="shared" si="0"/>
        <v>4.0176508092810925E-2</v>
      </c>
      <c r="U12" s="952">
        <f t="shared" ref="U12:AF12" si="1">U45+U13</f>
        <v>3.9428535960380762E-2</v>
      </c>
      <c r="V12" s="952">
        <f t="shared" si="1"/>
        <v>2.9211734875661532E-2</v>
      </c>
      <c r="W12" s="952">
        <f t="shared" si="1"/>
        <v>2.6927277215065937E-2</v>
      </c>
      <c r="X12" s="952">
        <f t="shared" si="1"/>
        <v>1.6533593023621451E-2</v>
      </c>
      <c r="Y12" s="952">
        <f t="shared" si="1"/>
        <v>3.4247515494288061E-2</v>
      </c>
      <c r="Z12" s="952">
        <f t="shared" si="1"/>
        <v>2.5312909540798456E-2</v>
      </c>
      <c r="AA12" s="952">
        <f t="shared" si="1"/>
        <v>1.4976918865358124E-2</v>
      </c>
      <c r="AB12" s="952">
        <f>AB45+AB13</f>
        <v>2.19858362979925E-2</v>
      </c>
      <c r="AC12" s="952">
        <f t="shared" si="1"/>
        <v>2.089603364592264E-2</v>
      </c>
      <c r="AD12" s="952">
        <f t="shared" si="1"/>
        <v>2.0776747995004643E-2</v>
      </c>
      <c r="AE12" s="952">
        <f t="shared" si="1"/>
        <v>2.0708760783051394E-2</v>
      </c>
      <c r="AF12" s="950">
        <f t="shared" si="1"/>
        <v>2.0110814282412459E-2</v>
      </c>
      <c r="AG12" s="950">
        <f>AG45+AG13</f>
        <v>1.9760549063349009E-2</v>
      </c>
      <c r="AH12" s="950">
        <f>AH45+AH13</f>
        <v>1.9516602813602013E-2</v>
      </c>
      <c r="AI12" s="950">
        <f t="shared" ref="AI12:AJ12" si="2">AI45+AI13</f>
        <v>1.931367329950362E-2</v>
      </c>
      <c r="AJ12" s="950">
        <f t="shared" si="2"/>
        <v>1.911249634450618E-2</v>
      </c>
    </row>
    <row r="13" spans="2:36" x14ac:dyDescent="0.35">
      <c r="B13" s="963" t="s">
        <v>1741</v>
      </c>
      <c r="C13" s="959"/>
      <c r="D13" s="960"/>
      <c r="E13" s="961"/>
      <c r="F13" s="961"/>
      <c r="G13" s="961"/>
      <c r="H13" s="961"/>
      <c r="I13" s="961"/>
      <c r="J13" s="961"/>
      <c r="K13" s="961"/>
      <c r="L13" s="961"/>
      <c r="M13" s="961"/>
      <c r="N13" s="961"/>
      <c r="O13" s="961"/>
      <c r="P13" s="961"/>
      <c r="Q13" s="961"/>
      <c r="R13" s="961"/>
      <c r="S13" s="961"/>
      <c r="T13" s="961"/>
      <c r="U13" s="961"/>
      <c r="V13" s="961"/>
      <c r="W13" s="961"/>
      <c r="X13" s="961"/>
      <c r="Y13" s="961"/>
      <c r="Z13" s="961"/>
      <c r="AA13" s="961"/>
      <c r="AB13" s="961"/>
      <c r="AC13" s="961"/>
      <c r="AD13" s="961"/>
      <c r="AE13" s="961"/>
      <c r="AF13" s="962"/>
      <c r="AG13" s="962"/>
      <c r="AH13" s="962"/>
      <c r="AI13" s="962"/>
      <c r="AJ13" s="962"/>
    </row>
    <row r="14" spans="2:36" x14ac:dyDescent="0.35">
      <c r="B14" s="743" t="s">
        <v>1710</v>
      </c>
      <c r="C14" s="958"/>
      <c r="D14" s="921">
        <f t="shared" ref="D14:S14" si="3">D48</f>
        <v>2.9477765289275926E-2</v>
      </c>
      <c r="E14" s="921">
        <f t="shared" si="3"/>
        <v>3.7241332054374521E-2</v>
      </c>
      <c r="F14" s="921">
        <f t="shared" si="3"/>
        <v>-2.6356011696502479E-2</v>
      </c>
      <c r="G14" s="921">
        <f t="shared" si="3"/>
        <v>3.7347692764231333E-3</v>
      </c>
      <c r="H14" s="921">
        <f t="shared" si="3"/>
        <v>1.463826004028701E-2</v>
      </c>
      <c r="I14" s="921">
        <f t="shared" si="3"/>
        <v>1.2149501243322813E-2</v>
      </c>
      <c r="J14" s="921">
        <f t="shared" si="3"/>
        <v>2.5590697877679869E-3</v>
      </c>
      <c r="K14" s="921">
        <f t="shared" si="3"/>
        <v>2.2030538597398897E-2</v>
      </c>
      <c r="L14" s="921">
        <f t="shared" si="3"/>
        <v>3.0184246589695318E-2</v>
      </c>
      <c r="M14" s="921">
        <f t="shared" si="3"/>
        <v>3.1074822316861761E-2</v>
      </c>
      <c r="N14" s="921">
        <f t="shared" si="3"/>
        <v>4.3814411385844076E-2</v>
      </c>
      <c r="O14" s="921">
        <f t="shared" si="3"/>
        <v>4.8079114499886888E-2</v>
      </c>
      <c r="P14" s="921">
        <f t="shared" si="3"/>
        <v>5.0423609727379137E-2</v>
      </c>
      <c r="Q14" s="921">
        <f t="shared" si="3"/>
        <v>6.5677487260019429E-2</v>
      </c>
      <c r="R14" s="921">
        <f t="shared" si="3"/>
        <v>7.488961890096113E-2</v>
      </c>
      <c r="S14" s="921">
        <f t="shared" si="3"/>
        <v>5.3316340788000627E-2</v>
      </c>
      <c r="T14" s="921">
        <f>T48</f>
        <v>4.1496756379381328E-2</v>
      </c>
      <c r="U14" s="921">
        <f>U48+U15</f>
        <v>4.2898407970302532E-2</v>
      </c>
      <c r="V14" s="921">
        <f t="shared" ref="V14:AF14" si="4">V48+V15</f>
        <v>3.5017736429978852E-2</v>
      </c>
      <c r="W14" s="921">
        <f t="shared" si="4"/>
        <v>3.8113924198168725E-2</v>
      </c>
      <c r="X14" s="921">
        <f t="shared" si="4"/>
        <v>3.8299248311242984E-2</v>
      </c>
      <c r="Y14" s="921">
        <f t="shared" si="4"/>
        <v>3.5508670157945676E-2</v>
      </c>
      <c r="Z14" s="921">
        <f t="shared" si="4"/>
        <v>2.8203399736230539E-2</v>
      </c>
      <c r="AA14" s="921">
        <f t="shared" si="4"/>
        <v>2.4547435888207625E-2</v>
      </c>
      <c r="AB14" s="921">
        <f t="shared" si="4"/>
        <v>2.5438723088733628E-2</v>
      </c>
      <c r="AC14" s="921">
        <f t="shared" si="4"/>
        <v>2.2377163912874476E-2</v>
      </c>
      <c r="AD14" s="921">
        <f t="shared" si="4"/>
        <v>2.1708971853545922E-2</v>
      </c>
      <c r="AE14" s="921">
        <f t="shared" si="4"/>
        <v>2.1471980846518912E-2</v>
      </c>
      <c r="AF14" s="977">
        <f t="shared" si="4"/>
        <v>2.1530345294352937E-2</v>
      </c>
      <c r="AG14" s="977">
        <f t="shared" ref="AG14:AH14" si="5">AG48+AG15</f>
        <v>1.5936865457563565E-2</v>
      </c>
      <c r="AH14" s="977">
        <f t="shared" si="5"/>
        <v>1.6813069627471089E-2</v>
      </c>
      <c r="AI14" s="977">
        <f t="shared" ref="AI14:AJ14" si="6">AI48+AI15</f>
        <v>1.7900488886725352E-2</v>
      </c>
      <c r="AJ14" s="977">
        <f t="shared" si="6"/>
        <v>1.8316139660349506E-2</v>
      </c>
    </row>
    <row r="15" spans="2:36" x14ac:dyDescent="0.35">
      <c r="B15" s="322" t="s">
        <v>1742</v>
      </c>
      <c r="C15" s="959"/>
      <c r="D15" s="960"/>
      <c r="E15" s="961"/>
      <c r="F15" s="961"/>
      <c r="G15" s="961"/>
      <c r="H15" s="961"/>
      <c r="I15" s="961"/>
      <c r="J15" s="961"/>
      <c r="K15" s="961"/>
      <c r="L15" s="961"/>
      <c r="M15" s="961"/>
      <c r="N15" s="961"/>
      <c r="O15" s="961"/>
      <c r="P15" s="961"/>
      <c r="Q15" s="961"/>
      <c r="R15" s="961"/>
      <c r="S15" s="961"/>
      <c r="T15" s="961"/>
      <c r="U15" s="961"/>
      <c r="V15" s="961"/>
      <c r="W15" s="961"/>
      <c r="X15" s="961"/>
      <c r="Y15" s="961"/>
      <c r="Z15" s="961"/>
      <c r="AA15" s="961"/>
      <c r="AB15" s="961"/>
      <c r="AC15" s="961"/>
      <c r="AD15" s="961"/>
      <c r="AE15" s="961"/>
      <c r="AF15" s="962"/>
      <c r="AG15" s="962"/>
      <c r="AH15" s="962"/>
      <c r="AI15" s="962"/>
      <c r="AJ15" s="962"/>
    </row>
    <row r="16" spans="2:36" x14ac:dyDescent="0.35">
      <c r="B16" s="743" t="s">
        <v>1711</v>
      </c>
      <c r="C16" s="958"/>
      <c r="D16" s="921">
        <f t="shared" ref="D16:T16" si="7">D49</f>
        <v>1.7606158659444704E-2</v>
      </c>
      <c r="E16" s="921">
        <f t="shared" si="7"/>
        <v>-1.9289094877951052E-2</v>
      </c>
      <c r="F16" s="921">
        <f t="shared" si="7"/>
        <v>3.0411677963670725E-2</v>
      </c>
      <c r="G16" s="921">
        <f t="shared" si="7"/>
        <v>1.5793384791695786E-2</v>
      </c>
      <c r="H16" s="921">
        <f t="shared" si="7"/>
        <v>2.3589262537388134E-2</v>
      </c>
      <c r="I16" s="921">
        <f t="shared" si="7"/>
        <v>5.264893740513088E-2</v>
      </c>
      <c r="J16" s="921">
        <f t="shared" si="7"/>
        <v>-5.217742186237273E-3</v>
      </c>
      <c r="K16" s="921">
        <f t="shared" si="7"/>
        <v>4.8875550231923137E-2</v>
      </c>
      <c r="L16" s="921">
        <f t="shared" si="7"/>
        <v>4.9958958569866319E-2</v>
      </c>
      <c r="M16" s="921">
        <f t="shared" si="7"/>
        <v>9.1754054615137415E-2</v>
      </c>
      <c r="N16" s="921">
        <f t="shared" si="7"/>
        <v>8.1251965588764241E-2</v>
      </c>
      <c r="O16" s="921">
        <f t="shared" si="7"/>
        <v>6.5854996027893797E-2</v>
      </c>
      <c r="P16" s="921">
        <f t="shared" si="7"/>
        <v>8.1420811365759738E-2</v>
      </c>
      <c r="Q16" s="921">
        <f t="shared" si="7"/>
        <v>9.5809760841454095E-2</v>
      </c>
      <c r="R16" s="921">
        <f t="shared" si="7"/>
        <v>0.14288883985037359</v>
      </c>
      <c r="S16" s="921">
        <f t="shared" si="7"/>
        <v>5.753757100426693E-3</v>
      </c>
      <c r="T16" s="921">
        <f t="shared" si="7"/>
        <v>1.1355976812321922E-2</v>
      </c>
      <c r="U16" s="946">
        <f>U49+U17</f>
        <v>-2.087064600501487E-2</v>
      </c>
      <c r="V16" s="921">
        <f t="shared" ref="V16:AF16" si="8">V49+V17</f>
        <v>-3.6759658065968148E-2</v>
      </c>
      <c r="W16" s="921">
        <f t="shared" si="8"/>
        <v>4.0372871979416969E-2</v>
      </c>
      <c r="X16" s="921">
        <f t="shared" si="8"/>
        <v>-1.1102871005200798E-3</v>
      </c>
      <c r="Y16" s="921">
        <f t="shared" si="8"/>
        <v>3.8608393322818291E-2</v>
      </c>
      <c r="Z16" s="921">
        <f t="shared" si="8"/>
        <v>1.6292943839810503E-2</v>
      </c>
      <c r="AA16" s="921">
        <f t="shared" si="8"/>
        <v>2.3218572407261551E-2</v>
      </c>
      <c r="AB16" s="921">
        <f t="shared" si="8"/>
        <v>2.3533565330379203E-2</v>
      </c>
      <c r="AC16" s="921">
        <f t="shared" si="8"/>
        <v>2.3821649071183115E-2</v>
      </c>
      <c r="AD16" s="921">
        <f t="shared" si="8"/>
        <v>2.3493967451795994E-2</v>
      </c>
      <c r="AE16" s="921">
        <f t="shared" si="8"/>
        <v>2.3095343044312822E-2</v>
      </c>
      <c r="AF16" s="977">
        <f t="shared" si="8"/>
        <v>2.2877364391311605E-2</v>
      </c>
      <c r="AG16" s="977">
        <f t="shared" ref="AG16:AH16" si="9">AG49+AG17</f>
        <v>2.2926764441147718E-2</v>
      </c>
      <c r="AH16" s="977">
        <f t="shared" si="9"/>
        <v>2.3049272742582838E-2</v>
      </c>
      <c r="AI16" s="977">
        <f t="shared" ref="AI16:AJ16" si="10">AI49+AI17</f>
        <v>2.3441602770702952E-2</v>
      </c>
      <c r="AJ16" s="977">
        <f t="shared" si="10"/>
        <v>2.3363074529146655E-2</v>
      </c>
    </row>
    <row r="17" spans="2:36" x14ac:dyDescent="0.35">
      <c r="B17" s="322" t="s">
        <v>1743</v>
      </c>
      <c r="C17" s="959"/>
      <c r="D17" s="960"/>
      <c r="E17" s="961"/>
      <c r="F17" s="961"/>
      <c r="G17" s="961"/>
      <c r="H17" s="961"/>
      <c r="I17" s="961"/>
      <c r="J17" s="961"/>
      <c r="K17" s="961"/>
      <c r="L17" s="961"/>
      <c r="M17" s="961"/>
      <c r="N17" s="961"/>
      <c r="O17" s="961"/>
      <c r="P17" s="961"/>
      <c r="Q17" s="961"/>
      <c r="R17" s="961"/>
      <c r="S17" s="961"/>
      <c r="T17" s="961"/>
      <c r="U17" s="961"/>
      <c r="V17" s="961"/>
      <c r="W17" s="961"/>
      <c r="X17" s="961"/>
      <c r="Y17" s="961"/>
      <c r="Z17" s="961"/>
      <c r="AA17" s="961"/>
      <c r="AB17" s="961"/>
      <c r="AC17" s="961"/>
      <c r="AD17" s="961"/>
      <c r="AE17" s="961"/>
      <c r="AF17" s="962"/>
      <c r="AG17" s="962"/>
      <c r="AH17" s="962"/>
      <c r="AI17" s="962"/>
      <c r="AJ17" s="962"/>
    </row>
    <row r="18" spans="2:36" x14ac:dyDescent="0.35">
      <c r="B18" s="743" t="s">
        <v>1712</v>
      </c>
      <c r="C18" s="958"/>
      <c r="D18" s="921">
        <f t="shared" ref="D18:T18" si="11">D51</f>
        <v>1.2331231439726587E-2</v>
      </c>
      <c r="E18" s="921">
        <f t="shared" si="11"/>
        <v>-2.700843667145636E-2</v>
      </c>
      <c r="F18" s="921">
        <f t="shared" si="11"/>
        <v>2.7562863533678428E-2</v>
      </c>
      <c r="G18" s="921">
        <f t="shared" si="11"/>
        <v>1.5442696812244527E-2</v>
      </c>
      <c r="H18" s="921">
        <f t="shared" si="11"/>
        <v>2.7307145143274258E-2</v>
      </c>
      <c r="I18" s="921">
        <f t="shared" si="11"/>
        <v>6.2563226282339235E-2</v>
      </c>
      <c r="J18" s="921">
        <f t="shared" si="11"/>
        <v>-3.1076845521187391E-3</v>
      </c>
      <c r="K18" s="921">
        <f t="shared" si="11"/>
        <v>5.0835204325521355E-2</v>
      </c>
      <c r="L18" s="921">
        <f t="shared" si="11"/>
        <v>5.6516511024412575E-2</v>
      </c>
      <c r="M18" s="921">
        <f t="shared" si="11"/>
        <v>9.8643019696944334E-2</v>
      </c>
      <c r="N18" s="921">
        <f t="shared" si="11"/>
        <v>7.7982454628441111E-2</v>
      </c>
      <c r="O18" s="921">
        <f t="shared" si="11"/>
        <v>6.0955299775054206E-2</v>
      </c>
      <c r="P18" s="921">
        <f t="shared" si="11"/>
        <v>7.2782919540383961E-2</v>
      </c>
      <c r="Q18" s="921">
        <f t="shared" si="11"/>
        <v>9.0061872181369962E-2</v>
      </c>
      <c r="R18" s="921">
        <f t="shared" si="11"/>
        <v>0.1436965164831121</v>
      </c>
      <c r="S18" s="921">
        <f t="shared" si="11"/>
        <v>-1.1746560973159292E-2</v>
      </c>
      <c r="T18" s="921">
        <f t="shared" si="11"/>
        <v>2.1967430570584145E-3</v>
      </c>
      <c r="U18" s="946">
        <f>U51+U19</f>
        <v>-3.5599925493891349E-2</v>
      </c>
      <c r="V18" s="921">
        <f t="shared" ref="V18:AF18" si="12">V51+V19</f>
        <v>-4.5280831786954745E-2</v>
      </c>
      <c r="W18" s="921">
        <f t="shared" si="12"/>
        <v>4.8134298648978557E-2</v>
      </c>
      <c r="X18" s="921">
        <f t="shared" si="12"/>
        <v>-4.2594526301267255E-3</v>
      </c>
      <c r="Y18" s="921">
        <f t="shared" si="12"/>
        <v>4.217111451589628E-2</v>
      </c>
      <c r="Z18" s="921">
        <f t="shared" si="12"/>
        <v>1.9463682308167529E-2</v>
      </c>
      <c r="AA18" s="921">
        <f t="shared" si="12"/>
        <v>2.1103247112589152E-2</v>
      </c>
      <c r="AB18" s="921">
        <f t="shared" si="12"/>
        <v>2.3533565330379203E-2</v>
      </c>
      <c r="AC18" s="921">
        <f t="shared" si="12"/>
        <v>2.3821649071183115E-2</v>
      </c>
      <c r="AD18" s="921">
        <f t="shared" si="12"/>
        <v>2.3493967451795994E-2</v>
      </c>
      <c r="AE18" s="921">
        <f t="shared" si="12"/>
        <v>2.3095343044312822E-2</v>
      </c>
      <c r="AF18" s="977">
        <f t="shared" si="12"/>
        <v>2.2877364391311605E-2</v>
      </c>
      <c r="AG18" s="977">
        <f t="shared" ref="AG18:AH18" si="13">AG51+AG19</f>
        <v>2.2926764441147718E-2</v>
      </c>
      <c r="AH18" s="977">
        <f t="shared" si="13"/>
        <v>2.3049272742582838E-2</v>
      </c>
      <c r="AI18" s="977">
        <f t="shared" ref="AI18:AJ18" si="14">AI51+AI19</f>
        <v>2.3441602770702952E-2</v>
      </c>
      <c r="AJ18" s="977">
        <f t="shared" si="14"/>
        <v>2.3363074529146655E-2</v>
      </c>
    </row>
    <row r="19" spans="2:36" x14ac:dyDescent="0.35">
      <c r="B19" s="322" t="s">
        <v>1744</v>
      </c>
      <c r="C19" s="959"/>
      <c r="D19" s="960"/>
      <c r="E19" s="961"/>
      <c r="F19" s="961"/>
      <c r="G19" s="961"/>
      <c r="H19" s="961"/>
      <c r="I19" s="961"/>
      <c r="J19" s="961"/>
      <c r="K19" s="961"/>
      <c r="L19" s="961"/>
      <c r="M19" s="961"/>
      <c r="N19" s="961"/>
      <c r="O19" s="961"/>
      <c r="P19" s="961"/>
      <c r="Q19" s="961"/>
      <c r="R19" s="961"/>
      <c r="S19" s="961"/>
      <c r="T19" s="961"/>
      <c r="U19" s="961"/>
      <c r="V19" s="961"/>
      <c r="W19" s="961"/>
      <c r="X19" s="961"/>
      <c r="Y19" s="961"/>
      <c r="Z19" s="961"/>
      <c r="AA19" s="961"/>
      <c r="AB19" s="961"/>
      <c r="AC19" s="961"/>
      <c r="AD19" s="961"/>
      <c r="AE19" s="961"/>
      <c r="AF19" s="962"/>
      <c r="AG19" s="962"/>
      <c r="AH19" s="962"/>
      <c r="AI19" s="962"/>
      <c r="AJ19" s="962"/>
    </row>
    <row r="20" spans="2:36" x14ac:dyDescent="0.35">
      <c r="B20" s="743" t="s">
        <v>1713</v>
      </c>
      <c r="C20" s="958"/>
      <c r="D20" s="921">
        <f t="shared" ref="D20:T20" si="15">D52</f>
        <v>4.0962242441666019E-2</v>
      </c>
      <c r="E20" s="921">
        <f t="shared" si="15"/>
        <v>1.51792670994777E-2</v>
      </c>
      <c r="F20" s="921">
        <f t="shared" si="15"/>
        <v>4.2702169718882965E-2</v>
      </c>
      <c r="G20" s="921">
        <f t="shared" si="15"/>
        <v>1.755007684826615E-2</v>
      </c>
      <c r="H20" s="921">
        <f t="shared" si="15"/>
        <v>7.6166905113348449E-3</v>
      </c>
      <c r="I20" s="921">
        <f t="shared" si="15"/>
        <v>1.0120807804920418E-2</v>
      </c>
      <c r="J20" s="921">
        <f t="shared" si="15"/>
        <v>-1.4337681566159555E-2</v>
      </c>
      <c r="K20" s="921">
        <f t="shared" si="15"/>
        <v>3.9796166071044636E-2</v>
      </c>
      <c r="L20" s="921">
        <f t="shared" si="15"/>
        <v>2.0329576447674524E-2</v>
      </c>
      <c r="M20" s="921">
        <f t="shared" si="15"/>
        <v>5.9674403216350091E-2</v>
      </c>
      <c r="N20" s="921">
        <f t="shared" si="15"/>
        <v>9.5803328528480503E-2</v>
      </c>
      <c r="O20" s="921">
        <f t="shared" si="15"/>
        <v>8.9244367976453631E-2</v>
      </c>
      <c r="P20" s="921">
        <f t="shared" si="15"/>
        <v>0.12456668920888303</v>
      </c>
      <c r="Q20" s="921">
        <f t="shared" si="15"/>
        <v>0.12433979312392585</v>
      </c>
      <c r="R20" s="921">
        <f t="shared" si="15"/>
        <v>0.13846732874655276</v>
      </c>
      <c r="S20" s="921">
        <f t="shared" si="15"/>
        <v>9.552027198699542E-2</v>
      </c>
      <c r="T20" s="921">
        <f t="shared" si="15"/>
        <v>5.5161829119105388E-2</v>
      </c>
      <c r="U20" s="921">
        <f>U52+U21</f>
        <v>5.0122233379745529E-2</v>
      </c>
      <c r="V20" s="921">
        <f t="shared" ref="V20:AF20" si="16">V52+V21</f>
        <v>2.1164173736800684E-3</v>
      </c>
      <c r="W20" s="921">
        <f t="shared" si="16"/>
        <v>5.8706332638096548E-3</v>
      </c>
      <c r="X20" s="921">
        <f t="shared" si="16"/>
        <v>1.2084409350409553E-2</v>
      </c>
      <c r="Y20" s="921">
        <f t="shared" si="16"/>
        <v>2.380676700323181E-2</v>
      </c>
      <c r="Z20" s="921">
        <f t="shared" si="16"/>
        <v>3.3212249496941126E-3</v>
      </c>
      <c r="AA20" s="921">
        <f t="shared" si="16"/>
        <v>3.2089322615664662E-2</v>
      </c>
      <c r="AB20" s="921">
        <f t="shared" si="16"/>
        <v>2.3533565330379203E-2</v>
      </c>
      <c r="AC20" s="921">
        <f t="shared" si="16"/>
        <v>2.3821649071183115E-2</v>
      </c>
      <c r="AD20" s="921">
        <f t="shared" si="16"/>
        <v>2.3493967451795994E-2</v>
      </c>
      <c r="AE20" s="921">
        <f t="shared" si="16"/>
        <v>2.3095343044312822E-2</v>
      </c>
      <c r="AF20" s="977">
        <f t="shared" si="16"/>
        <v>2.2877364391311605E-2</v>
      </c>
      <c r="AG20" s="977">
        <f t="shared" ref="AG20:AH20" si="17">AG52+AG21</f>
        <v>2.2926764441147718E-2</v>
      </c>
      <c r="AH20" s="977">
        <f t="shared" si="17"/>
        <v>2.3049272742582838E-2</v>
      </c>
      <c r="AI20" s="977">
        <f t="shared" ref="AI20:AJ20" si="18">AI52+AI21</f>
        <v>2.3441602770702952E-2</v>
      </c>
      <c r="AJ20" s="977">
        <f t="shared" si="18"/>
        <v>2.3363074529146655E-2</v>
      </c>
    </row>
    <row r="21" spans="2:36" x14ac:dyDescent="0.35">
      <c r="B21" s="322" t="s">
        <v>1745</v>
      </c>
      <c r="C21" s="959"/>
      <c r="D21" s="926"/>
      <c r="E21" s="926"/>
      <c r="F21" s="926"/>
      <c r="G21" s="926"/>
      <c r="H21" s="926"/>
      <c r="I21" s="926"/>
      <c r="J21" s="926"/>
      <c r="K21" s="926"/>
      <c r="L21" s="926"/>
      <c r="M21" s="926"/>
      <c r="N21" s="926"/>
      <c r="O21" s="926"/>
      <c r="P21" s="926"/>
      <c r="Q21" s="926"/>
      <c r="R21" s="926"/>
      <c r="S21" s="926"/>
      <c r="T21" s="926"/>
      <c r="U21" s="926"/>
      <c r="V21" s="926"/>
      <c r="W21" s="926"/>
      <c r="X21" s="926"/>
      <c r="Y21" s="926"/>
      <c r="Z21" s="926"/>
      <c r="AA21" s="926"/>
      <c r="AB21" s="926"/>
      <c r="AC21" s="926"/>
      <c r="AD21" s="926"/>
      <c r="AE21" s="926"/>
      <c r="AF21" s="927"/>
    </row>
    <row r="22" spans="2:36" x14ac:dyDescent="0.35">
      <c r="B22" s="1397" t="s">
        <v>1734</v>
      </c>
      <c r="C22" s="1398"/>
      <c r="D22" s="1398"/>
      <c r="E22" s="1398"/>
      <c r="F22" s="1398"/>
      <c r="G22" s="1398"/>
      <c r="H22" s="1398"/>
      <c r="I22" s="1398"/>
      <c r="J22" s="1398"/>
      <c r="K22" s="1398"/>
      <c r="L22" s="1398"/>
      <c r="M22" s="1398"/>
      <c r="N22" s="1398"/>
      <c r="O22" s="1398"/>
      <c r="P22" s="1398"/>
      <c r="Q22" s="1398"/>
      <c r="R22" s="1398"/>
      <c r="S22" s="1398"/>
      <c r="T22" s="1398"/>
      <c r="U22" s="1398"/>
      <c r="V22" s="1398"/>
      <c r="W22" s="1398"/>
      <c r="X22" s="1398"/>
      <c r="Y22" s="1398"/>
      <c r="Z22" s="1398"/>
      <c r="AA22" s="1398"/>
      <c r="AB22" s="1398"/>
      <c r="AC22" s="1398"/>
      <c r="AD22" s="1398"/>
      <c r="AE22" s="1398"/>
      <c r="AF22" s="1398"/>
      <c r="AG22" s="1398"/>
      <c r="AH22" s="1398"/>
      <c r="AI22" s="1398"/>
      <c r="AJ22" s="1398"/>
    </row>
    <row r="23" spans="2:36" x14ac:dyDescent="0.35">
      <c r="B23" s="945" t="s">
        <v>1709</v>
      </c>
      <c r="C23" s="953"/>
      <c r="D23" s="943">
        <f t="shared" ref="D23:AF23" si="19">(D12+1)^0.25-1</f>
        <v>3.7944725878693575E-3</v>
      </c>
      <c r="E23" s="943">
        <f t="shared" si="19"/>
        <v>2.0362035034391379E-3</v>
      </c>
      <c r="F23" s="943">
        <f t="shared" si="19"/>
        <v>5.590611661529854E-3</v>
      </c>
      <c r="G23" s="943">
        <f t="shared" si="19"/>
        <v>2.407518418966248E-3</v>
      </c>
      <c r="H23" s="943">
        <f t="shared" si="19"/>
        <v>3.9353749698576301E-3</v>
      </c>
      <c r="I23" s="943">
        <f t="shared" si="19"/>
        <v>3.0840771307514281E-3</v>
      </c>
      <c r="J23" s="943">
        <f t="shared" si="19"/>
        <v>-3.9845216658365157E-3</v>
      </c>
      <c r="K23" s="943">
        <f t="shared" si="19"/>
        <v>8.1163211139745339E-3</v>
      </c>
      <c r="L23" s="943">
        <f t="shared" si="19"/>
        <v>4.8458485958486897E-3</v>
      </c>
      <c r="M23" s="943">
        <f t="shared" si="19"/>
        <v>1.128726029998095E-2</v>
      </c>
      <c r="N23" s="943">
        <f t="shared" si="19"/>
        <v>1.5573224192473534E-2</v>
      </c>
      <c r="O23" s="943">
        <f t="shared" si="19"/>
        <v>1.3800051761748033E-2</v>
      </c>
      <c r="P23" s="943">
        <f t="shared" si="19"/>
        <v>1.6502402421568085E-2</v>
      </c>
      <c r="Q23" s="943">
        <f t="shared" si="19"/>
        <v>1.8781785076822377E-2</v>
      </c>
      <c r="R23" s="943">
        <f t="shared" si="19"/>
        <v>1.8373905005062419E-2</v>
      </c>
      <c r="S23" s="944">
        <f t="shared" si="19"/>
        <v>1.1601770523549382E-2</v>
      </c>
      <c r="T23" s="943">
        <f t="shared" si="19"/>
        <v>9.8962517305620779E-3</v>
      </c>
      <c r="U23" s="943">
        <f t="shared" si="19"/>
        <v>9.7146532173442157E-3</v>
      </c>
      <c r="V23" s="943">
        <f t="shared" si="19"/>
        <v>7.2242708682535017E-3</v>
      </c>
      <c r="W23" s="943">
        <f t="shared" si="19"/>
        <v>6.6648915811020615E-3</v>
      </c>
      <c r="X23" s="943">
        <f t="shared" si="19"/>
        <v>4.1080151756858196E-3</v>
      </c>
      <c r="Y23" s="943">
        <f t="shared" si="19"/>
        <v>8.4540665130061754E-3</v>
      </c>
      <c r="Z23" s="943">
        <f t="shared" si="19"/>
        <v>6.269029524843539E-3</v>
      </c>
      <c r="AA23" s="943">
        <f t="shared" si="19"/>
        <v>3.7233826809977E-3</v>
      </c>
      <c r="AB23" s="943">
        <f t="shared" si="19"/>
        <v>5.4517150270614323E-3</v>
      </c>
      <c r="AC23" s="943">
        <f t="shared" si="19"/>
        <v>5.1835649338582979E-3</v>
      </c>
      <c r="AD23" s="943">
        <f t="shared" si="19"/>
        <v>5.1542012116922997E-3</v>
      </c>
      <c r="AE23" s="943">
        <f t="shared" si="19"/>
        <v>5.1374641193888682E-3</v>
      </c>
      <c r="AF23" s="944">
        <f t="shared" si="19"/>
        <v>4.9902256196157069E-3</v>
      </c>
      <c r="AG23" s="944">
        <f t="shared" ref="AG23" si="20">(AG12+1)^0.25-1</f>
        <v>4.9039461559314823E-3</v>
      </c>
      <c r="AH23" s="944">
        <f>(AH12+1)^0.25-1</f>
        <v>4.8438426974866111E-3</v>
      </c>
      <c r="AI23" s="944">
        <f>(AI12+1)^0.25-1</f>
        <v>4.7938367205500043E-3</v>
      </c>
      <c r="AJ23" s="944">
        <f>(AJ12+1)^0.25-1</f>
        <v>4.7442552393142101E-3</v>
      </c>
    </row>
    <row r="24" spans="2:36" x14ac:dyDescent="0.35">
      <c r="B24" s="922" t="s">
        <v>1710</v>
      </c>
      <c r="C24" s="953"/>
      <c r="D24" s="943">
        <f t="shared" ref="D24:AF24" si="21">(D14+1)^0.25-1</f>
        <v>7.2893513350869021E-3</v>
      </c>
      <c r="E24" s="943">
        <f t="shared" si="21"/>
        <v>9.183063847828965E-3</v>
      </c>
      <c r="F24" s="943">
        <f t="shared" si="21"/>
        <v>-6.6551450859820838E-3</v>
      </c>
      <c r="G24" s="943">
        <f t="shared" si="21"/>
        <v>9.3238748870549948E-4</v>
      </c>
      <c r="H24" s="943">
        <f t="shared" si="21"/>
        <v>3.6396462148640119E-3</v>
      </c>
      <c r="I24" s="943">
        <f t="shared" si="21"/>
        <v>3.0236341019997948E-3</v>
      </c>
      <c r="J24" s="943">
        <f t="shared" si="21"/>
        <v>6.3915440825756953E-4</v>
      </c>
      <c r="K24" s="943">
        <f t="shared" si="21"/>
        <v>5.4627096183730295E-3</v>
      </c>
      <c r="L24" s="943">
        <f t="shared" si="21"/>
        <v>7.4621204938085661E-3</v>
      </c>
      <c r="M24" s="943">
        <f t="shared" si="21"/>
        <v>7.6797831590638133E-3</v>
      </c>
      <c r="N24" s="943">
        <f t="shared" si="21"/>
        <v>1.0778096367762835E-2</v>
      </c>
      <c r="O24" s="943">
        <f t="shared" si="21"/>
        <v>1.1808950038346699E-2</v>
      </c>
      <c r="P24" s="943">
        <f t="shared" si="21"/>
        <v>1.2374316216290149E-2</v>
      </c>
      <c r="Q24" s="943">
        <f t="shared" si="21"/>
        <v>1.602980443097346E-2</v>
      </c>
      <c r="R24" s="943">
        <f t="shared" si="21"/>
        <v>1.8218461729688551E-2</v>
      </c>
      <c r="S24" s="944">
        <f t="shared" si="21"/>
        <v>1.3070584644896854E-2</v>
      </c>
      <c r="T24" s="943">
        <f t="shared" si="21"/>
        <v>1.0216553053776778E-2</v>
      </c>
      <c r="U24" s="943">
        <f t="shared" si="21"/>
        <v>1.0556270288231362E-2</v>
      </c>
      <c r="V24" s="943">
        <f t="shared" si="21"/>
        <v>8.6417671359919623E-3</v>
      </c>
      <c r="W24" s="943">
        <f t="shared" si="21"/>
        <v>9.3952438667612714E-3</v>
      </c>
      <c r="X24" s="943">
        <f t="shared" si="21"/>
        <v>9.4402901647081539E-3</v>
      </c>
      <c r="Y24" s="943">
        <f t="shared" si="21"/>
        <v>8.7613516107596379E-3</v>
      </c>
      <c r="Z24" s="943">
        <f t="shared" si="21"/>
        <v>6.977481763400073E-3</v>
      </c>
      <c r="AA24" s="943">
        <f t="shared" si="21"/>
        <v>6.081162931556694E-3</v>
      </c>
      <c r="AB24" s="943">
        <f t="shared" si="21"/>
        <v>6.2998972849144241E-3</v>
      </c>
      <c r="AC24" s="943">
        <f t="shared" si="21"/>
        <v>5.5479503472453118E-3</v>
      </c>
      <c r="AD24" s="943">
        <f t="shared" si="21"/>
        <v>5.3836118045782477E-3</v>
      </c>
      <c r="AE24" s="943">
        <f t="shared" si="21"/>
        <v>5.3253056701454415E-3</v>
      </c>
      <c r="AF24" s="944">
        <f t="shared" si="21"/>
        <v>5.3396658288893395E-3</v>
      </c>
      <c r="AG24" s="944">
        <f t="shared" ref="AG24" si="22">(AG14+1)^0.25-1</f>
        <v>3.9606243564216381E-3</v>
      </c>
      <c r="AH24" s="944">
        <f>(AH14+1)^0.25-1</f>
        <v>4.1770231682358716E-3</v>
      </c>
      <c r="AI24" s="944">
        <f>(AI14+1)^0.25-1</f>
        <v>4.4453920111928724E-3</v>
      </c>
      <c r="AJ24" s="944">
        <f>(AJ14+1)^0.25-1</f>
        <v>4.5479154389085341E-3</v>
      </c>
    </row>
    <row r="25" spans="2:36" x14ac:dyDescent="0.35">
      <c r="B25" s="922" t="s">
        <v>1711</v>
      </c>
      <c r="C25" s="953"/>
      <c r="D25" s="943">
        <f t="shared" ref="D25:AF25" si="23">(D16+1)^0.25-1</f>
        <v>4.372774229274734E-3</v>
      </c>
      <c r="E25" s="943">
        <f t="shared" si="23"/>
        <v>-4.8575529720429333E-3</v>
      </c>
      <c r="F25" s="943">
        <f t="shared" si="23"/>
        <v>7.5177196568785298E-3</v>
      </c>
      <c r="G25" s="943">
        <f t="shared" si="23"/>
        <v>3.9251751633120335E-3</v>
      </c>
      <c r="H25" s="943">
        <f t="shared" si="23"/>
        <v>5.8458545430506437E-3</v>
      </c>
      <c r="I25" s="943">
        <f t="shared" si="23"/>
        <v>1.2910070794133643E-2</v>
      </c>
      <c r="J25" s="943">
        <f t="shared" si="23"/>
        <v>-1.3069956711562192E-3</v>
      </c>
      <c r="K25" s="943">
        <f t="shared" si="23"/>
        <v>1.200111379246338E-2</v>
      </c>
      <c r="L25" s="943">
        <f t="shared" si="23"/>
        <v>1.2262342593526654E-2</v>
      </c>
      <c r="M25" s="943">
        <f t="shared" si="23"/>
        <v>2.2189000634230238E-2</v>
      </c>
      <c r="N25" s="943">
        <f t="shared" si="23"/>
        <v>1.972185536124238E-2</v>
      </c>
      <c r="O25" s="943">
        <f t="shared" si="23"/>
        <v>1.6072111539932488E-2</v>
      </c>
      <c r="P25" s="943">
        <f t="shared" si="23"/>
        <v>1.976166237499255E-2</v>
      </c>
      <c r="Q25" s="943">
        <f t="shared" si="23"/>
        <v>2.3137001585530559E-2</v>
      </c>
      <c r="R25" s="943">
        <f t="shared" si="23"/>
        <v>3.395347693115025E-2</v>
      </c>
      <c r="S25" s="944">
        <f t="shared" si="23"/>
        <v>1.4353459897542553E-3</v>
      </c>
      <c r="T25" s="943">
        <f t="shared" si="23"/>
        <v>2.8269838378878198E-3</v>
      </c>
      <c r="U25" s="943">
        <f t="shared" si="23"/>
        <v>-5.2590018951358397E-3</v>
      </c>
      <c r="V25" s="943">
        <f t="shared" si="23"/>
        <v>-9.3193833648214097E-3</v>
      </c>
      <c r="W25" s="943">
        <f t="shared" si="23"/>
        <v>9.9439102564102821E-3</v>
      </c>
      <c r="X25" s="943">
        <f t="shared" si="23"/>
        <v>-2.7768741917311157E-4</v>
      </c>
      <c r="Y25" s="943">
        <f t="shared" si="23"/>
        <v>9.5154199006395324E-3</v>
      </c>
      <c r="Z25" s="943">
        <f t="shared" si="23"/>
        <v>4.0485829959513442E-3</v>
      </c>
      <c r="AA25" s="943">
        <f t="shared" si="23"/>
        <v>5.7547760726590624E-3</v>
      </c>
      <c r="AB25" s="943">
        <f t="shared" si="23"/>
        <v>5.8321713328954861E-3</v>
      </c>
      <c r="AC25" s="943">
        <f t="shared" si="23"/>
        <v>5.9029392406417802E-3</v>
      </c>
      <c r="AD25" s="943">
        <f t="shared" si="23"/>
        <v>5.8224429274513767E-3</v>
      </c>
      <c r="AE25" s="943">
        <f t="shared" si="23"/>
        <v>5.7244931689288681E-3</v>
      </c>
      <c r="AF25" s="944">
        <f t="shared" si="23"/>
        <v>5.6709194747803782E-3</v>
      </c>
      <c r="AG25" s="944">
        <f t="shared" ref="AG25" si="24">(AG16+1)^0.25-1</f>
        <v>5.6830615202378976E-3</v>
      </c>
      <c r="AH25" s="944">
        <f>(AH16+1)^0.25-1</f>
        <v>5.7131709559976596E-3</v>
      </c>
      <c r="AI25" s="944">
        <f>(AI16+1)^0.25-1</f>
        <v>5.8095775409217065E-3</v>
      </c>
      <c r="AJ25" s="944">
        <f>(AJ16+1)^0.25-1</f>
        <v>5.790283149815334E-3</v>
      </c>
    </row>
    <row r="26" spans="2:36" x14ac:dyDescent="0.35">
      <c r="B26" s="922" t="s">
        <v>1712</v>
      </c>
      <c r="C26" s="953"/>
      <c r="D26" s="943">
        <f t="shared" ref="D26:AF26" si="25">(D18+1)^0.25-1</f>
        <v>3.0686539854383188E-3</v>
      </c>
      <c r="E26" s="943">
        <f t="shared" si="25"/>
        <v>-6.8215934786326482E-3</v>
      </c>
      <c r="F26" s="943">
        <f t="shared" si="25"/>
        <v>6.8206168209994367E-3</v>
      </c>
      <c r="G26" s="943">
        <f t="shared" si="25"/>
        <v>3.838516280439741E-3</v>
      </c>
      <c r="H26" s="943">
        <f t="shared" si="25"/>
        <v>6.757971851248934E-3</v>
      </c>
      <c r="I26" s="943">
        <f t="shared" si="25"/>
        <v>1.5286696061748373E-2</v>
      </c>
      <c r="J26" s="943">
        <f t="shared" si="25"/>
        <v>-7.7782819256788649E-4</v>
      </c>
      <c r="K26" s="943">
        <f t="shared" si="25"/>
        <v>1.2473473018932424E-2</v>
      </c>
      <c r="L26" s="943">
        <f t="shared" si="25"/>
        <v>1.3839183561393131E-2</v>
      </c>
      <c r="M26" s="943">
        <f t="shared" si="25"/>
        <v>2.3797701481488298E-2</v>
      </c>
      <c r="N26" s="943">
        <f t="shared" si="25"/>
        <v>1.8950115958131564E-2</v>
      </c>
      <c r="O26" s="943">
        <f t="shared" si="25"/>
        <v>1.4902381611741955E-2</v>
      </c>
      <c r="P26" s="943">
        <f t="shared" si="25"/>
        <v>1.7719187543701054E-2</v>
      </c>
      <c r="Q26" s="943">
        <f t="shared" si="25"/>
        <v>2.1792680474562731E-2</v>
      </c>
      <c r="R26" s="943">
        <f t="shared" si="25"/>
        <v>3.413610161291647E-2</v>
      </c>
      <c r="S26" s="944">
        <f t="shared" si="25"/>
        <v>-2.9496653874211409E-3</v>
      </c>
      <c r="T26" s="943">
        <f t="shared" si="25"/>
        <v>5.4873393561516437E-4</v>
      </c>
      <c r="U26" s="943">
        <f t="shared" si="25"/>
        <v>-9.0213253002472404E-3</v>
      </c>
      <c r="V26" s="943">
        <f t="shared" si="25"/>
        <v>-1.1517669516674878E-2</v>
      </c>
      <c r="W26" s="943">
        <f t="shared" si="25"/>
        <v>1.1822268382531975E-2</v>
      </c>
      <c r="X26" s="943">
        <f t="shared" si="25"/>
        <v>-1.0665682964577927E-3</v>
      </c>
      <c r="Y26" s="943">
        <f t="shared" si="25"/>
        <v>1.0380039497134064E-2</v>
      </c>
      <c r="Z26" s="943">
        <f t="shared" si="25"/>
        <v>4.8308027236829698E-3</v>
      </c>
      <c r="AA26" s="943">
        <f t="shared" si="25"/>
        <v>5.2345671202764787E-3</v>
      </c>
      <c r="AB26" s="943">
        <f t="shared" si="25"/>
        <v>5.8321713328954861E-3</v>
      </c>
      <c r="AC26" s="943">
        <f t="shared" si="25"/>
        <v>5.9029392406417802E-3</v>
      </c>
      <c r="AD26" s="943">
        <f t="shared" si="25"/>
        <v>5.8224429274513767E-3</v>
      </c>
      <c r="AE26" s="943">
        <f t="shared" si="25"/>
        <v>5.7244931689288681E-3</v>
      </c>
      <c r="AF26" s="944">
        <f t="shared" si="25"/>
        <v>5.6709194747803782E-3</v>
      </c>
      <c r="AG26" s="944">
        <f t="shared" ref="AG26" si="26">(AG18+1)^0.25-1</f>
        <v>5.6830615202378976E-3</v>
      </c>
      <c r="AH26" s="944">
        <f>(AH18+1)^0.25-1</f>
        <v>5.7131709559976596E-3</v>
      </c>
      <c r="AI26" s="944">
        <f>(AI18+1)^0.25-1</f>
        <v>5.8095775409217065E-3</v>
      </c>
      <c r="AJ26" s="944">
        <f>(AJ18+1)^0.25-1</f>
        <v>5.790283149815334E-3</v>
      </c>
    </row>
    <row r="27" spans="2:36" x14ac:dyDescent="0.35">
      <c r="B27" s="923" t="s">
        <v>1713</v>
      </c>
      <c r="C27" s="954"/>
      <c r="D27" s="955">
        <f t="shared" ref="D27:AF27" si="27">(D20+1)^0.25-1</f>
        <v>1.0086913000375342E-2</v>
      </c>
      <c r="E27" s="955">
        <f t="shared" si="27"/>
        <v>3.7734051169659999E-3</v>
      </c>
      <c r="F27" s="955">
        <f t="shared" si="27"/>
        <v>1.0508728795056044E-2</v>
      </c>
      <c r="G27" s="955">
        <f t="shared" si="27"/>
        <v>4.3589358184279448E-3</v>
      </c>
      <c r="H27" s="955">
        <f t="shared" si="27"/>
        <v>1.8987578569289454E-3</v>
      </c>
      <c r="I27" s="955">
        <f t="shared" si="27"/>
        <v>2.520655370396474E-3</v>
      </c>
      <c r="J27" s="955">
        <f t="shared" si="27"/>
        <v>-3.6038552870513163E-3</v>
      </c>
      <c r="K27" s="955">
        <f t="shared" si="27"/>
        <v>9.8039215686274161E-3</v>
      </c>
      <c r="L27" s="955">
        <f t="shared" si="27"/>
        <v>5.044101178190985E-3</v>
      </c>
      <c r="M27" s="955">
        <f t="shared" si="27"/>
        <v>1.4595918668041996E-2</v>
      </c>
      <c r="N27" s="955">
        <f t="shared" si="27"/>
        <v>2.3135500149758847E-2</v>
      </c>
      <c r="O27" s="955">
        <f t="shared" si="27"/>
        <v>2.1601050334439265E-2</v>
      </c>
      <c r="P27" s="955">
        <f t="shared" si="27"/>
        <v>2.9784388812184703E-2</v>
      </c>
      <c r="Q27" s="955">
        <f t="shared" si="27"/>
        <v>2.9732441753590244E-2</v>
      </c>
      <c r="R27" s="955">
        <f t="shared" si="27"/>
        <v>3.2952005044342814E-2</v>
      </c>
      <c r="S27" s="956">
        <f t="shared" si="27"/>
        <v>2.3069422313125587E-2</v>
      </c>
      <c r="T27" s="955">
        <f t="shared" si="27"/>
        <v>1.3514037086113317E-2</v>
      </c>
      <c r="U27" s="955">
        <f t="shared" si="27"/>
        <v>1.230169348981236E-2</v>
      </c>
      <c r="V27" s="955">
        <f t="shared" si="27"/>
        <v>5.2868493398983141E-4</v>
      </c>
      <c r="W27" s="955">
        <f t="shared" si="27"/>
        <v>1.464438304874971E-3</v>
      </c>
      <c r="X27" s="955">
        <f t="shared" si="27"/>
        <v>3.0075074622366582E-3</v>
      </c>
      <c r="Y27" s="955">
        <f t="shared" si="27"/>
        <v>5.8992838194293906E-3</v>
      </c>
      <c r="Z27" s="955">
        <f t="shared" si="27"/>
        <v>8.2927412365885189E-4</v>
      </c>
      <c r="AA27" s="955">
        <f t="shared" si="27"/>
        <v>7.9275620880392417E-3</v>
      </c>
      <c r="AB27" s="955">
        <f t="shared" si="27"/>
        <v>5.8321713328954861E-3</v>
      </c>
      <c r="AC27" s="955">
        <f t="shared" si="27"/>
        <v>5.9029392406417802E-3</v>
      </c>
      <c r="AD27" s="955">
        <f t="shared" si="27"/>
        <v>5.8224429274513767E-3</v>
      </c>
      <c r="AE27" s="955">
        <f t="shared" si="27"/>
        <v>5.7244931689288681E-3</v>
      </c>
      <c r="AF27" s="956">
        <f t="shared" si="27"/>
        <v>5.6709194747803782E-3</v>
      </c>
      <c r="AG27" s="956">
        <f t="shared" ref="AG27" si="28">(AG20+1)^0.25-1</f>
        <v>5.6830615202378976E-3</v>
      </c>
      <c r="AH27" s="956">
        <f>(AH20+1)^0.25-1</f>
        <v>5.7131709559976596E-3</v>
      </c>
      <c r="AI27" s="956">
        <f>(AI20+1)^0.25-1</f>
        <v>5.8095775409217065E-3</v>
      </c>
      <c r="AJ27" s="956">
        <f>(AJ20+1)^0.25-1</f>
        <v>5.790283149815334E-3</v>
      </c>
    </row>
    <row r="28" spans="2:36" x14ac:dyDescent="0.35">
      <c r="B28" s="57"/>
      <c r="C28" s="947"/>
      <c r="D28" s="921"/>
      <c r="E28" s="921"/>
      <c r="F28" s="921"/>
      <c r="G28" s="921"/>
      <c r="H28" s="921"/>
      <c r="I28" s="921"/>
      <c r="J28" s="921"/>
      <c r="K28" s="921"/>
      <c r="L28" s="921"/>
      <c r="M28" s="921"/>
      <c r="N28" s="921"/>
      <c r="O28" s="921"/>
      <c r="P28" s="921"/>
      <c r="Q28" s="921"/>
      <c r="R28" s="921"/>
      <c r="S28" s="921"/>
      <c r="T28" s="921"/>
      <c r="U28" s="921"/>
      <c r="V28" s="921"/>
      <c r="W28" s="921"/>
      <c r="X28" s="921"/>
      <c r="Y28" s="921"/>
      <c r="Z28" s="921"/>
      <c r="AA28" s="921"/>
      <c r="AB28" s="921"/>
      <c r="AC28" s="921"/>
      <c r="AD28" s="921"/>
      <c r="AE28" s="921"/>
      <c r="AF28" s="921"/>
    </row>
    <row r="29" spans="2:36" x14ac:dyDescent="0.35">
      <c r="B29" s="57"/>
      <c r="C29" s="947"/>
      <c r="D29" s="921"/>
      <c r="E29" s="921"/>
      <c r="F29" s="921"/>
      <c r="G29" s="921"/>
      <c r="H29" s="921"/>
      <c r="I29" s="921"/>
      <c r="J29" s="921"/>
      <c r="K29" s="921"/>
      <c r="L29" s="921"/>
      <c r="M29" s="921"/>
      <c r="N29" s="921"/>
      <c r="O29" s="921"/>
      <c r="P29" s="921"/>
      <c r="Q29" s="490"/>
      <c r="R29" s="921"/>
      <c r="S29" s="921"/>
      <c r="T29" s="921"/>
      <c r="U29" s="921"/>
      <c r="V29" s="921"/>
      <c r="W29" s="921"/>
      <c r="X29" s="921"/>
      <c r="Y29" s="921"/>
      <c r="Z29" s="921"/>
      <c r="AA29" s="921"/>
      <c r="AB29" s="921"/>
      <c r="AC29" s="921"/>
      <c r="AD29" s="921"/>
      <c r="AE29" s="921"/>
      <c r="AF29" s="921"/>
    </row>
    <row r="30" spans="2:36" x14ac:dyDescent="0.35">
      <c r="B30" s="57"/>
      <c r="C30" s="947"/>
      <c r="D30" s="921"/>
      <c r="E30" s="921"/>
      <c r="F30" s="921"/>
      <c r="G30" s="921"/>
      <c r="H30" s="921"/>
      <c r="I30" s="921"/>
      <c r="J30" s="921"/>
      <c r="K30" s="921"/>
      <c r="L30" s="921"/>
      <c r="M30" s="921"/>
      <c r="N30" s="921"/>
      <c r="O30" s="921"/>
      <c r="P30" s="921"/>
      <c r="Q30" s="490"/>
      <c r="R30" s="921"/>
      <c r="S30" s="921"/>
      <c r="T30" s="921"/>
      <c r="U30" s="921"/>
      <c r="V30" s="921"/>
      <c r="W30" s="921"/>
      <c r="X30" s="921"/>
      <c r="Y30" s="921"/>
      <c r="Z30" s="921"/>
      <c r="AA30" s="921"/>
      <c r="AB30" s="921"/>
      <c r="AC30" s="921"/>
      <c r="AD30" s="921"/>
      <c r="AE30" s="921"/>
      <c r="AF30" s="921"/>
    </row>
    <row r="31" spans="2:36" x14ac:dyDescent="0.35">
      <c r="B31" s="57"/>
      <c r="C31" s="947"/>
      <c r="D31" s="921"/>
      <c r="E31" s="921"/>
      <c r="F31" s="921"/>
      <c r="G31" s="921"/>
      <c r="H31" s="921"/>
      <c r="I31" s="921"/>
      <c r="J31" s="921"/>
      <c r="K31" s="921"/>
      <c r="L31" s="921"/>
      <c r="M31" s="921"/>
      <c r="N31" s="921"/>
      <c r="O31" s="921"/>
      <c r="P31" s="921"/>
      <c r="Q31" s="57"/>
      <c r="R31" s="921"/>
      <c r="S31" s="921"/>
      <c r="T31" s="921"/>
      <c r="U31" s="921"/>
      <c r="V31" s="921"/>
      <c r="W31" s="921"/>
      <c r="X31" s="921"/>
      <c r="Y31" s="921"/>
      <c r="Z31" s="921"/>
      <c r="AA31" s="921"/>
      <c r="AB31" s="921"/>
      <c r="AC31" s="921"/>
      <c r="AD31" s="921"/>
      <c r="AE31" s="921"/>
      <c r="AF31" s="921"/>
    </row>
    <row r="32" spans="2:36" x14ac:dyDescent="0.35">
      <c r="B32" s="57"/>
      <c r="C32" s="947"/>
      <c r="D32" s="921"/>
      <c r="E32" s="921"/>
      <c r="F32" s="921"/>
      <c r="G32" s="921"/>
      <c r="H32" s="921"/>
      <c r="I32" s="921"/>
      <c r="J32" s="921"/>
      <c r="K32" s="921"/>
      <c r="L32" s="921"/>
      <c r="M32" s="921"/>
      <c r="N32" s="921"/>
      <c r="O32" s="921"/>
      <c r="P32" s="921"/>
      <c r="Q32" s="57"/>
      <c r="R32" s="921"/>
      <c r="S32" s="921"/>
      <c r="T32" s="921"/>
      <c r="U32" s="921"/>
      <c r="V32" s="921"/>
      <c r="W32" s="921"/>
      <c r="X32" s="921"/>
      <c r="Y32" s="921"/>
      <c r="Z32" s="921"/>
      <c r="AA32" s="921"/>
      <c r="AB32" s="921"/>
      <c r="AC32" s="921"/>
      <c r="AD32" s="921"/>
      <c r="AE32" s="921"/>
      <c r="AF32" s="921"/>
    </row>
    <row r="33" spans="2:36" x14ac:dyDescent="0.35">
      <c r="B33" s="57"/>
      <c r="C33" s="947"/>
      <c r="D33" s="921"/>
      <c r="E33" s="921"/>
      <c r="F33" s="921"/>
      <c r="G33" s="921"/>
      <c r="H33" s="921"/>
      <c r="I33" s="921"/>
      <c r="J33" s="921"/>
      <c r="K33" s="921"/>
      <c r="L33" s="921"/>
      <c r="M33" s="921"/>
      <c r="N33" s="921"/>
      <c r="O33" s="921"/>
      <c r="P33" s="921"/>
      <c r="Q33" s="57"/>
      <c r="R33" s="921"/>
      <c r="S33" s="921"/>
      <c r="T33" s="921"/>
      <c r="U33" s="921"/>
      <c r="V33" s="921"/>
      <c r="W33" s="921"/>
      <c r="X33" s="921"/>
      <c r="Y33" s="921"/>
      <c r="Z33" s="921"/>
      <c r="AA33" s="921"/>
      <c r="AB33" s="921"/>
      <c r="AC33" s="921"/>
      <c r="AD33" s="921"/>
      <c r="AE33" s="921"/>
      <c r="AF33" s="921"/>
    </row>
    <row r="34" spans="2:36" x14ac:dyDescent="0.35">
      <c r="B34" s="57"/>
      <c r="C34" s="947"/>
      <c r="D34" s="921"/>
      <c r="E34" s="921"/>
      <c r="F34" s="921"/>
      <c r="G34" s="921"/>
      <c r="H34" s="921"/>
      <c r="I34" s="921"/>
      <c r="J34" s="921"/>
      <c r="K34" s="921"/>
      <c r="L34" s="921"/>
      <c r="M34" s="921"/>
      <c r="N34" s="921"/>
      <c r="O34" s="921"/>
      <c r="P34" s="921"/>
      <c r="Q34" s="57"/>
      <c r="R34" s="921"/>
      <c r="S34" s="921"/>
      <c r="T34" s="921"/>
      <c r="U34" s="921"/>
      <c r="V34" s="921"/>
      <c r="W34" s="921"/>
      <c r="X34" s="921"/>
      <c r="Y34" s="921"/>
      <c r="Z34" s="921"/>
      <c r="AA34" s="921"/>
      <c r="AB34" s="921"/>
      <c r="AC34" s="921"/>
      <c r="AD34" s="921"/>
      <c r="AE34" s="921"/>
      <c r="AF34" s="921"/>
    </row>
    <row r="35" spans="2:36" x14ac:dyDescent="0.35">
      <c r="B35" s="57"/>
      <c r="C35" s="947"/>
      <c r="D35" s="921"/>
      <c r="E35" s="921"/>
      <c r="F35" s="921"/>
      <c r="G35" s="921"/>
      <c r="H35" s="921"/>
      <c r="I35" s="921"/>
      <c r="J35" s="921"/>
      <c r="K35" s="921"/>
      <c r="L35" s="921"/>
      <c r="M35" s="921"/>
      <c r="N35" s="921"/>
      <c r="O35" s="921"/>
      <c r="P35" s="921"/>
      <c r="Q35" s="57"/>
      <c r="R35" s="921"/>
      <c r="S35" s="921"/>
      <c r="T35" s="921"/>
      <c r="U35" s="921"/>
      <c r="V35" s="921"/>
      <c r="W35" s="921"/>
      <c r="X35" s="921"/>
      <c r="Y35" s="921"/>
      <c r="Z35" s="921"/>
      <c r="AA35" s="921"/>
      <c r="AB35" s="921"/>
      <c r="AC35" s="921"/>
      <c r="AD35" s="921"/>
      <c r="AE35" s="921"/>
      <c r="AF35" s="921"/>
    </row>
    <row r="36" spans="2:36" x14ac:dyDescent="0.35">
      <c r="B36" s="57"/>
      <c r="C36" s="947"/>
      <c r="D36" s="921"/>
      <c r="E36" s="921"/>
      <c r="F36" s="921"/>
      <c r="G36" s="921"/>
      <c r="H36" s="921"/>
      <c r="I36" s="921"/>
      <c r="J36" s="921"/>
      <c r="K36" s="921"/>
      <c r="L36" s="921"/>
      <c r="M36" s="921"/>
      <c r="N36" s="921"/>
      <c r="O36" s="921"/>
      <c r="P36" s="921"/>
      <c r="Q36" s="57"/>
      <c r="R36" s="921"/>
      <c r="S36" s="921"/>
      <c r="T36" s="921"/>
      <c r="U36" s="921"/>
      <c r="V36" s="921"/>
      <c r="W36" s="921"/>
      <c r="X36" s="921"/>
      <c r="Y36" s="921"/>
      <c r="Z36" s="921"/>
      <c r="AA36" s="921"/>
      <c r="AB36" s="921"/>
      <c r="AC36" s="921"/>
      <c r="AD36" s="921"/>
      <c r="AE36" s="921"/>
      <c r="AF36" s="921"/>
    </row>
    <row r="37" spans="2:36" x14ac:dyDescent="0.35">
      <c r="B37" s="57"/>
      <c r="C37" s="947"/>
      <c r="D37" s="921"/>
      <c r="E37" s="921"/>
      <c r="F37" s="921"/>
      <c r="G37" s="921"/>
      <c r="H37" s="921"/>
      <c r="I37" s="921"/>
      <c r="J37" s="921"/>
      <c r="K37" s="921"/>
      <c r="L37" s="921"/>
      <c r="M37" s="921"/>
      <c r="N37" s="921"/>
      <c r="O37" s="921"/>
      <c r="P37" s="921"/>
      <c r="Q37" s="57"/>
      <c r="R37" s="921"/>
      <c r="S37" s="921"/>
      <c r="T37" s="921"/>
      <c r="U37" s="921"/>
      <c r="V37" s="921"/>
      <c r="W37" s="921"/>
      <c r="X37" s="921"/>
      <c r="Y37" s="921"/>
      <c r="Z37" s="921"/>
      <c r="AA37" s="921"/>
      <c r="AB37" s="921"/>
      <c r="AC37" s="921"/>
      <c r="AD37" s="921"/>
      <c r="AE37" s="921"/>
      <c r="AF37" s="921"/>
    </row>
    <row r="38" spans="2:36" x14ac:dyDescent="0.35">
      <c r="B38" s="57"/>
      <c r="C38" s="947"/>
      <c r="D38" s="921"/>
      <c r="E38" s="921"/>
      <c r="F38" s="921"/>
      <c r="G38" s="921"/>
      <c r="H38" s="921"/>
      <c r="I38" s="921"/>
      <c r="J38" s="921"/>
      <c r="K38" s="921"/>
      <c r="L38" s="921"/>
      <c r="M38" s="921"/>
      <c r="N38" s="921"/>
      <c r="O38" s="921"/>
      <c r="P38" s="921"/>
      <c r="Q38" s="57"/>
      <c r="R38" s="921"/>
      <c r="S38" s="921"/>
      <c r="T38" s="921"/>
      <c r="U38" s="921"/>
      <c r="V38" s="921"/>
      <c r="W38" s="921"/>
      <c r="X38" s="921"/>
      <c r="Y38" s="921"/>
      <c r="Z38" s="921"/>
      <c r="AA38" s="921"/>
      <c r="AB38" s="921"/>
      <c r="AC38" s="921"/>
      <c r="AD38" s="921"/>
      <c r="AE38" s="921"/>
      <c r="AF38" s="921"/>
    </row>
    <row r="39" spans="2:36" x14ac:dyDescent="0.35">
      <c r="B39" s="57"/>
      <c r="C39" s="947"/>
      <c r="D39" s="921"/>
      <c r="E39" s="921"/>
      <c r="F39" s="921"/>
      <c r="G39" s="921"/>
      <c r="H39" s="921"/>
      <c r="I39" s="921"/>
      <c r="J39" s="921"/>
      <c r="K39" s="921"/>
      <c r="L39" s="921"/>
      <c r="M39" s="921"/>
      <c r="N39" s="921"/>
      <c r="O39" s="921"/>
      <c r="P39" s="921"/>
      <c r="Q39" s="921"/>
      <c r="R39" s="921"/>
      <c r="S39" s="921"/>
      <c r="T39" s="921"/>
      <c r="U39" s="921"/>
      <c r="V39" s="921"/>
      <c r="W39" s="921"/>
      <c r="X39" s="921"/>
      <c r="Y39" s="921"/>
      <c r="Z39" s="921"/>
      <c r="AA39" s="921"/>
      <c r="AB39" s="921"/>
      <c r="AC39" s="921"/>
      <c r="AD39" s="921"/>
      <c r="AE39" s="921"/>
      <c r="AF39" s="921"/>
    </row>
    <row r="40" spans="2:36" x14ac:dyDescent="0.35">
      <c r="B40" s="57"/>
      <c r="C40" s="947"/>
      <c r="D40" s="921"/>
      <c r="E40" s="921"/>
      <c r="F40" s="921"/>
      <c r="G40" s="921"/>
      <c r="H40" s="921"/>
      <c r="I40" s="921"/>
      <c r="J40" s="921"/>
      <c r="K40" s="921"/>
      <c r="L40" s="921"/>
      <c r="M40" s="921"/>
      <c r="N40" s="921"/>
      <c r="O40" s="921"/>
      <c r="P40" s="921"/>
      <c r="Q40" s="921"/>
      <c r="R40" s="921"/>
      <c r="S40" s="921"/>
      <c r="T40" s="921"/>
      <c r="U40" s="921"/>
      <c r="V40" s="921"/>
      <c r="W40" s="921"/>
      <c r="X40" s="921"/>
      <c r="Y40" s="921"/>
      <c r="Z40" s="921"/>
      <c r="AA40" s="921"/>
      <c r="AB40" s="921"/>
      <c r="AC40" s="921"/>
      <c r="AD40" s="921"/>
      <c r="AE40" s="921"/>
      <c r="AF40" s="921"/>
    </row>
    <row r="41" spans="2:36" x14ac:dyDescent="0.35">
      <c r="B41" s="949" t="s">
        <v>1826</v>
      </c>
      <c r="C41" s="949"/>
      <c r="D41" s="245"/>
      <c r="E41" s="245"/>
      <c r="F41" s="245"/>
      <c r="G41" s="245"/>
      <c r="H41" s="245"/>
      <c r="I41" s="245"/>
      <c r="J41" s="245"/>
      <c r="K41" s="245"/>
      <c r="L41" s="245"/>
      <c r="M41" s="245"/>
      <c r="N41" s="245"/>
      <c r="O41" s="245"/>
      <c r="P41" s="245"/>
      <c r="Q41" s="245"/>
      <c r="R41" s="245"/>
      <c r="S41" s="245"/>
      <c r="T41" s="245"/>
      <c r="U41" s="245"/>
      <c r="V41" s="245"/>
      <c r="W41" s="245"/>
      <c r="X41" s="245"/>
      <c r="Y41" s="245"/>
      <c r="Z41" s="245"/>
      <c r="AA41" s="245"/>
      <c r="AB41" s="245"/>
      <c r="AC41" s="245"/>
    </row>
    <row r="42" spans="2:36" x14ac:dyDescent="0.35">
      <c r="B42" s="1276" t="s">
        <v>1708</v>
      </c>
      <c r="C42" s="1277"/>
      <c r="D42" s="1338" t="s">
        <v>1732</v>
      </c>
      <c r="E42" s="1339"/>
      <c r="F42" s="1339"/>
      <c r="G42" s="1339"/>
      <c r="H42" s="1339"/>
      <c r="I42" s="1339"/>
      <c r="J42" s="1339"/>
      <c r="K42" s="1339"/>
      <c r="L42" s="1339"/>
      <c r="M42" s="1339"/>
      <c r="N42" s="1339"/>
      <c r="O42" s="1339"/>
      <c r="P42" s="1339"/>
      <c r="Q42" s="1339"/>
      <c r="R42" s="1339"/>
      <c r="S42" s="1339"/>
      <c r="T42" s="1339"/>
      <c r="U42" s="1339"/>
      <c r="V42" s="1339"/>
      <c r="W42" s="1304" t="s">
        <v>1740</v>
      </c>
      <c r="X42" s="1304"/>
      <c r="Y42" s="1304"/>
      <c r="Z42" s="1304"/>
      <c r="AA42" s="1304"/>
      <c r="AB42" s="1304"/>
      <c r="AC42" s="1304"/>
      <c r="AD42" s="1304"/>
      <c r="AE42" s="1304"/>
      <c r="AF42" s="1304"/>
      <c r="AG42" s="1304"/>
    </row>
    <row r="43" spans="2:36" x14ac:dyDescent="0.35">
      <c r="B43" s="1278"/>
      <c r="C43" s="1279"/>
      <c r="D43" s="212">
        <v>2018</v>
      </c>
      <c r="E43" s="1273">
        <v>2019</v>
      </c>
      <c r="F43" s="1274"/>
      <c r="G43" s="1274"/>
      <c r="H43" s="1275"/>
      <c r="I43" s="1273">
        <v>2020</v>
      </c>
      <c r="J43" s="1274"/>
      <c r="K43" s="1274"/>
      <c r="L43" s="1274"/>
      <c r="M43" s="1273">
        <v>2021</v>
      </c>
      <c r="N43" s="1274"/>
      <c r="O43" s="1274"/>
      <c r="P43" s="1274"/>
      <c r="Q43" s="1282">
        <v>2022</v>
      </c>
      <c r="R43" s="1305"/>
      <c r="S43" s="1305"/>
      <c r="T43" s="1284"/>
      <c r="U43" s="238"/>
      <c r="V43" s="556">
        <v>2023</v>
      </c>
      <c r="W43" s="285"/>
      <c r="X43" s="285"/>
      <c r="Y43" s="1268">
        <v>2024</v>
      </c>
      <c r="Z43" s="1269"/>
      <c r="AA43" s="1269"/>
      <c r="AB43" s="1270"/>
      <c r="AC43" s="1268">
        <v>2025</v>
      </c>
      <c r="AD43" s="1269"/>
      <c r="AE43" s="1269"/>
      <c r="AF43" s="1269"/>
      <c r="AG43" s="1268">
        <v>2026</v>
      </c>
      <c r="AH43" s="1292"/>
      <c r="AI43" s="1292"/>
      <c r="AJ43" s="1270"/>
    </row>
    <row r="44" spans="2:36" x14ac:dyDescent="0.35">
      <c r="B44" s="1280"/>
      <c r="C44" s="1281"/>
      <c r="D44" s="212" t="s">
        <v>281</v>
      </c>
      <c r="E44" s="212" t="s">
        <v>282</v>
      </c>
      <c r="F44" s="213" t="s">
        <v>283</v>
      </c>
      <c r="G44" s="213" t="s">
        <v>238</v>
      </c>
      <c r="H44" s="214" t="s">
        <v>281</v>
      </c>
      <c r="I44" s="213" t="s">
        <v>282</v>
      </c>
      <c r="J44" s="213" t="s">
        <v>283</v>
      </c>
      <c r="K44" s="213" t="s">
        <v>238</v>
      </c>
      <c r="L44" s="213" t="s">
        <v>281</v>
      </c>
      <c r="M44" s="212" t="s">
        <v>282</v>
      </c>
      <c r="N44" s="213" t="s">
        <v>283</v>
      </c>
      <c r="O44" s="213" t="s">
        <v>238</v>
      </c>
      <c r="P44" s="213" t="s">
        <v>281</v>
      </c>
      <c r="Q44" s="212" t="s">
        <v>282</v>
      </c>
      <c r="R44" s="213" t="s">
        <v>283</v>
      </c>
      <c r="S44" s="213" t="s">
        <v>238</v>
      </c>
      <c r="T44" s="214" t="s">
        <v>281</v>
      </c>
      <c r="U44" s="212" t="s">
        <v>282</v>
      </c>
      <c r="V44" s="213" t="s">
        <v>283</v>
      </c>
      <c r="W44" s="329" t="s">
        <v>238</v>
      </c>
      <c r="X44" s="329" t="s">
        <v>281</v>
      </c>
      <c r="Y44" s="430" t="s">
        <v>282</v>
      </c>
      <c r="Z44" s="336" t="s">
        <v>283</v>
      </c>
      <c r="AA44" s="329" t="s">
        <v>238</v>
      </c>
      <c r="AB44" s="429" t="s">
        <v>281</v>
      </c>
      <c r="AC44" s="266" t="s">
        <v>282</v>
      </c>
      <c r="AD44" s="329" t="s">
        <v>283</v>
      </c>
      <c r="AE44" s="329" t="s">
        <v>238</v>
      </c>
      <c r="AF44" s="329" t="s">
        <v>281</v>
      </c>
      <c r="AG44" s="266" t="s">
        <v>282</v>
      </c>
      <c r="AH44" s="264" t="s">
        <v>283</v>
      </c>
      <c r="AI44" s="267" t="s">
        <v>238</v>
      </c>
      <c r="AJ44" s="268" t="s">
        <v>281</v>
      </c>
    </row>
    <row r="45" spans="2:36" x14ac:dyDescent="0.35">
      <c r="B45" s="957" t="s">
        <v>1902</v>
      </c>
      <c r="C45" s="972"/>
      <c r="D45" s="966">
        <f>('Haver Pivoted'!GO76+1)^4-1</f>
        <v>1.5264497223703488E-2</v>
      </c>
      <c r="E45" s="952">
        <f>('Haver Pivoted'!GP76+1)^4-1</f>
        <v>8.1697245486058723E-3</v>
      </c>
      <c r="F45" s="952">
        <f>('Haver Pivoted'!GQ76+1)^4-1</f>
        <v>2.2550676192391039E-2</v>
      </c>
      <c r="G45" s="952">
        <f>('Haver Pivoted'!GR76+1)^4-1</f>
        <v>9.6649063963889503E-3</v>
      </c>
      <c r="H45" s="952">
        <f>('Haver Pivoted'!GS76+1)^4-1</f>
        <v>1.5834666967584843E-2</v>
      </c>
      <c r="I45" s="952">
        <f>('Haver Pivoted'!GT76+1)^4-1</f>
        <v>1.239349514115573E-2</v>
      </c>
      <c r="J45" s="952">
        <f>('Haver Pivoted'!GU76+1)^4-1</f>
        <v>-1.5843080973497181E-2</v>
      </c>
      <c r="K45" s="952">
        <f>('Haver Pivoted'!GV76+1)^4-1</f>
        <v>3.2862675445769929E-2</v>
      </c>
      <c r="L45" s="952">
        <f>('Haver Pivoted'!GW76+1)^4-1</f>
        <v>1.9524743592179927E-2</v>
      </c>
      <c r="M45" s="952">
        <f>('Haver Pivoted'!GX76+1)^4-1</f>
        <v>4.5919222990944863E-2</v>
      </c>
      <c r="N45" s="952">
        <f>('Haver Pivoted'!GY76+1)^4-1</f>
        <v>6.3763215063124212E-2</v>
      </c>
      <c r="O45" s="952">
        <f>('Haver Pivoted'!GZ76+1)^4-1</f>
        <v>5.6353404292981857E-2</v>
      </c>
      <c r="P45" s="952">
        <f>('Haver Pivoted'!HA76+1)^4-1</f>
        <v>6.7661635913466744E-2</v>
      </c>
      <c r="Q45" s="952">
        <f>('Haver Pivoted'!HB76+1)^4-1</f>
        <v>7.7270298955965933E-2</v>
      </c>
      <c r="R45" s="952">
        <f>('Haver Pivoted'!HC76+1)^4-1</f>
        <v>7.554614845470442E-2</v>
      </c>
      <c r="S45" s="967">
        <f>('Haver Pivoted'!HD76+1)^4-1</f>
        <v>4.7220953130670873E-2</v>
      </c>
      <c r="T45" s="951">
        <f>('Haver Pivoted'!HE76+1)^4-1</f>
        <v>4.0176508092810925E-2</v>
      </c>
      <c r="U45" s="967">
        <f>('Haver Pivoted'!HF76+1)^4-1</f>
        <v>3.9428535960380762E-2</v>
      </c>
      <c r="V45" s="967">
        <f>('Haver Pivoted'!HG76+1)^4-1</f>
        <v>2.9211734875661532E-2</v>
      </c>
      <c r="W45" s="967">
        <f>('Haver Pivoted'!HH76+1)^4-1</f>
        <v>2.6927277215065937E-2</v>
      </c>
      <c r="X45" s="967">
        <f>('Haver Pivoted'!HI76+1)^4-1</f>
        <v>1.6533593023621451E-2</v>
      </c>
      <c r="Y45" s="967">
        <f>('Haver Pivoted'!HJ76+1)^4-1</f>
        <v>3.4247515494288061E-2</v>
      </c>
      <c r="Z45" s="967">
        <f>('Haver Pivoted'!HK76+1)^4-1</f>
        <v>2.5312909540798456E-2</v>
      </c>
      <c r="AA45" s="967">
        <f>('Haver Pivoted'!HL76+1)^4-1</f>
        <v>1.4976918865358124E-2</v>
      </c>
      <c r="AB45" s="975">
        <f>AB46+AB47</f>
        <v>2.19858362979925E-2</v>
      </c>
      <c r="AC45" s="975">
        <f t="shared" ref="AB45:AF45" si="29">AC46+AC47</f>
        <v>2.089603364592264E-2</v>
      </c>
      <c r="AD45" s="975">
        <f t="shared" si="29"/>
        <v>2.0776747995004643E-2</v>
      </c>
      <c r="AE45" s="975">
        <f t="shared" si="29"/>
        <v>2.0708760783051394E-2</v>
      </c>
      <c r="AF45" s="975">
        <f t="shared" si="29"/>
        <v>2.0110814282412459E-2</v>
      </c>
      <c r="AG45" s="921">
        <f t="shared" ref="AG45" si="30">AG46+AG47</f>
        <v>1.9760549063349009E-2</v>
      </c>
      <c r="AH45" s="921">
        <f>AH46+AH47</f>
        <v>1.9516602813602013E-2</v>
      </c>
      <c r="AI45" s="921">
        <f t="shared" ref="AI45:AJ45" si="31">AI46+AI47</f>
        <v>1.931367329950362E-2</v>
      </c>
      <c r="AJ45" s="921">
        <f t="shared" si="31"/>
        <v>1.911249634450618E-2</v>
      </c>
    </row>
    <row r="46" spans="2:36" x14ac:dyDescent="0.35">
      <c r="B46" s="82" t="s">
        <v>1901</v>
      </c>
      <c r="C46" s="947" t="s">
        <v>1698</v>
      </c>
      <c r="D46" s="976">
        <f>('Haver Pivoted'!GO76+1)^4-1</f>
        <v>1.5264497223703488E-2</v>
      </c>
      <c r="E46" s="976">
        <f>('Haver Pivoted'!GP76+1)^4-1</f>
        <v>8.1697245486058723E-3</v>
      </c>
      <c r="F46" s="976">
        <f>('Haver Pivoted'!GQ76+1)^4-1</f>
        <v>2.2550676192391039E-2</v>
      </c>
      <c r="G46" s="976">
        <f>('Haver Pivoted'!GR76+1)^4-1</f>
        <v>9.6649063963889503E-3</v>
      </c>
      <c r="H46" s="976">
        <f>('Haver Pivoted'!GS76+1)^4-1</f>
        <v>1.5834666967584843E-2</v>
      </c>
      <c r="I46" s="976">
        <f>('Haver Pivoted'!GT76+1)^4-1</f>
        <v>1.239349514115573E-2</v>
      </c>
      <c r="J46" s="976">
        <f>('Haver Pivoted'!GU76+1)^4-1</f>
        <v>-1.5843080973497181E-2</v>
      </c>
      <c r="K46" s="976">
        <f>('Haver Pivoted'!GV76+1)^4-1</f>
        <v>3.2862675445769929E-2</v>
      </c>
      <c r="L46" s="976">
        <f>('Haver Pivoted'!GW76+1)^4-1</f>
        <v>1.9524743592179927E-2</v>
      </c>
      <c r="M46" s="976">
        <f>('Haver Pivoted'!GX76+1)^4-1</f>
        <v>4.5919222990944863E-2</v>
      </c>
      <c r="N46" s="921">
        <f>('Haver Pivoted'!GY76+1)^4-1</f>
        <v>6.3763215063124212E-2</v>
      </c>
      <c r="O46" s="921">
        <f>('Haver Pivoted'!GZ76+1)^4-1</f>
        <v>5.6353404292981857E-2</v>
      </c>
      <c r="P46" s="921">
        <f>('Haver Pivoted'!HA76+1)^4-1</f>
        <v>6.7661635913466744E-2</v>
      </c>
      <c r="Q46" s="921">
        <f>('Haver Pivoted'!HB76+1)^4-1</f>
        <v>7.7270298955965933E-2</v>
      </c>
      <c r="R46" s="921">
        <f>('Haver Pivoted'!HC76+1)^4-1</f>
        <v>7.554614845470442E-2</v>
      </c>
      <c r="S46" s="921">
        <f>('Haver Pivoted'!HD76+1)^4-1</f>
        <v>4.7220953130670873E-2</v>
      </c>
      <c r="T46" s="921">
        <f>('Haver Pivoted'!HE76+1)^4-1</f>
        <v>4.0176508092810925E-2</v>
      </c>
      <c r="U46" s="921">
        <f>('Haver Pivoted'!HF76+1)^4-1</f>
        <v>3.9428535960380762E-2</v>
      </c>
      <c r="V46" s="921">
        <f>('Haver Pivoted'!HG76+1)^4-1</f>
        <v>2.9211734875661532E-2</v>
      </c>
      <c r="W46" s="921">
        <f>('Haver Pivoted'!HH76+1)^4-1</f>
        <v>2.6927277215065937E-2</v>
      </c>
      <c r="X46" s="921">
        <f>('Haver Pivoted'!HI76+1)^4-1</f>
        <v>1.6533593023621451E-2</v>
      </c>
      <c r="Y46" s="921">
        <f>(Y71/X71)^4-1</f>
        <v>3.3974968431316865E-2</v>
      </c>
      <c r="Z46" s="921">
        <f t="shared" ref="Z46:AG46" si="32">(Z71/Y71)^4-1</f>
        <v>3.173474992777825E-2</v>
      </c>
      <c r="AA46" s="921">
        <f>(AA71/Z71)^4-1</f>
        <v>2.2474645472145172E-2</v>
      </c>
      <c r="AB46" s="921">
        <f t="shared" si="32"/>
        <v>2.0485836297992499E-2</v>
      </c>
      <c r="AC46" s="921">
        <f t="shared" si="32"/>
        <v>2.1796033645922641E-2</v>
      </c>
      <c r="AD46" s="921">
        <f t="shared" si="32"/>
        <v>2.1576747995004641E-2</v>
      </c>
      <c r="AE46" s="921">
        <f t="shared" si="32"/>
        <v>2.0708760783051394E-2</v>
      </c>
      <c r="AF46" s="921">
        <f t="shared" si="32"/>
        <v>2.0110814282412459E-2</v>
      </c>
      <c r="AG46" s="921">
        <f t="shared" si="32"/>
        <v>1.9760549063349009E-2</v>
      </c>
      <c r="AH46" s="921">
        <f>(AH71/AG71)^4-1</f>
        <v>1.9516602813602013E-2</v>
      </c>
      <c r="AI46" s="921">
        <f t="shared" ref="AI46" si="33">(AI71/AH71)^4-1</f>
        <v>1.931367329950362E-2</v>
      </c>
      <c r="AJ46" s="921">
        <f>(AJ71/AI71)^4-1</f>
        <v>1.911249634450618E-2</v>
      </c>
    </row>
    <row r="47" spans="2:36" x14ac:dyDescent="0.35">
      <c r="B47" s="82" t="s">
        <v>1903</v>
      </c>
      <c r="C47" s="947"/>
      <c r="D47" s="976"/>
      <c r="E47" s="921"/>
      <c r="F47" s="921"/>
      <c r="G47" s="921"/>
      <c r="H47" s="921"/>
      <c r="I47" s="921"/>
      <c r="J47" s="921"/>
      <c r="K47" s="921"/>
      <c r="L47" s="921"/>
      <c r="M47" s="921"/>
      <c r="N47" s="921"/>
      <c r="O47" s="921"/>
      <c r="P47" s="921"/>
      <c r="Q47" s="921"/>
      <c r="R47" s="921"/>
      <c r="S47" s="921"/>
      <c r="T47" s="921"/>
      <c r="U47" s="921"/>
      <c r="V47" s="921"/>
      <c r="W47" s="921"/>
      <c r="X47" s="921"/>
      <c r="Y47" s="921"/>
      <c r="Z47" s="921"/>
      <c r="AA47" s="921">
        <v>-7.4999999999999997E-3</v>
      </c>
      <c r="AB47" s="921">
        <v>1.5E-3</v>
      </c>
      <c r="AC47" s="921">
        <v>-8.9999999999999998E-4</v>
      </c>
      <c r="AD47" s="921">
        <v>-8.0000000000000004E-4</v>
      </c>
      <c r="AE47" s="921"/>
      <c r="AF47" s="921"/>
      <c r="AG47" s="921"/>
    </row>
    <row r="48" spans="2:36" x14ac:dyDescent="0.35">
      <c r="B48" s="68" t="s">
        <v>1710</v>
      </c>
      <c r="C48" s="947" t="s">
        <v>1699</v>
      </c>
      <c r="D48" s="976">
        <f>('Haver Pivoted'!GO77+1)^4-1</f>
        <v>2.9477765289275926E-2</v>
      </c>
      <c r="E48" s="921">
        <f>('Haver Pivoted'!GP77+1)^4-1</f>
        <v>3.7241332054374521E-2</v>
      </c>
      <c r="F48" s="921">
        <f>('Haver Pivoted'!GQ77+1)^4-1</f>
        <v>-2.6356011696502479E-2</v>
      </c>
      <c r="G48" s="921">
        <f>('Haver Pivoted'!GR77+1)^4-1</f>
        <v>3.7347692764231333E-3</v>
      </c>
      <c r="H48" s="921">
        <f>('Haver Pivoted'!GS77+1)^4-1</f>
        <v>1.463826004028701E-2</v>
      </c>
      <c r="I48" s="921">
        <f>('Haver Pivoted'!GT77+1)^4-1</f>
        <v>1.2149501243322813E-2</v>
      </c>
      <c r="J48" s="921">
        <f>('Haver Pivoted'!GU77+1)^4-1</f>
        <v>2.5590697877679869E-3</v>
      </c>
      <c r="K48" s="921">
        <f>('Haver Pivoted'!GV77+1)^4-1</f>
        <v>2.2030538597398897E-2</v>
      </c>
      <c r="L48" s="921">
        <f>('Haver Pivoted'!GW77+1)^4-1</f>
        <v>3.0184246589695318E-2</v>
      </c>
      <c r="M48" s="921">
        <f>('Haver Pivoted'!GX77+1)^4-1</f>
        <v>3.1074822316861761E-2</v>
      </c>
      <c r="N48" s="921">
        <f>('Haver Pivoted'!GY77+1)^4-1</f>
        <v>4.3814411385844076E-2</v>
      </c>
      <c r="O48" s="921">
        <f>('Haver Pivoted'!GZ77+1)^4-1</f>
        <v>4.8079114499886888E-2</v>
      </c>
      <c r="P48" s="921">
        <f>('Haver Pivoted'!HA77+1)^4-1</f>
        <v>5.0423609727379137E-2</v>
      </c>
      <c r="Q48" s="921">
        <f>('Haver Pivoted'!HB77+1)^4-1</f>
        <v>6.5677487260019429E-2</v>
      </c>
      <c r="R48" s="921">
        <f>('Haver Pivoted'!HC77+1)^4-1</f>
        <v>7.488961890096113E-2</v>
      </c>
      <c r="S48" s="948">
        <f>('Haver Pivoted'!HD77+1)^4-1</f>
        <v>5.3316340788000627E-2</v>
      </c>
      <c r="T48" s="948">
        <f>('Haver Pivoted'!HE77+1)^4-1</f>
        <v>4.1496756379381328E-2</v>
      </c>
      <c r="U48" s="948">
        <f>('Haver Pivoted'!HF77+1)^4-1</f>
        <v>4.2898407970302532E-2</v>
      </c>
      <c r="V48" s="948">
        <f>('Haver Pivoted'!HG77+1)^4-1</f>
        <v>3.5017736429978852E-2</v>
      </c>
      <c r="W48" s="948">
        <f>('Haver Pivoted'!HH77+1)^4-1</f>
        <v>3.8113924198168725E-2</v>
      </c>
      <c r="X48" s="948">
        <f>('Haver Pivoted'!HI77+1)^4-1</f>
        <v>3.8299248311242984E-2</v>
      </c>
      <c r="Y48" s="948">
        <f>('Haver Pivoted'!HJ77+1)^4-1</f>
        <v>3.5508670157945676E-2</v>
      </c>
      <c r="Z48" s="948">
        <f>('Haver Pivoted'!HK77+1)^4-1</f>
        <v>2.8203399736230539E-2</v>
      </c>
      <c r="AA48" s="948">
        <f>('Haver Pivoted'!HL77+1)^4-1</f>
        <v>2.4547435888207625E-2</v>
      </c>
      <c r="AB48" s="921">
        <f t="shared" ref="AB48:AF48" si="34">(AB72/AA72)^4-1+AB50</f>
        <v>2.5438723088733628E-2</v>
      </c>
      <c r="AC48" s="921">
        <f t="shared" si="34"/>
        <v>2.2377163912874476E-2</v>
      </c>
      <c r="AD48" s="921">
        <f t="shared" si="34"/>
        <v>2.1708971853545922E-2</v>
      </c>
      <c r="AE48" s="921">
        <f t="shared" si="34"/>
        <v>2.1471980846518912E-2</v>
      </c>
      <c r="AF48" s="921">
        <f t="shared" si="34"/>
        <v>2.1530345294352937E-2</v>
      </c>
      <c r="AG48" s="921">
        <f>(AG72/AF72)^4-1+AG50</f>
        <v>1.5936865457563565E-2</v>
      </c>
      <c r="AH48" s="921">
        <f>(AH72/AG72)^4-1+AH50</f>
        <v>1.6813069627471089E-2</v>
      </c>
      <c r="AI48" s="921">
        <f t="shared" ref="AI48:AJ48" si="35">(AI72/AH72)^4-1+AI50</f>
        <v>1.7900488886725352E-2</v>
      </c>
      <c r="AJ48" s="921">
        <f t="shared" si="35"/>
        <v>1.8316139660349506E-2</v>
      </c>
    </row>
    <row r="49" spans="2:68" x14ac:dyDescent="0.35">
      <c r="B49" s="68" t="s">
        <v>1711</v>
      </c>
      <c r="C49" s="947" t="s">
        <v>1700</v>
      </c>
      <c r="D49" s="976">
        <f>('Haver Pivoted'!GO78+1)^4-1</f>
        <v>1.7606158659444704E-2</v>
      </c>
      <c r="E49" s="921">
        <f>('Haver Pivoted'!GP78+1)^4-1</f>
        <v>-1.9289094877951052E-2</v>
      </c>
      <c r="F49" s="921">
        <f>('Haver Pivoted'!GQ78+1)^4-1</f>
        <v>3.0411677963670725E-2</v>
      </c>
      <c r="G49" s="921">
        <f>('Haver Pivoted'!GR78+1)^4-1</f>
        <v>1.5793384791695786E-2</v>
      </c>
      <c r="H49" s="921">
        <f>('Haver Pivoted'!GS78+1)^4-1</f>
        <v>2.3589262537388134E-2</v>
      </c>
      <c r="I49" s="921">
        <f>('Haver Pivoted'!GT78+1)^4-1</f>
        <v>5.264893740513088E-2</v>
      </c>
      <c r="J49" s="921">
        <f>('Haver Pivoted'!GU78+1)^4-1</f>
        <v>-5.217742186237273E-3</v>
      </c>
      <c r="K49" s="921">
        <f>('Haver Pivoted'!GV78+1)^4-1</f>
        <v>4.8875550231923137E-2</v>
      </c>
      <c r="L49" s="921">
        <f>('Haver Pivoted'!GW78+1)^4-1</f>
        <v>4.9958958569866319E-2</v>
      </c>
      <c r="M49" s="921">
        <f>('Haver Pivoted'!GX78+1)^4-1</f>
        <v>9.1754054615137415E-2</v>
      </c>
      <c r="N49" s="921">
        <f>('Haver Pivoted'!GY78+1)^4-1</f>
        <v>8.1251965588764241E-2</v>
      </c>
      <c r="O49" s="921">
        <f>('Haver Pivoted'!GZ78+1)^4-1</f>
        <v>6.5854996027893797E-2</v>
      </c>
      <c r="P49" s="921">
        <f>('Haver Pivoted'!HA78+1)^4-1</f>
        <v>8.1420811365759738E-2</v>
      </c>
      <c r="Q49" s="921">
        <f>('Haver Pivoted'!HB78+1)^4-1</f>
        <v>9.5809760841454095E-2</v>
      </c>
      <c r="R49" s="921">
        <f>('Haver Pivoted'!HC78+1)^4-1</f>
        <v>0.14288883985037359</v>
      </c>
      <c r="S49" s="948">
        <f>('Haver Pivoted'!HD78+1)^4-1</f>
        <v>5.753757100426693E-3</v>
      </c>
      <c r="T49" s="948">
        <f>('Haver Pivoted'!HE78+1)^4-1</f>
        <v>1.1355976812321922E-2</v>
      </c>
      <c r="U49" s="948">
        <f>('Haver Pivoted'!HF78+1)^4-1</f>
        <v>-2.087064600501487E-2</v>
      </c>
      <c r="V49" s="948">
        <f>('Haver Pivoted'!HG78+1)^4-1</f>
        <v>-3.6759658065968148E-2</v>
      </c>
      <c r="W49" s="948">
        <f>('Haver Pivoted'!HH78+1)^4-1</f>
        <v>4.0372871979416969E-2</v>
      </c>
      <c r="X49" s="948">
        <f>('Haver Pivoted'!HI78+1)^4-1</f>
        <v>-1.1102871005200798E-3</v>
      </c>
      <c r="Y49" s="948">
        <f>('Haver Pivoted'!HJ78+1)^4-1</f>
        <v>3.8608393322818291E-2</v>
      </c>
      <c r="Z49" s="948">
        <f>('Haver Pivoted'!HK78+1)^4-1</f>
        <v>1.6292943839810503E-2</v>
      </c>
      <c r="AA49" s="948">
        <f>('Haver Pivoted'!HL78+1)^4-1</f>
        <v>2.3218572407261551E-2</v>
      </c>
      <c r="AB49" s="921">
        <f t="shared" ref="AB49:AH49" si="36">(AB73/AA73)^4-1+AB50</f>
        <v>2.3533565330379203E-2</v>
      </c>
      <c r="AC49" s="921">
        <f t="shared" si="36"/>
        <v>2.3821649071183115E-2</v>
      </c>
      <c r="AD49" s="921">
        <f t="shared" si="36"/>
        <v>2.3493967451795994E-2</v>
      </c>
      <c r="AE49" s="921">
        <f t="shared" si="36"/>
        <v>2.3095343044312822E-2</v>
      </c>
      <c r="AF49" s="921">
        <f t="shared" si="36"/>
        <v>2.2877364391311605E-2</v>
      </c>
      <c r="AG49" s="921">
        <f t="shared" si="36"/>
        <v>2.2926764441147718E-2</v>
      </c>
      <c r="AH49" s="921">
        <f t="shared" si="36"/>
        <v>2.3049272742582838E-2</v>
      </c>
      <c r="AI49" s="921">
        <f t="shared" ref="AI49" si="37">(AI73/AH73)^4-1+AI50</f>
        <v>2.3441602770702952E-2</v>
      </c>
      <c r="AJ49" s="921">
        <f t="shared" ref="AJ49" si="38">(AJ73/AI73)^4-1+AJ50</f>
        <v>2.3363074529146655E-2</v>
      </c>
    </row>
    <row r="50" spans="2:68" x14ac:dyDescent="0.35">
      <c r="B50" s="68" t="s">
        <v>1907</v>
      </c>
      <c r="C50" s="947"/>
      <c r="D50" s="976"/>
      <c r="E50" s="921"/>
      <c r="F50" s="921"/>
      <c r="G50" s="921"/>
      <c r="H50" s="921"/>
      <c r="I50" s="921"/>
      <c r="J50" s="921"/>
      <c r="K50" s="921"/>
      <c r="L50" s="921"/>
      <c r="M50" s="921"/>
      <c r="N50" s="921"/>
      <c r="O50" s="921"/>
      <c r="P50" s="921"/>
      <c r="Q50" s="921"/>
      <c r="R50" s="921"/>
      <c r="S50" s="948"/>
      <c r="T50" s="948"/>
      <c r="U50" s="948"/>
      <c r="V50" s="948"/>
      <c r="W50" s="948"/>
      <c r="X50" s="948"/>
      <c r="Y50" s="948"/>
      <c r="Z50" s="948"/>
      <c r="AA50" s="948"/>
      <c r="AB50" s="921">
        <v>0</v>
      </c>
      <c r="AC50" s="921">
        <v>-2E-3</v>
      </c>
      <c r="AD50" s="921">
        <v>-2E-3</v>
      </c>
      <c r="AE50" s="921">
        <v>-2E-3</v>
      </c>
      <c r="AF50" s="921">
        <v>-2E-3</v>
      </c>
      <c r="AG50" s="921">
        <v>-2E-3</v>
      </c>
      <c r="AH50" s="921">
        <v>-2E-3</v>
      </c>
      <c r="AI50" s="921">
        <v>-2E-3</v>
      </c>
      <c r="AJ50" s="921">
        <v>-2E-3</v>
      </c>
    </row>
    <row r="51" spans="2:68" x14ac:dyDescent="0.35">
      <c r="B51" s="68" t="s">
        <v>1712</v>
      </c>
      <c r="C51" s="947" t="s">
        <v>1701</v>
      </c>
      <c r="D51" s="976">
        <f>('Haver Pivoted'!GO79+1)^4-1</f>
        <v>1.2331231439726587E-2</v>
      </c>
      <c r="E51" s="921">
        <f>('Haver Pivoted'!GP79+1)^4-1</f>
        <v>-2.700843667145636E-2</v>
      </c>
      <c r="F51" s="921">
        <f>('Haver Pivoted'!GQ79+1)^4-1</f>
        <v>2.7562863533678428E-2</v>
      </c>
      <c r="G51" s="921">
        <f>('Haver Pivoted'!GR79+1)^4-1</f>
        <v>1.5442696812244527E-2</v>
      </c>
      <c r="H51" s="921">
        <f>('Haver Pivoted'!GS79+1)^4-1</f>
        <v>2.7307145143274258E-2</v>
      </c>
      <c r="I51" s="921">
        <f>('Haver Pivoted'!GT79+1)^4-1</f>
        <v>6.2563226282339235E-2</v>
      </c>
      <c r="J51" s="921">
        <f>('Haver Pivoted'!GU79+1)^4-1</f>
        <v>-3.1076845521187391E-3</v>
      </c>
      <c r="K51" s="921">
        <f>('Haver Pivoted'!GV79+1)^4-1</f>
        <v>5.0835204325521355E-2</v>
      </c>
      <c r="L51" s="921">
        <f>('Haver Pivoted'!GW79+1)^4-1</f>
        <v>5.6516511024412575E-2</v>
      </c>
      <c r="M51" s="921">
        <f>('Haver Pivoted'!GX79+1)^4-1</f>
        <v>9.8643019696944334E-2</v>
      </c>
      <c r="N51" s="921">
        <f>('Haver Pivoted'!GY79+1)^4-1</f>
        <v>7.7982454628441111E-2</v>
      </c>
      <c r="O51" s="921">
        <f>('Haver Pivoted'!GZ79+1)^4-1</f>
        <v>6.0955299775054206E-2</v>
      </c>
      <c r="P51" s="921">
        <f>('Haver Pivoted'!HA79+1)^4-1</f>
        <v>7.2782919540383961E-2</v>
      </c>
      <c r="Q51" s="921">
        <f>('Haver Pivoted'!HB79+1)^4-1</f>
        <v>9.0061872181369962E-2</v>
      </c>
      <c r="R51" s="921">
        <f>('Haver Pivoted'!HC79+1)^4-1</f>
        <v>0.1436965164831121</v>
      </c>
      <c r="S51" s="948">
        <f>('Haver Pivoted'!HD79+1)^4-1</f>
        <v>-1.1746560973159292E-2</v>
      </c>
      <c r="T51" s="948">
        <f>('Haver Pivoted'!HE79+1)^4-1</f>
        <v>2.1967430570584145E-3</v>
      </c>
      <c r="U51" s="948">
        <f>('Haver Pivoted'!HF79+1)^4-1</f>
        <v>-3.5599925493891349E-2</v>
      </c>
      <c r="V51" s="948">
        <f>('Haver Pivoted'!HG79+1)^4-1</f>
        <v>-4.5280831786954745E-2</v>
      </c>
      <c r="W51" s="948">
        <f>('Haver Pivoted'!HH79+1)^4-1</f>
        <v>4.8134298648978557E-2</v>
      </c>
      <c r="X51" s="948">
        <f>('Haver Pivoted'!HI79+1)^4-1</f>
        <v>-4.2594526301267255E-3</v>
      </c>
      <c r="Y51" s="948">
        <f>('Haver Pivoted'!HJ79+1)^4-1</f>
        <v>4.217111451589628E-2</v>
      </c>
      <c r="Z51" s="948">
        <f>('Haver Pivoted'!HK79+1)^4-1</f>
        <v>1.9463682308167529E-2</v>
      </c>
      <c r="AA51" s="948">
        <f>('Haver Pivoted'!HL79+1)^4-1</f>
        <v>2.1103247112589152E-2</v>
      </c>
      <c r="AB51" s="921">
        <f t="shared" ref="AB51:AF51" si="39">AB49</f>
        <v>2.3533565330379203E-2</v>
      </c>
      <c r="AC51" s="921">
        <f t="shared" si="39"/>
        <v>2.3821649071183115E-2</v>
      </c>
      <c r="AD51" s="921">
        <f t="shared" si="39"/>
        <v>2.3493967451795994E-2</v>
      </c>
      <c r="AE51" s="921">
        <f t="shared" si="39"/>
        <v>2.3095343044312822E-2</v>
      </c>
      <c r="AF51" s="921">
        <f t="shared" si="39"/>
        <v>2.2877364391311605E-2</v>
      </c>
      <c r="AG51" s="921">
        <f t="shared" ref="AG51:AH51" si="40">AG49</f>
        <v>2.2926764441147718E-2</v>
      </c>
      <c r="AH51" s="921">
        <f t="shared" si="40"/>
        <v>2.3049272742582838E-2</v>
      </c>
      <c r="AI51" s="921">
        <f t="shared" ref="AI51:AJ51" si="41">AI49</f>
        <v>2.3441602770702952E-2</v>
      </c>
      <c r="AJ51" s="921">
        <f t="shared" si="41"/>
        <v>2.3363074529146655E-2</v>
      </c>
    </row>
    <row r="52" spans="2:68" x14ac:dyDescent="0.35">
      <c r="B52" s="322" t="s">
        <v>1713</v>
      </c>
      <c r="C52" s="973" t="s">
        <v>1702</v>
      </c>
      <c r="D52" s="925">
        <f>('Haver Pivoted'!GO80+1)^4-1</f>
        <v>4.0962242441666019E-2</v>
      </c>
      <c r="E52" s="926">
        <f>('Haver Pivoted'!GP80+1)^4-1</f>
        <v>1.51792670994777E-2</v>
      </c>
      <c r="F52" s="926">
        <f>('Haver Pivoted'!GQ80+1)^4-1</f>
        <v>4.2702169718882965E-2</v>
      </c>
      <c r="G52" s="926">
        <f>('Haver Pivoted'!GR80+1)^4-1</f>
        <v>1.755007684826615E-2</v>
      </c>
      <c r="H52" s="926">
        <f>('Haver Pivoted'!GS80+1)^4-1</f>
        <v>7.6166905113348449E-3</v>
      </c>
      <c r="I52" s="926">
        <f>('Haver Pivoted'!GT80+1)^4-1</f>
        <v>1.0120807804920418E-2</v>
      </c>
      <c r="J52" s="926">
        <f>('Haver Pivoted'!GU80+1)^4-1</f>
        <v>-1.4337681566159555E-2</v>
      </c>
      <c r="K52" s="926">
        <f>('Haver Pivoted'!GV80+1)^4-1</f>
        <v>3.9796166071044636E-2</v>
      </c>
      <c r="L52" s="926">
        <f>('Haver Pivoted'!GW80+1)^4-1</f>
        <v>2.0329576447674524E-2</v>
      </c>
      <c r="M52" s="926">
        <f>('Haver Pivoted'!GX80+1)^4-1</f>
        <v>5.9674403216350091E-2</v>
      </c>
      <c r="N52" s="926">
        <f>('Haver Pivoted'!GY80+1)^4-1</f>
        <v>9.5803328528480503E-2</v>
      </c>
      <c r="O52" s="926">
        <f>('Haver Pivoted'!GZ80+1)^4-1</f>
        <v>8.9244367976453631E-2</v>
      </c>
      <c r="P52" s="926">
        <f>('Haver Pivoted'!HA80+1)^4-1</f>
        <v>0.12456668920888303</v>
      </c>
      <c r="Q52" s="926">
        <f>('Haver Pivoted'!HB80+1)^4-1</f>
        <v>0.12433979312392585</v>
      </c>
      <c r="R52" s="926">
        <f>('Haver Pivoted'!HC80+1)^4-1</f>
        <v>0.13846732874655276</v>
      </c>
      <c r="S52" s="965">
        <f>('Haver Pivoted'!HD80+1)^4-1</f>
        <v>9.552027198699542E-2</v>
      </c>
      <c r="T52" s="965">
        <f>('Haver Pivoted'!HE80+1)^4-1</f>
        <v>5.5161829119105388E-2</v>
      </c>
      <c r="U52" s="965">
        <f>('Haver Pivoted'!HF80+1)^4-1</f>
        <v>5.0122233379745529E-2</v>
      </c>
      <c r="V52" s="965">
        <f>('Haver Pivoted'!HG80+1)^4-1</f>
        <v>2.1164173736800684E-3</v>
      </c>
      <c r="W52" s="965">
        <f>('Haver Pivoted'!HH80+1)^4-1</f>
        <v>5.8706332638096548E-3</v>
      </c>
      <c r="X52" s="965">
        <f>('Haver Pivoted'!HI80+1)^4-1</f>
        <v>1.2084409350409553E-2</v>
      </c>
      <c r="Y52" s="965">
        <f>('Haver Pivoted'!HJ80+1)^4-1</f>
        <v>2.380676700323181E-2</v>
      </c>
      <c r="Z52" s="965">
        <f>('Haver Pivoted'!HK80+1)^4-1</f>
        <v>3.3212249496941126E-3</v>
      </c>
      <c r="AA52" s="965">
        <f>('Haver Pivoted'!HL80+1)^4-1</f>
        <v>3.2089322615664662E-2</v>
      </c>
      <c r="AB52" s="926">
        <f t="shared" ref="AB52:AF52" si="42">AB51</f>
        <v>2.3533565330379203E-2</v>
      </c>
      <c r="AC52" s="926">
        <f t="shared" si="42"/>
        <v>2.3821649071183115E-2</v>
      </c>
      <c r="AD52" s="926">
        <f t="shared" si="42"/>
        <v>2.3493967451795994E-2</v>
      </c>
      <c r="AE52" s="926">
        <f t="shared" si="42"/>
        <v>2.3095343044312822E-2</v>
      </c>
      <c r="AF52" s="926">
        <f t="shared" si="42"/>
        <v>2.2877364391311605E-2</v>
      </c>
      <c r="AG52" s="926">
        <f t="shared" ref="AG52:AH52" si="43">AG51</f>
        <v>2.2926764441147718E-2</v>
      </c>
      <c r="AH52" s="926">
        <f t="shared" si="43"/>
        <v>2.3049272742582838E-2</v>
      </c>
      <c r="AI52" s="926">
        <f>AI51</f>
        <v>2.3441602770702952E-2</v>
      </c>
      <c r="AJ52" s="926">
        <f t="shared" ref="AJ52" si="44">AJ51</f>
        <v>2.3363074529146655E-2</v>
      </c>
    </row>
    <row r="53" spans="2:68" x14ac:dyDescent="0.35">
      <c r="B53" s="57"/>
      <c r="C53" s="947"/>
      <c r="D53" s="921"/>
      <c r="E53" s="921"/>
      <c r="F53" s="921"/>
      <c r="G53" s="921"/>
      <c r="H53" s="921"/>
      <c r="I53" s="921"/>
      <c r="J53" s="921"/>
      <c r="K53" s="921"/>
      <c r="L53" s="921"/>
      <c r="M53" s="921"/>
      <c r="N53" s="921"/>
      <c r="O53" s="921"/>
      <c r="P53" s="921"/>
      <c r="Q53" s="921"/>
      <c r="R53" s="921"/>
      <c r="X53" s="921"/>
      <c r="AB53" s="921"/>
      <c r="AC53" s="921"/>
      <c r="AD53" s="921"/>
      <c r="AE53" s="921"/>
      <c r="AF53" s="921"/>
    </row>
    <row r="54" spans="2:68" x14ac:dyDescent="0.35">
      <c r="B54" s="57"/>
      <c r="C54" s="947"/>
      <c r="D54" s="921"/>
      <c r="E54" s="921"/>
      <c r="F54" s="921"/>
      <c r="G54" s="921"/>
      <c r="H54" s="921"/>
      <c r="I54" s="921"/>
      <c r="J54" s="921"/>
      <c r="K54" s="921"/>
      <c r="L54" s="921"/>
      <c r="M54" s="921"/>
      <c r="N54" s="921"/>
      <c r="O54" s="921"/>
      <c r="P54" s="921"/>
      <c r="Q54" s="921"/>
      <c r="R54" s="921"/>
      <c r="X54" s="921"/>
      <c r="AB54" s="921"/>
      <c r="AC54" s="921"/>
      <c r="AD54" s="921"/>
      <c r="AE54" s="921"/>
      <c r="AF54" s="921"/>
    </row>
    <row r="55" spans="2:68" x14ac:dyDescent="0.35">
      <c r="B55" s="57"/>
      <c r="C55" s="947"/>
      <c r="D55" s="921"/>
      <c r="E55" s="921"/>
      <c r="F55" s="921"/>
      <c r="G55" s="921"/>
      <c r="H55" s="921"/>
      <c r="I55" s="921"/>
      <c r="J55" s="921"/>
      <c r="K55" s="921"/>
      <c r="L55" s="921"/>
      <c r="M55" s="921"/>
      <c r="N55" s="921"/>
      <c r="O55" s="921"/>
      <c r="P55" s="921"/>
      <c r="Q55" s="921"/>
      <c r="R55" s="921"/>
      <c r="X55" s="921"/>
      <c r="AB55" s="921"/>
      <c r="AC55" s="921"/>
      <c r="AD55" s="921"/>
      <c r="AE55" s="921"/>
      <c r="AF55" s="921"/>
    </row>
    <row r="56" spans="2:68" x14ac:dyDescent="0.35">
      <c r="B56" s="57"/>
      <c r="C56" s="947"/>
      <c r="D56" s="921"/>
      <c r="E56" s="921"/>
      <c r="F56" s="921"/>
      <c r="G56" s="921"/>
      <c r="H56" s="921"/>
      <c r="I56" s="921"/>
      <c r="J56" s="921"/>
      <c r="K56" s="921"/>
      <c r="L56" s="921"/>
      <c r="M56" s="921"/>
      <c r="N56" s="921"/>
      <c r="O56" s="921"/>
      <c r="P56" s="921"/>
      <c r="Q56" s="921"/>
      <c r="R56" s="921"/>
      <c r="X56" s="921"/>
      <c r="AB56" s="921"/>
      <c r="AC56" s="921"/>
      <c r="AD56" s="921"/>
      <c r="AE56" s="921"/>
      <c r="AF56" s="921"/>
    </row>
    <row r="57" spans="2:68" x14ac:dyDescent="0.35">
      <c r="B57" s="57"/>
      <c r="C57" s="947"/>
      <c r="D57" s="921"/>
      <c r="E57" s="921"/>
      <c r="F57" s="921"/>
      <c r="G57" s="921"/>
      <c r="H57" s="921"/>
      <c r="I57" s="921"/>
      <c r="J57" s="921"/>
      <c r="K57" s="921"/>
      <c r="L57" s="921"/>
      <c r="M57" s="921"/>
      <c r="N57" s="921"/>
      <c r="O57" s="921"/>
      <c r="P57" s="921"/>
      <c r="Q57" s="921"/>
      <c r="R57" s="921"/>
      <c r="X57" s="921"/>
      <c r="AB57" s="921"/>
      <c r="AC57" s="921"/>
      <c r="AD57" s="921"/>
      <c r="AE57" s="921"/>
      <c r="AF57" s="921"/>
    </row>
    <row r="58" spans="2:68" x14ac:dyDescent="0.35">
      <c r="B58" s="57"/>
      <c r="C58" s="947"/>
      <c r="D58" s="921"/>
      <c r="E58" s="921"/>
      <c r="F58" s="921"/>
      <c r="G58" s="921"/>
      <c r="H58" s="921"/>
      <c r="I58" s="921"/>
      <c r="J58" s="921"/>
      <c r="K58" s="921"/>
      <c r="L58" s="921"/>
      <c r="M58" s="921"/>
      <c r="N58" s="921"/>
      <c r="O58" s="921"/>
      <c r="P58" s="921"/>
      <c r="Q58" s="921"/>
      <c r="R58" s="921"/>
      <c r="X58" s="921"/>
      <c r="AB58" s="921"/>
      <c r="AC58" s="921"/>
      <c r="AD58" s="921"/>
      <c r="AE58" s="921"/>
      <c r="AF58" s="921"/>
    </row>
    <row r="59" spans="2:68" x14ac:dyDescent="0.35">
      <c r="B59" s="57"/>
      <c r="C59" s="947"/>
      <c r="D59" s="921"/>
      <c r="E59" s="921"/>
      <c r="F59" s="921"/>
      <c r="G59" s="921"/>
      <c r="H59" s="921"/>
      <c r="I59" s="921"/>
      <c r="J59" s="921"/>
      <c r="K59" s="921"/>
      <c r="L59" s="921"/>
      <c r="M59" s="921"/>
      <c r="N59" s="921"/>
      <c r="O59" s="921"/>
      <c r="P59" s="921"/>
      <c r="Q59" s="921"/>
      <c r="R59" s="921"/>
      <c r="X59" s="921"/>
      <c r="AB59" s="921"/>
      <c r="AC59" s="921"/>
      <c r="AD59" s="921"/>
      <c r="AE59" s="921"/>
      <c r="AF59" s="921"/>
    </row>
    <row r="60" spans="2:68" x14ac:dyDescent="0.35">
      <c r="B60" s="57"/>
      <c r="C60" s="947"/>
      <c r="D60" s="921"/>
      <c r="E60" s="921"/>
      <c r="F60" s="921"/>
      <c r="G60" s="921"/>
      <c r="H60" s="921"/>
      <c r="I60" s="921"/>
      <c r="J60" s="921"/>
      <c r="K60" s="921"/>
      <c r="L60" s="921"/>
      <c r="M60" s="921"/>
      <c r="N60" s="921"/>
      <c r="O60" s="921"/>
      <c r="P60" s="921"/>
      <c r="Q60" s="921"/>
      <c r="R60" s="921"/>
      <c r="X60" s="921"/>
      <c r="Y60" s="921"/>
      <c r="Z60" s="921"/>
      <c r="AA60" s="921"/>
      <c r="AB60" s="921"/>
      <c r="AC60" s="921"/>
      <c r="AD60" s="921"/>
      <c r="AE60" s="921"/>
      <c r="AF60" s="921"/>
    </row>
    <row r="61" spans="2:68" ht="14.5" customHeight="1" x14ac:dyDescent="0.35">
      <c r="B61" s="1369" t="s">
        <v>1733</v>
      </c>
      <c r="C61" s="1369"/>
      <c r="D61" s="1369"/>
      <c r="E61" s="1369"/>
      <c r="F61" s="245"/>
      <c r="G61" s="245"/>
      <c r="H61" s="245"/>
      <c r="I61" s="245"/>
      <c r="J61" s="245"/>
      <c r="K61" s="245"/>
      <c r="L61" s="245"/>
      <c r="M61" s="245"/>
      <c r="N61" s="245"/>
      <c r="O61" s="245"/>
      <c r="P61" s="245"/>
      <c r="Q61" s="245"/>
      <c r="R61" s="245"/>
      <c r="S61" s="245"/>
      <c r="T61" s="245"/>
      <c r="U61" s="245"/>
      <c r="V61" s="245"/>
      <c r="W61" s="245"/>
      <c r="X61" s="245"/>
      <c r="Y61" s="245"/>
      <c r="Z61" s="245"/>
      <c r="AA61" s="245"/>
      <c r="AB61" s="245"/>
      <c r="AC61" s="245"/>
    </row>
    <row r="62" spans="2:68" ht="30" customHeight="1" x14ac:dyDescent="0.35">
      <c r="B62" s="938" t="s">
        <v>1935</v>
      </c>
      <c r="C62" s="964"/>
      <c r="D62" s="215">
        <v>2018</v>
      </c>
      <c r="E62" s="1282">
        <v>2019</v>
      </c>
      <c r="F62" s="1305"/>
      <c r="G62" s="1305"/>
      <c r="H62" s="1284"/>
      <c r="I62" s="1282">
        <v>2020</v>
      </c>
      <c r="J62" s="1305"/>
      <c r="K62" s="1305"/>
      <c r="L62" s="1305"/>
      <c r="M62" s="1282">
        <v>2021</v>
      </c>
      <c r="N62" s="1305"/>
      <c r="O62" s="1305"/>
      <c r="P62" s="1305"/>
      <c r="Q62" s="1299">
        <v>2022</v>
      </c>
      <c r="R62" s="1300"/>
      <c r="S62" s="284"/>
      <c r="T62" s="297"/>
      <c r="U62" s="238"/>
      <c r="V62" s="556">
        <v>2023</v>
      </c>
      <c r="W62" s="285"/>
      <c r="X62" s="285"/>
      <c r="Y62" s="1268">
        <v>2024</v>
      </c>
      <c r="Z62" s="1269"/>
      <c r="AA62" s="1269"/>
      <c r="AB62" s="1270"/>
      <c r="AC62" s="1268">
        <v>2025</v>
      </c>
      <c r="AD62" s="1269"/>
      <c r="AE62" s="1269"/>
      <c r="AF62" s="1270"/>
      <c r="AG62" s="1268">
        <v>2026</v>
      </c>
      <c r="AH62" s="1292"/>
      <c r="AI62" s="1292"/>
      <c r="AJ62" s="1270"/>
    </row>
    <row r="63" spans="2:68" x14ac:dyDescent="0.35">
      <c r="B63" s="928"/>
      <c r="C63" s="239"/>
      <c r="D63" s="212" t="s">
        <v>281</v>
      </c>
      <c r="E63" s="212" t="s">
        <v>282</v>
      </c>
      <c r="F63" s="213" t="s">
        <v>283</v>
      </c>
      <c r="G63" s="213" t="s">
        <v>238</v>
      </c>
      <c r="H63" s="214" t="s">
        <v>281</v>
      </c>
      <c r="I63" s="213" t="s">
        <v>282</v>
      </c>
      <c r="J63" s="213" t="s">
        <v>283</v>
      </c>
      <c r="K63" s="213" t="s">
        <v>238</v>
      </c>
      <c r="L63" s="213" t="s">
        <v>281</v>
      </c>
      <c r="M63" s="212" t="s">
        <v>282</v>
      </c>
      <c r="N63" s="213" t="s">
        <v>283</v>
      </c>
      <c r="O63" s="213" t="s">
        <v>238</v>
      </c>
      <c r="P63" s="213" t="s">
        <v>281</v>
      </c>
      <c r="Q63" s="212" t="s">
        <v>282</v>
      </c>
      <c r="R63" s="213" t="s">
        <v>283</v>
      </c>
      <c r="S63" s="213" t="s">
        <v>238</v>
      </c>
      <c r="T63" s="214" t="s">
        <v>281</v>
      </c>
      <c r="U63" s="212" t="s">
        <v>282</v>
      </c>
      <c r="V63" s="213" t="s">
        <v>283</v>
      </c>
      <c r="W63" s="329" t="s">
        <v>238</v>
      </c>
      <c r="X63" s="329" t="s">
        <v>281</v>
      </c>
      <c r="Y63" s="430" t="s">
        <v>282</v>
      </c>
      <c r="Z63" s="336" t="s">
        <v>283</v>
      </c>
      <c r="AA63" s="329" t="s">
        <v>238</v>
      </c>
      <c r="AB63" s="429" t="s">
        <v>281</v>
      </c>
      <c r="AC63" s="430" t="s">
        <v>282</v>
      </c>
      <c r="AD63" s="329" t="s">
        <v>283</v>
      </c>
      <c r="AE63" s="329" t="s">
        <v>238</v>
      </c>
      <c r="AF63" s="429" t="s">
        <v>281</v>
      </c>
      <c r="AG63" s="266" t="s">
        <v>282</v>
      </c>
      <c r="AH63" s="264" t="s">
        <v>283</v>
      </c>
      <c r="AI63" s="267" t="s">
        <v>238</v>
      </c>
      <c r="AJ63" s="268" t="s">
        <v>281</v>
      </c>
    </row>
    <row r="64" spans="2:68" ht="28.5" customHeight="1" x14ac:dyDescent="0.35">
      <c r="B64" s="477" t="s">
        <v>1934</v>
      </c>
      <c r="C64" s="57" t="s">
        <v>1715</v>
      </c>
      <c r="D64" s="219"/>
      <c r="E64" s="219"/>
      <c r="F64" s="219"/>
      <c r="G64" s="219"/>
      <c r="H64" s="219"/>
      <c r="I64" s="219"/>
      <c r="J64" s="219"/>
      <c r="K64" s="219"/>
      <c r="L64" s="219"/>
      <c r="M64" s="219">
        <v>15217.7</v>
      </c>
      <c r="N64" s="219">
        <v>15950.9</v>
      </c>
      <c r="O64" s="219">
        <v>16285.1</v>
      </c>
      <c r="P64" s="219">
        <v>16718.2</v>
      </c>
      <c r="Q64" s="219">
        <v>17030.599999999999</v>
      </c>
      <c r="R64" s="219">
        <v>17415.099999999999</v>
      </c>
      <c r="S64" s="436">
        <v>17684.2</v>
      </c>
      <c r="T64" s="436">
        <v>17917</v>
      </c>
      <c r="U64" s="436">
        <v>18269.599999999999</v>
      </c>
      <c r="V64" s="436">
        <v>18419</v>
      </c>
      <c r="W64" s="436">
        <v>18679.5</v>
      </c>
      <c r="X64" s="436">
        <v>18914.5</v>
      </c>
      <c r="Y64" s="436">
        <v>19191.599999999999</v>
      </c>
      <c r="Z64" s="436">
        <v>19506.599999999999</v>
      </c>
      <c r="AA64" s="436">
        <v>19739.8</v>
      </c>
      <c r="AB64" s="436">
        <v>19911.8</v>
      </c>
      <c r="AC64" s="436">
        <v>20098.5</v>
      </c>
      <c r="AD64" s="436">
        <v>20285.8</v>
      </c>
      <c r="AE64" s="436">
        <v>20464.099999999999</v>
      </c>
      <c r="AF64" s="436">
        <v>20636.599999999999</v>
      </c>
      <c r="AG64" s="436">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29" t="s">
        <v>1936</v>
      </c>
      <c r="C65" s="57" t="s">
        <v>1716</v>
      </c>
      <c r="D65" s="68"/>
      <c r="E65" s="57"/>
      <c r="F65" s="57"/>
      <c r="G65" s="57"/>
      <c r="H65" s="57"/>
      <c r="I65" s="57"/>
      <c r="J65" s="57"/>
      <c r="K65" s="57"/>
      <c r="L65" s="57"/>
      <c r="M65" s="57">
        <v>1609.9</v>
      </c>
      <c r="N65" s="57">
        <v>1588.5</v>
      </c>
      <c r="O65" s="57">
        <v>1576.4</v>
      </c>
      <c r="P65" s="57">
        <v>1602.5</v>
      </c>
      <c r="Q65" s="57">
        <v>1601.7</v>
      </c>
      <c r="R65" s="57">
        <v>1612.3</v>
      </c>
      <c r="S65" s="436">
        <v>1636.3</v>
      </c>
      <c r="T65" s="436">
        <v>1691.8</v>
      </c>
      <c r="U65" s="436">
        <v>1730.6</v>
      </c>
      <c r="V65" s="436">
        <v>1744.3</v>
      </c>
      <c r="W65" s="436">
        <v>1791.9</v>
      </c>
      <c r="X65" s="436">
        <v>1820</v>
      </c>
      <c r="Y65" s="436">
        <v>1837.3</v>
      </c>
      <c r="Z65" s="436">
        <v>1825.6</v>
      </c>
      <c r="AA65" s="436">
        <v>1824.6</v>
      </c>
      <c r="AB65" s="436">
        <v>1842.6</v>
      </c>
      <c r="AC65" s="436">
        <v>1864.3</v>
      </c>
      <c r="AD65" s="436">
        <v>1886.9</v>
      </c>
      <c r="AE65" s="436">
        <v>1910.1</v>
      </c>
      <c r="AF65" s="436">
        <v>1923.8</v>
      </c>
      <c r="AG65" s="932">
        <v>1936.1</v>
      </c>
      <c r="AH65" s="932">
        <v>1950.7</v>
      </c>
      <c r="AI65" s="932">
        <v>1964.1</v>
      </c>
      <c r="AJ65" s="932">
        <v>1978.7</v>
      </c>
      <c r="AK65" s="932">
        <v>1993.5</v>
      </c>
      <c r="AL65" s="932">
        <v>2007</v>
      </c>
      <c r="AM65" s="932">
        <v>2019.8</v>
      </c>
      <c r="AN65" s="932">
        <v>2031.9</v>
      </c>
      <c r="AO65" s="932">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29" t="s">
        <v>1937</v>
      </c>
      <c r="C66" s="57" t="s">
        <v>1716</v>
      </c>
      <c r="D66" s="68"/>
      <c r="E66" s="57"/>
      <c r="F66" s="57"/>
      <c r="G66" s="57"/>
      <c r="H66" s="57"/>
      <c r="I66" s="57"/>
      <c r="J66" s="57"/>
      <c r="K66" s="57"/>
      <c r="L66" s="57"/>
      <c r="M66" s="57">
        <v>2533.9</v>
      </c>
      <c r="N66" s="57">
        <v>2571.6999999999998</v>
      </c>
      <c r="O66" s="57">
        <v>2625.1</v>
      </c>
      <c r="P66" s="57">
        <v>2664.2</v>
      </c>
      <c r="Q66" s="57">
        <v>2719.7</v>
      </c>
      <c r="R66" s="57">
        <v>2803.4</v>
      </c>
      <c r="S66" s="436">
        <v>2841.5</v>
      </c>
      <c r="T66" s="436">
        <v>2880.6</v>
      </c>
      <c r="U66" s="436">
        <v>2913.2</v>
      </c>
      <c r="V66" s="436">
        <v>2925.5</v>
      </c>
      <c r="W66" s="436">
        <v>3002.9</v>
      </c>
      <c r="X66" s="436">
        <v>3051.8</v>
      </c>
      <c r="Y66" s="436">
        <v>3094.7</v>
      </c>
      <c r="Z66" s="436">
        <v>3131</v>
      </c>
      <c r="AA66" s="436">
        <v>3158.7</v>
      </c>
      <c r="AB66" s="436">
        <v>3185.3</v>
      </c>
      <c r="AC66" s="436">
        <v>3213.1</v>
      </c>
      <c r="AD66" s="436">
        <v>3241</v>
      </c>
      <c r="AE66" s="436">
        <v>3268</v>
      </c>
      <c r="AF66" s="436">
        <v>3294.9</v>
      </c>
      <c r="AG66" s="933">
        <v>3323</v>
      </c>
      <c r="AH66" s="933">
        <v>3350.6</v>
      </c>
      <c r="AI66" s="933">
        <v>3378.6</v>
      </c>
      <c r="AJ66" s="933">
        <v>3406.2</v>
      </c>
      <c r="AK66" s="933">
        <v>3432.7</v>
      </c>
      <c r="AL66" s="933">
        <v>3459.9</v>
      </c>
      <c r="AM66" s="933">
        <v>3486.6</v>
      </c>
      <c r="AN66" s="933">
        <v>3513.5</v>
      </c>
      <c r="AO66" s="933">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29" t="s">
        <v>1938</v>
      </c>
      <c r="C67" s="57" t="s">
        <v>1717</v>
      </c>
      <c r="D67" s="68"/>
      <c r="E67" s="57"/>
      <c r="F67" s="57"/>
      <c r="G67" s="57"/>
      <c r="H67" s="57"/>
      <c r="I67" s="57"/>
      <c r="J67" s="57"/>
      <c r="K67" s="57"/>
      <c r="L67" s="57"/>
      <c r="M67" s="57">
        <v>14282.6</v>
      </c>
      <c r="N67" s="57">
        <v>14745.6</v>
      </c>
      <c r="O67" s="57">
        <v>14848.8</v>
      </c>
      <c r="P67" s="57">
        <v>14995.6</v>
      </c>
      <c r="Q67" s="57">
        <v>14995.2</v>
      </c>
      <c r="R67" s="57">
        <v>15069.2</v>
      </c>
      <c r="S67" s="436">
        <v>15127.4</v>
      </c>
      <c r="T67" s="436">
        <v>15171.4</v>
      </c>
      <c r="U67" s="436">
        <v>15312.9</v>
      </c>
      <c r="V67" s="436">
        <v>15343.6</v>
      </c>
      <c r="W67" s="436">
        <v>15461.4</v>
      </c>
      <c r="X67" s="436">
        <v>15586.7</v>
      </c>
      <c r="Y67" s="436">
        <v>15683.5</v>
      </c>
      <c r="Z67" s="436">
        <v>15816.9</v>
      </c>
      <c r="AA67" s="436">
        <v>15917.3</v>
      </c>
      <c r="AB67" s="436">
        <v>15974.8</v>
      </c>
      <c r="AC67" s="436">
        <v>16037.9</v>
      </c>
      <c r="AD67" s="436">
        <v>16101.2</v>
      </c>
      <c r="AE67" s="436">
        <v>16159.7</v>
      </c>
      <c r="AF67" s="436">
        <v>16215</v>
      </c>
      <c r="AG67" s="933">
        <v>16253</v>
      </c>
      <c r="AH67" s="933">
        <v>16301.8</v>
      </c>
      <c r="AI67" s="933">
        <v>16358</v>
      </c>
      <c r="AJ67" s="933">
        <v>16420.5</v>
      </c>
      <c r="AK67" s="933">
        <v>16477.900000000001</v>
      </c>
      <c r="AL67" s="933">
        <v>16537.599999999999</v>
      </c>
      <c r="AM67" s="933">
        <v>16599.099999999999</v>
      </c>
      <c r="AN67" s="933">
        <v>16662.8</v>
      </c>
      <c r="AO67" s="933">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29" t="s">
        <v>1939</v>
      </c>
      <c r="C68" s="57" t="s">
        <v>1718</v>
      </c>
      <c r="D68" s="68"/>
      <c r="E68" s="57"/>
      <c r="F68" s="57"/>
      <c r="G68" s="57"/>
      <c r="H68" s="57"/>
      <c r="I68" s="57"/>
      <c r="J68" s="57"/>
      <c r="K68" s="57"/>
      <c r="L68" s="57"/>
      <c r="M68" s="57">
        <v>1499.1</v>
      </c>
      <c r="N68" s="57">
        <v>1464.8</v>
      </c>
      <c r="O68" s="57">
        <v>1439.1</v>
      </c>
      <c r="P68" s="57">
        <v>1446.5</v>
      </c>
      <c r="Q68" s="57">
        <v>1420.9</v>
      </c>
      <c r="R68" s="57">
        <v>1406.9</v>
      </c>
      <c r="S68" s="436">
        <v>1411.2</v>
      </c>
      <c r="T68" s="436">
        <v>1444.5</v>
      </c>
      <c r="U68" s="436">
        <v>1462.8</v>
      </c>
      <c r="V68" s="436">
        <v>1466.9</v>
      </c>
      <c r="W68" s="436">
        <v>1492.3</v>
      </c>
      <c r="X68" s="436">
        <v>1501</v>
      </c>
      <c r="Y68" s="436">
        <v>1500.1</v>
      </c>
      <c r="Z68" s="436">
        <v>1478.5</v>
      </c>
      <c r="AA68" s="436">
        <v>1467.7</v>
      </c>
      <c r="AB68" s="436">
        <v>1472.9</v>
      </c>
      <c r="AC68" s="436">
        <v>1481.3</v>
      </c>
      <c r="AD68" s="436">
        <v>1490.5</v>
      </c>
      <c r="AE68" s="436">
        <v>1500.1</v>
      </c>
      <c r="AF68" s="436">
        <v>1502.1</v>
      </c>
      <c r="AG68" s="933">
        <v>1505</v>
      </c>
      <c r="AH68" s="933">
        <v>1509.3</v>
      </c>
      <c r="AI68" s="933">
        <v>1512.2</v>
      </c>
      <c r="AJ68" s="933">
        <v>1515.8</v>
      </c>
      <c r="AK68" s="933">
        <v>1519.3</v>
      </c>
      <c r="AL68" s="933">
        <v>1521.8</v>
      </c>
      <c r="AM68" s="933">
        <v>1523.6</v>
      </c>
      <c r="AN68" s="933">
        <v>1524.3</v>
      </c>
      <c r="AO68" s="933">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29" t="s">
        <v>1940</v>
      </c>
      <c r="C69" s="35" t="s">
        <v>1719</v>
      </c>
      <c r="D69" s="68"/>
      <c r="E69" s="57"/>
      <c r="F69" s="57"/>
      <c r="G69" s="57"/>
      <c r="H69" s="57"/>
      <c r="I69" s="57"/>
      <c r="J69" s="57"/>
      <c r="K69" s="57"/>
      <c r="L69" s="57"/>
      <c r="M69" s="57">
        <v>2247</v>
      </c>
      <c r="N69" s="57">
        <v>2239.1999999999998</v>
      </c>
      <c r="O69" s="57">
        <v>2250.1</v>
      </c>
      <c r="P69" s="57">
        <v>2240.9</v>
      </c>
      <c r="Q69" s="57">
        <v>2238.4</v>
      </c>
      <c r="R69" s="57">
        <v>2234.1</v>
      </c>
      <c r="S69" s="436">
        <v>2255.1</v>
      </c>
      <c r="T69" s="436">
        <v>2270.8000000000002</v>
      </c>
      <c r="U69" s="436">
        <v>2296.5</v>
      </c>
      <c r="V69" s="436">
        <v>2323</v>
      </c>
      <c r="W69" s="436">
        <v>2351.4</v>
      </c>
      <c r="X69" s="436">
        <v>2385.9</v>
      </c>
      <c r="Y69" s="436">
        <v>2397.9</v>
      </c>
      <c r="Z69" s="436">
        <v>2402.1999999999998</v>
      </c>
      <c r="AA69" s="436">
        <v>2408.6999999999998</v>
      </c>
      <c r="AB69" s="436">
        <v>2414.9</v>
      </c>
      <c r="AC69" s="436">
        <v>2420.5</v>
      </c>
      <c r="AD69" s="436">
        <v>2426.1999999999998</v>
      </c>
      <c r="AE69" s="436">
        <v>2431.3000000000002</v>
      </c>
      <c r="AF69" s="436">
        <v>2436.3000000000002</v>
      </c>
      <c r="AG69" s="57">
        <v>2442</v>
      </c>
      <c r="AH69" s="57">
        <v>2447.1</v>
      </c>
      <c r="AI69" s="57">
        <v>2452.1</v>
      </c>
      <c r="AJ69" s="57">
        <v>2456.6999999999998</v>
      </c>
      <c r="AK69" s="933">
        <v>2460.3000000000002</v>
      </c>
      <c r="AL69" s="933">
        <v>2464.1</v>
      </c>
      <c r="AM69" s="933">
        <v>2467.3000000000002</v>
      </c>
      <c r="AN69" s="933">
        <v>2470.4</v>
      </c>
      <c r="AO69" s="933">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39"/>
      <c r="C70" s="940"/>
      <c r="D70" s="968"/>
      <c r="E70" s="968"/>
      <c r="F70" s="968"/>
      <c r="G70" s="968"/>
      <c r="H70" s="968"/>
      <c r="I70" s="968"/>
      <c r="J70" s="968"/>
      <c r="K70" s="968"/>
      <c r="L70" s="968"/>
      <c r="M70" s="968"/>
      <c r="N70" s="968"/>
      <c r="O70" s="968"/>
      <c r="P70" s="968"/>
      <c r="Q70" s="968"/>
      <c r="R70" s="968"/>
      <c r="S70" s="968"/>
      <c r="T70" s="969" t="s">
        <v>1705</v>
      </c>
      <c r="U70" s="941"/>
      <c r="V70" s="941"/>
      <c r="W70" s="941"/>
      <c r="X70" s="941"/>
      <c r="Y70" s="941"/>
      <c r="Z70" s="941"/>
      <c r="AA70" s="941"/>
      <c r="AB70" s="941"/>
      <c r="AC70" s="941"/>
      <c r="AD70" s="941"/>
      <c r="AE70" s="941"/>
      <c r="AF70" s="942"/>
      <c r="AG70" s="239"/>
      <c r="AH70" s="239"/>
      <c r="AI70" s="239"/>
      <c r="AJ70" s="239"/>
      <c r="AK70" s="239"/>
      <c r="AL70" s="239"/>
      <c r="AM70" s="239"/>
      <c r="AN70" s="239"/>
      <c r="AO70" s="239"/>
      <c r="AP70" s="57"/>
      <c r="AQ70" s="57"/>
      <c r="AR70" s="57"/>
      <c r="AS70" s="57"/>
      <c r="AT70" s="57"/>
      <c r="AU70" s="57"/>
      <c r="AV70" s="57"/>
    </row>
    <row r="71" spans="2:68" x14ac:dyDescent="0.35">
      <c r="B71" s="957" t="s">
        <v>1709</v>
      </c>
      <c r="C71" s="448"/>
      <c r="D71" s="449"/>
      <c r="E71" s="449"/>
      <c r="F71" s="449"/>
      <c r="G71" s="449"/>
      <c r="H71" s="449"/>
      <c r="I71" s="449"/>
      <c r="J71" s="449"/>
      <c r="K71" s="449"/>
      <c r="L71" s="449"/>
      <c r="M71" s="449"/>
      <c r="N71" s="449"/>
      <c r="O71" s="449"/>
      <c r="P71" s="449"/>
      <c r="Q71" s="449"/>
      <c r="R71" s="449"/>
      <c r="S71" s="935">
        <f t="shared" ref="S71:AF71" si="45">S64/S67</f>
        <v>1.1690178087443976</v>
      </c>
      <c r="T71" s="935">
        <f t="shared" si="45"/>
        <v>1.1809720922261624</v>
      </c>
      <c r="U71" s="935">
        <f t="shared" si="45"/>
        <v>1.1930855683769892</v>
      </c>
      <c r="V71" s="935">
        <f>V64/V67</f>
        <v>1.2004353606715503</v>
      </c>
      <c r="W71" s="935">
        <f t="shared" si="45"/>
        <v>1.208137684815088</v>
      </c>
      <c r="X71" s="935">
        <f t="shared" si="45"/>
        <v>1.2135025374197232</v>
      </c>
      <c r="Y71" s="935">
        <f t="shared" si="45"/>
        <v>1.2236809385660088</v>
      </c>
      <c r="Z71" s="935">
        <f t="shared" si="45"/>
        <v>1.233275799935512</v>
      </c>
      <c r="AA71" s="935">
        <f t="shared" si="45"/>
        <v>1.2401475124550019</v>
      </c>
      <c r="AB71" s="935">
        <f t="shared" si="45"/>
        <v>1.246450659789168</v>
      </c>
      <c r="AC71" s="935">
        <f t="shared" si="45"/>
        <v>1.2531877614899707</v>
      </c>
      <c r="AD71" s="935">
        <f t="shared" si="45"/>
        <v>1.2598936725213026</v>
      </c>
      <c r="AE71" s="935">
        <f t="shared" si="45"/>
        <v>1.2663663310581259</v>
      </c>
      <c r="AF71" s="970">
        <f t="shared" si="45"/>
        <v>1.2726857847671909</v>
      </c>
      <c r="AG71" s="970">
        <f>AG64/AG67</f>
        <v>1.2789269673291086</v>
      </c>
      <c r="AH71" s="970">
        <f t="shared" ref="AH71:AI71" si="46">AH64/AH67</f>
        <v>1.2851218883804243</v>
      </c>
      <c r="AI71" s="970">
        <f t="shared" si="46"/>
        <v>1.291282552879325</v>
      </c>
      <c r="AJ71" s="970">
        <f>AJ64/AJ67</f>
        <v>1.2974087268962577</v>
      </c>
      <c r="AK71" s="932"/>
      <c r="AL71" s="932"/>
      <c r="AM71" s="932"/>
      <c r="AN71" s="932"/>
      <c r="AO71" s="932"/>
    </row>
    <row r="72" spans="2:68" x14ac:dyDescent="0.35">
      <c r="B72" s="68" t="s">
        <v>1710</v>
      </c>
      <c r="C72" s="225"/>
      <c r="D72" s="57"/>
      <c r="E72" s="57"/>
      <c r="F72" s="57"/>
      <c r="G72" s="57"/>
      <c r="H72" s="57"/>
      <c r="I72" s="57"/>
      <c r="J72" s="57"/>
      <c r="K72" s="57"/>
      <c r="L72" s="57"/>
      <c r="M72" s="57"/>
      <c r="N72" s="57"/>
      <c r="O72" s="57"/>
      <c r="P72" s="57"/>
      <c r="Q72" s="57"/>
      <c r="R72" s="57"/>
      <c r="S72" s="931">
        <f t="shared" ref="S72:AF72" si="47">S65/S68</f>
        <v>1.1595096371882085</v>
      </c>
      <c r="T72" s="931">
        <f t="shared" si="47"/>
        <v>1.1712011076497058</v>
      </c>
      <c r="U72" s="931">
        <f t="shared" si="47"/>
        <v>1.1830735575608422</v>
      </c>
      <c r="V72" s="931">
        <f t="shared" si="47"/>
        <v>1.1891062785465947</v>
      </c>
      <c r="W72" s="931">
        <f t="shared" si="47"/>
        <v>1.2007639214635129</v>
      </c>
      <c r="X72" s="931">
        <f t="shared" si="47"/>
        <v>1.2125249833444371</v>
      </c>
      <c r="Y72" s="931">
        <f t="shared" si="47"/>
        <v>1.224785014332378</v>
      </c>
      <c r="Z72" s="931">
        <f t="shared" si="47"/>
        <v>1.2347649644910381</v>
      </c>
      <c r="AA72" s="931">
        <f t="shared" si="47"/>
        <v>1.2431695850650677</v>
      </c>
      <c r="AB72" s="931">
        <f t="shared" si="47"/>
        <v>1.2510014257587072</v>
      </c>
      <c r="AC72" s="931">
        <f t="shared" si="47"/>
        <v>1.258556673192466</v>
      </c>
      <c r="AD72" s="931">
        <f t="shared" si="47"/>
        <v>1.2659510231465951</v>
      </c>
      <c r="AE72" s="931">
        <f t="shared" si="47"/>
        <v>1.273315112325845</v>
      </c>
      <c r="AF72" s="936">
        <f t="shared" si="47"/>
        <v>1.2807402969176487</v>
      </c>
      <c r="AG72" s="936">
        <f>AG65/AG68</f>
        <v>1.2864451827242525</v>
      </c>
      <c r="AH72" s="936">
        <f t="shared" ref="AH72:AJ72" si="48">AH65/AH68</f>
        <v>1.2924534552441529</v>
      </c>
      <c r="AI72" s="936">
        <f t="shared" si="48"/>
        <v>1.2988361327866684</v>
      </c>
      <c r="AJ72" s="936">
        <f t="shared" si="48"/>
        <v>1.3053832959493337</v>
      </c>
      <c r="AK72" s="933"/>
      <c r="AL72" s="933"/>
      <c r="AM72" s="933"/>
      <c r="AN72" s="933"/>
      <c r="AO72" s="933"/>
    </row>
    <row r="73" spans="2:68" x14ac:dyDescent="0.35">
      <c r="B73" s="322" t="s">
        <v>1711</v>
      </c>
      <c r="C73" s="226"/>
      <c r="D73" s="35"/>
      <c r="E73" s="35"/>
      <c r="F73" s="35"/>
      <c r="G73" s="35"/>
      <c r="H73" s="35"/>
      <c r="I73" s="35"/>
      <c r="J73" s="35"/>
      <c r="K73" s="35"/>
      <c r="L73" s="35"/>
      <c r="M73" s="35"/>
      <c r="N73" s="35"/>
      <c r="O73" s="35"/>
      <c r="P73" s="35"/>
      <c r="Q73" s="35"/>
      <c r="R73" s="35"/>
      <c r="S73" s="934">
        <f t="shared" ref="S73:AF73" si="49">S66/S69</f>
        <v>1.2600328145093345</v>
      </c>
      <c r="T73" s="934">
        <f t="shared" si="49"/>
        <v>1.268539721683988</v>
      </c>
      <c r="U73" s="934">
        <f t="shared" si="49"/>
        <v>1.2685390812105377</v>
      </c>
      <c r="V73" s="934">
        <f t="shared" si="49"/>
        <v>1.2593628928110203</v>
      </c>
      <c r="W73" s="934">
        <f t="shared" si="49"/>
        <v>1.2770689801820192</v>
      </c>
      <c r="X73" s="934">
        <f t="shared" si="49"/>
        <v>1.2790980342847562</v>
      </c>
      <c r="Y73" s="934">
        <f t="shared" si="49"/>
        <v>1.2905875974811292</v>
      </c>
      <c r="Z73" s="934">
        <f t="shared" si="49"/>
        <v>1.303388560486221</v>
      </c>
      <c r="AA73" s="934">
        <f t="shared" si="49"/>
        <v>1.3113712791132146</v>
      </c>
      <c r="AB73" s="934">
        <f t="shared" si="49"/>
        <v>1.3190194210940411</v>
      </c>
      <c r="AC73" s="934">
        <f t="shared" si="49"/>
        <v>1.3274530055773599</v>
      </c>
      <c r="AD73" s="934">
        <f t="shared" si="49"/>
        <v>1.3358338141950377</v>
      </c>
      <c r="AE73" s="934">
        <f t="shared" si="49"/>
        <v>1.3441368815037222</v>
      </c>
      <c r="AF73" s="937">
        <f t="shared" si="49"/>
        <v>1.3524196527521242</v>
      </c>
      <c r="AG73" s="937">
        <f t="shared" ref="AG73:AJ73" si="50">AG66/AG69</f>
        <v>1.3607698607698608</v>
      </c>
      <c r="AH73" s="937">
        <f t="shared" si="50"/>
        <v>1.369212537289036</v>
      </c>
      <c r="AI73" s="937">
        <f t="shared" si="50"/>
        <v>1.3778394029607275</v>
      </c>
      <c r="AJ73" s="937">
        <f t="shared" si="50"/>
        <v>1.3864940774209304</v>
      </c>
      <c r="AK73" s="933"/>
      <c r="AL73" s="933"/>
      <c r="AM73" s="933"/>
      <c r="AN73" s="933"/>
      <c r="AO73" s="933"/>
    </row>
    <row r="74" spans="2:68" x14ac:dyDescent="0.35">
      <c r="B74" s="957" t="s">
        <v>1707</v>
      </c>
      <c r="C74" s="930"/>
      <c r="D74" s="239"/>
      <c r="E74" s="239"/>
      <c r="F74" s="239"/>
      <c r="G74" s="239"/>
      <c r="H74" s="239"/>
      <c r="I74" s="239"/>
      <c r="J74" s="239"/>
      <c r="K74" s="239"/>
      <c r="L74" s="239"/>
      <c r="M74" s="239"/>
      <c r="N74" s="239"/>
      <c r="O74" s="239"/>
      <c r="P74" s="239"/>
      <c r="Q74" s="239"/>
      <c r="R74" s="239"/>
      <c r="S74" s="239"/>
      <c r="T74" s="239"/>
      <c r="U74" s="239"/>
      <c r="V74" s="239"/>
      <c r="W74" s="861">
        <f>(W71/V71)^4-1</f>
        <v>2.591317234659396E-2</v>
      </c>
      <c r="X74" s="861">
        <f t="shared" ref="X74:AJ74" si="51">(X71/W71)^4-1</f>
        <v>1.7881052140676923E-2</v>
      </c>
      <c r="Y74" s="861">
        <f t="shared" si="51"/>
        <v>3.3974968431316865E-2</v>
      </c>
      <c r="Z74" s="861">
        <f t="shared" si="51"/>
        <v>3.173474992777825E-2</v>
      </c>
      <c r="AA74" s="861">
        <f t="shared" si="51"/>
        <v>2.2474645472145172E-2</v>
      </c>
      <c r="AB74" s="861">
        <f t="shared" si="51"/>
        <v>2.0485836297992499E-2</v>
      </c>
      <c r="AC74" s="861">
        <f t="shared" si="51"/>
        <v>2.1796033645922641E-2</v>
      </c>
      <c r="AD74" s="861">
        <f t="shared" si="51"/>
        <v>2.1576747995004641E-2</v>
      </c>
      <c r="AE74" s="861">
        <f t="shared" si="51"/>
        <v>2.0708760783051394E-2</v>
      </c>
      <c r="AF74" s="861">
        <f t="shared" si="51"/>
        <v>2.0110814282412459E-2</v>
      </c>
      <c r="AG74" s="861">
        <f t="shared" si="51"/>
        <v>1.9760549063349009E-2</v>
      </c>
      <c r="AH74" s="861">
        <f t="shared" si="51"/>
        <v>1.9516602813602013E-2</v>
      </c>
      <c r="AI74" s="861">
        <f t="shared" si="51"/>
        <v>1.931367329950362E-2</v>
      </c>
      <c r="AJ74" s="861">
        <f t="shared" si="51"/>
        <v>1.911249634450618E-2</v>
      </c>
    </row>
    <row r="75" spans="2:68" x14ac:dyDescent="0.35">
      <c r="B75" s="68" t="s">
        <v>1721</v>
      </c>
      <c r="C75" s="930"/>
      <c r="D75" s="239"/>
      <c r="E75" s="239"/>
      <c r="F75" s="239"/>
      <c r="G75" s="239"/>
      <c r="H75" s="239"/>
      <c r="I75" s="239"/>
      <c r="J75" s="239"/>
      <c r="K75" s="239"/>
      <c r="L75" s="239"/>
      <c r="M75" s="239"/>
      <c r="N75" s="239"/>
      <c r="O75" s="239"/>
      <c r="P75" s="239"/>
      <c r="Q75" s="239"/>
      <c r="R75" s="239"/>
      <c r="S75" s="239"/>
      <c r="T75" s="861"/>
      <c r="U75" s="861"/>
      <c r="V75" s="861"/>
      <c r="W75" s="861">
        <f>(W72/V72)^4-1</f>
        <v>3.9795259340948075E-2</v>
      </c>
      <c r="X75" s="861">
        <f t="shared" ref="X75:AJ75" si="52">(X72/W72)^4-1</f>
        <v>3.975797723469876E-2</v>
      </c>
      <c r="Y75" s="861">
        <f t="shared" si="52"/>
        <v>4.106218805469708E-2</v>
      </c>
      <c r="Z75" s="861">
        <f t="shared" si="52"/>
        <v>3.2993852387617872E-2</v>
      </c>
      <c r="AA75" s="861">
        <f t="shared" si="52"/>
        <v>2.7505871693797701E-2</v>
      </c>
      <c r="AB75" s="861">
        <f t="shared" si="52"/>
        <v>2.5438723088733628E-2</v>
      </c>
      <c r="AC75" s="861">
        <f t="shared" si="52"/>
        <v>2.4377163912874478E-2</v>
      </c>
      <c r="AD75" s="861">
        <f t="shared" si="52"/>
        <v>2.3708971853545924E-2</v>
      </c>
      <c r="AE75" s="861">
        <f t="shared" si="52"/>
        <v>2.3471980846518914E-2</v>
      </c>
      <c r="AF75" s="861">
        <f t="shared" si="52"/>
        <v>2.3530345294352939E-2</v>
      </c>
      <c r="AG75" s="861">
        <f t="shared" si="52"/>
        <v>1.7936865457563567E-2</v>
      </c>
      <c r="AH75" s="861">
        <f t="shared" si="52"/>
        <v>1.8813069627471091E-2</v>
      </c>
      <c r="AI75" s="861">
        <f t="shared" si="52"/>
        <v>1.9900488886725354E-2</v>
      </c>
      <c r="AJ75" s="861">
        <f t="shared" si="52"/>
        <v>2.0316139660349508E-2</v>
      </c>
    </row>
    <row r="76" spans="2:68" x14ac:dyDescent="0.35">
      <c r="B76" s="322" t="s">
        <v>1722</v>
      </c>
      <c r="W76" s="861">
        <f>(W73/V73)^4-1</f>
        <v>5.7435420529331704E-2</v>
      </c>
      <c r="X76" s="861">
        <f t="shared" ref="X76:AJ76" si="53">(X73/W73)^4-1</f>
        <v>6.3705093836337046E-3</v>
      </c>
      <c r="Y76" s="861">
        <f t="shared" si="53"/>
        <v>3.6417226498020927E-2</v>
      </c>
      <c r="Z76" s="861">
        <f t="shared" si="53"/>
        <v>4.0269034245715041E-2</v>
      </c>
      <c r="AA76" s="861">
        <f t="shared" si="53"/>
        <v>2.4724337980433164E-2</v>
      </c>
      <c r="AB76" s="861">
        <f t="shared" si="53"/>
        <v>2.3533565330379203E-2</v>
      </c>
      <c r="AC76" s="861">
        <f t="shared" si="53"/>
        <v>2.5821649071183117E-2</v>
      </c>
      <c r="AD76" s="861">
        <f t="shared" si="53"/>
        <v>2.5493967451795996E-2</v>
      </c>
      <c r="AE76" s="861">
        <f t="shared" si="53"/>
        <v>2.5095343044312823E-2</v>
      </c>
      <c r="AF76" s="861">
        <f t="shared" si="53"/>
        <v>2.4877364391311607E-2</v>
      </c>
      <c r="AG76" s="861">
        <f t="shared" si="53"/>
        <v>2.492676444114772E-2</v>
      </c>
      <c r="AH76" s="861">
        <f t="shared" si="53"/>
        <v>2.504927274258284E-2</v>
      </c>
      <c r="AI76" s="861">
        <f t="shared" si="53"/>
        <v>2.5441602770702954E-2</v>
      </c>
      <c r="AJ76" s="861">
        <f t="shared" si="53"/>
        <v>2.5363074529146656E-2</v>
      </c>
    </row>
    <row r="77" spans="2:68" x14ac:dyDescent="0.35">
      <c r="C77" s="30"/>
      <c r="D77" s="971"/>
      <c r="E77" s="971"/>
      <c r="F77" s="971"/>
      <c r="G77" s="971"/>
    </row>
    <row r="80" spans="2:68" x14ac:dyDescent="0.35">
      <c r="W80">
        <f>(W69/V69)^4-1</f>
        <v>4.980640045785556E-2</v>
      </c>
      <c r="X80">
        <f t="shared" ref="X80:AJ80" si="54">(X69/W69)^4-1</f>
        <v>5.999274609105365E-2</v>
      </c>
      <c r="Y80">
        <f t="shared" si="54"/>
        <v>2.027048210362814E-2</v>
      </c>
      <c r="Z80">
        <f t="shared" si="54"/>
        <v>7.1922602348035714E-3</v>
      </c>
      <c r="AA80">
        <f t="shared" si="54"/>
        <v>1.0867421012894951E-2</v>
      </c>
      <c r="AB80">
        <f t="shared" si="54"/>
        <v>1.0335831491519176E-2</v>
      </c>
      <c r="AC80">
        <f t="shared" si="54"/>
        <v>9.3080611184379602E-3</v>
      </c>
      <c r="AD80">
        <f t="shared" si="54"/>
        <v>9.4528665939315193E-3</v>
      </c>
      <c r="AE80">
        <f t="shared" si="54"/>
        <v>8.4347592929912008E-3</v>
      </c>
      <c r="AF80">
        <f t="shared" si="54"/>
        <v>8.2514621880049877E-3</v>
      </c>
      <c r="AG80">
        <f t="shared" si="54"/>
        <v>9.3913473923272761E-3</v>
      </c>
      <c r="AH80">
        <f t="shared" si="54"/>
        <v>8.3800146018255806E-3</v>
      </c>
      <c r="AI80">
        <f t="shared" si="54"/>
        <v>8.1980223874402736E-3</v>
      </c>
      <c r="AJ80">
        <f t="shared" si="54"/>
        <v>7.5249136705946018E-3</v>
      </c>
    </row>
    <row r="81" spans="3:13" x14ac:dyDescent="0.35">
      <c r="C81" s="14"/>
      <c r="D81" s="80"/>
      <c r="E81" s="80"/>
      <c r="F81" s="80"/>
      <c r="G81" s="80"/>
      <c r="H81" s="80"/>
      <c r="I81" s="80"/>
      <c r="J81" s="80"/>
      <c r="K81" s="80"/>
      <c r="L81" s="80"/>
      <c r="M81" s="80"/>
    </row>
    <row r="82" spans="3:13" x14ac:dyDescent="0.35">
      <c r="C82" s="30"/>
      <c r="D82" s="974"/>
      <c r="E82" s="974"/>
      <c r="F82" s="974"/>
      <c r="G82" s="974"/>
      <c r="H82" s="974"/>
      <c r="I82" s="974"/>
      <c r="J82" s="974"/>
      <c r="K82" s="974"/>
      <c r="L82" s="974"/>
      <c r="M82" s="974"/>
    </row>
    <row r="83" spans="3:13" x14ac:dyDescent="0.35">
      <c r="C83" s="971"/>
      <c r="D83" s="974"/>
      <c r="E83" s="974"/>
      <c r="F83" s="974"/>
      <c r="G83" s="974"/>
      <c r="H83" s="974"/>
      <c r="I83" s="974"/>
      <c r="J83" s="974"/>
      <c r="K83" s="974"/>
      <c r="L83" s="974"/>
      <c r="M83" s="974"/>
    </row>
    <row r="84" spans="3:13" x14ac:dyDescent="0.35">
      <c r="C84" s="971"/>
      <c r="D84" s="974"/>
      <c r="E84" s="974"/>
      <c r="F84" s="974"/>
      <c r="G84" s="974"/>
      <c r="H84" s="974"/>
      <c r="I84" s="974"/>
      <c r="J84" s="974"/>
      <c r="K84" s="974"/>
      <c r="L84" s="974"/>
      <c r="M84" s="974"/>
    </row>
    <row r="85" spans="3:13" x14ac:dyDescent="0.35">
      <c r="C85" s="971"/>
      <c r="D85" s="974"/>
      <c r="E85" s="974"/>
      <c r="F85" s="974"/>
      <c r="G85" s="974"/>
      <c r="H85" s="974"/>
      <c r="I85" s="974"/>
      <c r="J85" s="974"/>
      <c r="K85" s="974"/>
      <c r="L85" s="974"/>
      <c r="M85" s="974"/>
    </row>
    <row r="86" spans="3:13" x14ac:dyDescent="0.35">
      <c r="C86" s="971"/>
      <c r="D86" s="974"/>
      <c r="E86" s="974"/>
      <c r="F86" s="974"/>
      <c r="G86" s="974"/>
      <c r="H86" s="974"/>
      <c r="I86" s="974"/>
      <c r="J86" s="974"/>
      <c r="K86" s="974"/>
      <c r="L86" s="974"/>
      <c r="M86" s="974"/>
    </row>
  </sheetData>
  <mergeCells count="33">
    <mergeCell ref="Y9:AB9"/>
    <mergeCell ref="E9:H9"/>
    <mergeCell ref="E62:H62"/>
    <mergeCell ref="Y43:AB43"/>
    <mergeCell ref="D8:V8"/>
    <mergeCell ref="AG62:AJ62"/>
    <mergeCell ref="I9:L9"/>
    <mergeCell ref="M9:P9"/>
    <mergeCell ref="D42:V42"/>
    <mergeCell ref="AG43:AJ43"/>
    <mergeCell ref="Y62:AB62"/>
    <mergeCell ref="AC62:AF62"/>
    <mergeCell ref="W42:AG42"/>
    <mergeCell ref="AG9:AJ9"/>
    <mergeCell ref="B22:AJ22"/>
    <mergeCell ref="B61:E61"/>
    <mergeCell ref="Q62:R62"/>
    <mergeCell ref="AC43:AF43"/>
    <mergeCell ref="M62:P62"/>
    <mergeCell ref="I62:L62"/>
    <mergeCell ref="Q9:R9"/>
    <mergeCell ref="B1:AC1"/>
    <mergeCell ref="B2:AC4"/>
    <mergeCell ref="B42:C44"/>
    <mergeCell ref="E43:H43"/>
    <mergeCell ref="I43:L43"/>
    <mergeCell ref="M43:P43"/>
    <mergeCell ref="B8:C10"/>
    <mergeCell ref="AC9:AF9"/>
    <mergeCell ref="Q43:T43"/>
    <mergeCell ref="B7:F7"/>
    <mergeCell ref="B11:AF11"/>
    <mergeCell ref="W8:AF8"/>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W53" sqref="W53"/>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71" t="s">
        <v>315</v>
      </c>
      <c r="I1" s="1271"/>
      <c r="J1" s="1271"/>
      <c r="K1" s="1271"/>
      <c r="L1" s="1271"/>
      <c r="M1" s="1271"/>
      <c r="N1" s="1271"/>
      <c r="O1" s="1271"/>
      <c r="P1" s="1271"/>
      <c r="Q1" s="1271"/>
      <c r="R1" s="1271"/>
      <c r="S1" s="1271"/>
    </row>
    <row r="2" spans="8:22" x14ac:dyDescent="0.35">
      <c r="H2" s="1313" t="s">
        <v>316</v>
      </c>
      <c r="I2" s="1313"/>
      <c r="J2" s="1313"/>
      <c r="K2" s="1313"/>
      <c r="L2" s="1313"/>
      <c r="M2" s="1313"/>
      <c r="N2" s="1313"/>
      <c r="O2" s="1313"/>
      <c r="P2" s="1313"/>
      <c r="Q2" s="1313"/>
      <c r="R2" s="1313"/>
      <c r="S2" s="1313"/>
    </row>
    <row r="3" spans="8:22" x14ac:dyDescent="0.35">
      <c r="H3" s="1313"/>
      <c r="I3" s="1313"/>
      <c r="J3" s="1313"/>
      <c r="K3" s="1313"/>
      <c r="L3" s="1313"/>
      <c r="M3" s="1313"/>
      <c r="N3" s="1313"/>
      <c r="O3" s="1313"/>
      <c r="P3" s="1313"/>
      <c r="Q3" s="1313"/>
      <c r="R3" s="1313"/>
      <c r="S3" s="1313"/>
    </row>
    <row r="4" spans="8:22" x14ac:dyDescent="0.35">
      <c r="H4" s="1313"/>
      <c r="I4" s="1313"/>
      <c r="J4" s="1313"/>
      <c r="K4" s="1313"/>
      <c r="L4" s="1313"/>
      <c r="M4" s="1313"/>
      <c r="N4" s="1313"/>
      <c r="O4" s="1313"/>
      <c r="P4" s="1313"/>
      <c r="Q4" s="1313"/>
      <c r="R4" s="1313"/>
      <c r="S4" s="1313"/>
    </row>
    <row r="5" spans="8:22" ht="54.75" customHeight="1" x14ac:dyDescent="0.35">
      <c r="H5" s="1313"/>
      <c r="I5" s="1313"/>
      <c r="J5" s="1313"/>
      <c r="K5" s="1313"/>
      <c r="L5" s="1313"/>
      <c r="M5" s="1313"/>
      <c r="N5" s="1313"/>
      <c r="O5" s="1313"/>
      <c r="P5" s="1313"/>
      <c r="Q5" s="1313"/>
      <c r="R5" s="1313"/>
      <c r="S5" s="1313"/>
    </row>
    <row r="6" spans="8:22" x14ac:dyDescent="0.35">
      <c r="H6" s="220"/>
      <c r="I6" s="220"/>
      <c r="J6" s="220"/>
      <c r="K6" s="220"/>
      <c r="L6" s="220"/>
      <c r="M6" s="220"/>
      <c r="N6" s="220"/>
      <c r="O6" s="220"/>
      <c r="P6" s="220"/>
      <c r="Q6" s="220"/>
      <c r="R6" s="220"/>
      <c r="S6" s="220"/>
    </row>
    <row r="7" spans="8:22" x14ac:dyDescent="0.35">
      <c r="H7" s="987" t="s">
        <v>317</v>
      </c>
    </row>
    <row r="8" spans="8:22" ht="16.399999999999999" customHeight="1" x14ac:dyDescent="0.35"/>
    <row r="9" spans="8:22" ht="15.75" customHeight="1" x14ac:dyDescent="0.35">
      <c r="L9" s="1282">
        <v>2020</v>
      </c>
      <c r="M9" s="1283"/>
      <c r="N9" s="1283"/>
      <c r="O9" s="556">
        <v>2021</v>
      </c>
      <c r="P9" s="556"/>
      <c r="Q9" s="556"/>
      <c r="R9" s="978"/>
    </row>
    <row r="10" spans="8:22" ht="41.9" customHeight="1" x14ac:dyDescent="0.35">
      <c r="H10" s="982" t="s">
        <v>318</v>
      </c>
      <c r="I10" s="982" t="s">
        <v>319</v>
      </c>
      <c r="J10" s="983" t="s">
        <v>320</v>
      </c>
      <c r="K10" s="231"/>
      <c r="L10" s="993" t="s">
        <v>283</v>
      </c>
      <c r="M10" s="994" t="s">
        <v>238</v>
      </c>
      <c r="N10" s="994" t="s">
        <v>281</v>
      </c>
      <c r="O10" s="994" t="s">
        <v>282</v>
      </c>
      <c r="P10" s="994" t="s">
        <v>283</v>
      </c>
      <c r="Q10" s="994" t="s">
        <v>238</v>
      </c>
      <c r="R10" s="981" t="s">
        <v>281</v>
      </c>
      <c r="S10" s="220" t="s">
        <v>321</v>
      </c>
      <c r="T10" s="231"/>
      <c r="U10" s="231"/>
      <c r="V10" s="231"/>
    </row>
    <row r="11" spans="8:22" x14ac:dyDescent="0.35">
      <c r="H11" s="984">
        <v>43934</v>
      </c>
      <c r="I11" s="219">
        <v>248</v>
      </c>
      <c r="J11" s="567">
        <f>I11</f>
        <v>248</v>
      </c>
      <c r="K11" s="219"/>
      <c r="L11" s="917">
        <f>S11/26*J11</f>
        <v>95.384615384615387</v>
      </c>
      <c r="M11" s="770">
        <f>13/26*J11</f>
        <v>124</v>
      </c>
      <c r="N11" s="770">
        <f>J11-SUM(L11:M11)</f>
        <v>28.615384615384613</v>
      </c>
      <c r="O11" s="770"/>
      <c r="P11" s="770"/>
      <c r="Q11" s="770"/>
      <c r="R11" s="992"/>
      <c r="S11" s="219">
        <v>10</v>
      </c>
      <c r="T11" s="219"/>
      <c r="U11" s="989"/>
      <c r="V11" s="219"/>
    </row>
    <row r="12" spans="8:22" x14ac:dyDescent="0.35">
      <c r="H12" s="990">
        <v>43937</v>
      </c>
      <c r="I12" s="219">
        <v>342</v>
      </c>
      <c r="J12" s="567">
        <f>I12-I11</f>
        <v>94</v>
      </c>
      <c r="K12" s="219"/>
      <c r="L12" s="917">
        <f t="shared" ref="L12:L20" si="0">S12/26*J12</f>
        <v>36.153846153846153</v>
      </c>
      <c r="M12" s="770">
        <f t="shared" ref="M12:M20" si="1">13/26*J12</f>
        <v>47</v>
      </c>
      <c r="N12" s="770">
        <f t="shared" ref="N12:N21" si="2">J12-SUM(L12:M12)</f>
        <v>10.84615384615384</v>
      </c>
      <c r="O12" s="770"/>
      <c r="P12" s="770"/>
      <c r="Q12" s="770"/>
      <c r="R12" s="992"/>
      <c r="S12" s="219">
        <v>10</v>
      </c>
      <c r="T12" s="219"/>
      <c r="U12" s="219"/>
      <c r="V12" s="219"/>
    </row>
    <row r="13" spans="8:22" x14ac:dyDescent="0.35">
      <c r="H13" s="990">
        <v>43952</v>
      </c>
      <c r="I13" s="219">
        <v>518</v>
      </c>
      <c r="J13" s="567">
        <f>I13-I12</f>
        <v>176</v>
      </c>
      <c r="K13" s="219"/>
      <c r="L13" s="917">
        <f t="shared" si="0"/>
        <v>54.15384615384616</v>
      </c>
      <c r="M13" s="770">
        <f t="shared" si="1"/>
        <v>88</v>
      </c>
      <c r="N13" s="770">
        <f t="shared" si="2"/>
        <v>33.84615384615384</v>
      </c>
      <c r="O13" s="770"/>
      <c r="P13" s="770"/>
      <c r="Q13" s="770"/>
      <c r="R13" s="992"/>
      <c r="S13" s="219">
        <v>8</v>
      </c>
      <c r="T13" s="219"/>
      <c r="U13" s="219"/>
      <c r="V13" s="219"/>
    </row>
    <row r="14" spans="8:22" x14ac:dyDescent="0.35">
      <c r="H14" s="990">
        <v>43959</v>
      </c>
      <c r="I14" s="219">
        <v>531</v>
      </c>
      <c r="J14" s="567">
        <f t="shared" ref="J14:J45" si="3">I14-I13</f>
        <v>13</v>
      </c>
      <c r="K14" s="219"/>
      <c r="L14" s="917">
        <f t="shared" si="0"/>
        <v>3.5</v>
      </c>
      <c r="M14" s="770">
        <f t="shared" si="1"/>
        <v>6.5</v>
      </c>
      <c r="N14" s="770">
        <f t="shared" si="2"/>
        <v>3</v>
      </c>
      <c r="O14" s="770"/>
      <c r="P14" s="770"/>
      <c r="Q14" s="770"/>
      <c r="R14" s="992"/>
      <c r="S14" s="219">
        <f t="shared" ref="S14:S20" si="4">S13-1</f>
        <v>7</v>
      </c>
      <c r="T14" s="219"/>
      <c r="U14" s="219"/>
      <c r="V14" s="219"/>
    </row>
    <row r="15" spans="8:22" x14ac:dyDescent="0.35">
      <c r="H15" s="990">
        <v>43967</v>
      </c>
      <c r="I15" s="219">
        <v>513</v>
      </c>
      <c r="J15" s="567">
        <f t="shared" si="3"/>
        <v>-18</v>
      </c>
      <c r="K15" s="219"/>
      <c r="L15" s="917">
        <f t="shared" ref="L15:L17" si="5">S15/26*J15</f>
        <v>-4.1538461538461542</v>
      </c>
      <c r="M15" s="770">
        <f t="shared" ref="M15:M17" si="6">13/26*J15</f>
        <v>-9</v>
      </c>
      <c r="N15" s="770">
        <f t="shared" ref="N15:N17" si="7">J15-SUM(L15:M15)</f>
        <v>-4.8461538461538467</v>
      </c>
      <c r="O15" s="770"/>
      <c r="P15" s="770"/>
      <c r="Q15" s="770"/>
      <c r="R15" s="992"/>
      <c r="S15" s="219">
        <f t="shared" si="4"/>
        <v>6</v>
      </c>
      <c r="T15" s="219"/>
      <c r="U15" s="219"/>
      <c r="V15" s="219"/>
    </row>
    <row r="16" spans="8:22" x14ac:dyDescent="0.35">
      <c r="H16" s="990">
        <v>43974</v>
      </c>
      <c r="I16" s="219">
        <v>511</v>
      </c>
      <c r="J16" s="567">
        <f t="shared" si="3"/>
        <v>-2</v>
      </c>
      <c r="K16" s="219"/>
      <c r="L16" s="917">
        <f t="shared" si="5"/>
        <v>-0.38461538461538464</v>
      </c>
      <c r="M16" s="770">
        <f t="shared" si="6"/>
        <v>-1</v>
      </c>
      <c r="N16" s="770">
        <f t="shared" si="7"/>
        <v>-0.61538461538461542</v>
      </c>
      <c r="O16" s="770"/>
      <c r="P16" s="770"/>
      <c r="Q16" s="770"/>
      <c r="R16" s="992"/>
      <c r="S16" s="219">
        <f t="shared" si="4"/>
        <v>5</v>
      </c>
      <c r="T16" s="219"/>
      <c r="U16" s="219"/>
      <c r="V16" s="219"/>
    </row>
    <row r="17" spans="8:22" x14ac:dyDescent="0.35">
      <c r="H17" s="990">
        <v>43981</v>
      </c>
      <c r="I17" s="219">
        <v>510</v>
      </c>
      <c r="J17" s="567">
        <f t="shared" si="3"/>
        <v>-1</v>
      </c>
      <c r="K17" s="219"/>
      <c r="L17" s="917">
        <f t="shared" si="5"/>
        <v>-0.15384615384615385</v>
      </c>
      <c r="M17" s="770">
        <f t="shared" si="6"/>
        <v>-0.5</v>
      </c>
      <c r="N17" s="770">
        <f t="shared" si="7"/>
        <v>-0.34615384615384615</v>
      </c>
      <c r="O17" s="770"/>
      <c r="P17" s="770"/>
      <c r="Q17" s="770"/>
      <c r="R17" s="992"/>
      <c r="S17" s="219">
        <f t="shared" si="4"/>
        <v>4</v>
      </c>
      <c r="T17" s="219"/>
      <c r="U17" s="219"/>
      <c r="V17" s="219"/>
    </row>
    <row r="18" spans="8:22" x14ac:dyDescent="0.35">
      <c r="H18" s="990">
        <v>43988</v>
      </c>
      <c r="I18" s="219">
        <v>511</v>
      </c>
      <c r="J18" s="567">
        <f t="shared" si="3"/>
        <v>1</v>
      </c>
      <c r="K18" s="219"/>
      <c r="L18" s="917">
        <f t="shared" si="0"/>
        <v>0.11538461538461539</v>
      </c>
      <c r="M18" s="770">
        <f t="shared" si="1"/>
        <v>0.5</v>
      </c>
      <c r="N18" s="770">
        <f t="shared" si="2"/>
        <v>0.38461538461538458</v>
      </c>
      <c r="O18" s="770"/>
      <c r="P18" s="770"/>
      <c r="Q18" s="770"/>
      <c r="R18" s="992"/>
      <c r="S18" s="219">
        <f t="shared" si="4"/>
        <v>3</v>
      </c>
      <c r="T18" s="219"/>
      <c r="U18" s="219"/>
      <c r="V18" s="219"/>
    </row>
    <row r="19" spans="8:22" x14ac:dyDescent="0.35">
      <c r="H19" s="990">
        <v>43994</v>
      </c>
      <c r="I19" s="219">
        <v>512</v>
      </c>
      <c r="J19" s="567">
        <f t="shared" si="3"/>
        <v>1</v>
      </c>
      <c r="K19" s="219"/>
      <c r="L19" s="917">
        <f t="shared" si="0"/>
        <v>7.6923076923076927E-2</v>
      </c>
      <c r="M19" s="770">
        <f t="shared" si="1"/>
        <v>0.5</v>
      </c>
      <c r="N19" s="770">
        <f t="shared" si="2"/>
        <v>0.42307692307692313</v>
      </c>
      <c r="O19" s="770"/>
      <c r="P19" s="770"/>
      <c r="Q19" s="770"/>
      <c r="R19" s="992"/>
      <c r="S19" s="219">
        <f t="shared" si="4"/>
        <v>2</v>
      </c>
      <c r="T19" s="219"/>
      <c r="U19" s="219"/>
      <c r="V19" s="219"/>
    </row>
    <row r="20" spans="8:22" x14ac:dyDescent="0.35">
      <c r="H20" s="990">
        <v>44002</v>
      </c>
      <c r="I20" s="219">
        <v>515</v>
      </c>
      <c r="J20" s="567">
        <f t="shared" si="3"/>
        <v>3</v>
      </c>
      <c r="K20" s="219"/>
      <c r="L20" s="917">
        <f t="shared" si="0"/>
        <v>0.11538461538461539</v>
      </c>
      <c r="M20" s="770">
        <f t="shared" si="1"/>
        <v>1.5</v>
      </c>
      <c r="N20" s="770">
        <f t="shared" si="2"/>
        <v>1.3846153846153846</v>
      </c>
      <c r="O20" s="770"/>
      <c r="P20" s="770"/>
      <c r="Q20" s="770"/>
      <c r="R20" s="992"/>
      <c r="S20" s="219">
        <f t="shared" si="4"/>
        <v>1</v>
      </c>
      <c r="T20" s="219"/>
      <c r="U20" s="219"/>
      <c r="V20" s="219"/>
    </row>
    <row r="21" spans="8:22" x14ac:dyDescent="0.35">
      <c r="H21" s="990">
        <v>44009</v>
      </c>
      <c r="I21" s="219">
        <v>519</v>
      </c>
      <c r="J21" s="567">
        <f t="shared" si="3"/>
        <v>4</v>
      </c>
      <c r="K21" s="219"/>
      <c r="L21" s="917"/>
      <c r="M21" s="770">
        <f>S21/26*J21</f>
        <v>2</v>
      </c>
      <c r="N21" s="770">
        <f t="shared" si="2"/>
        <v>2</v>
      </c>
      <c r="O21" s="770"/>
      <c r="P21" s="770"/>
      <c r="Q21" s="770"/>
      <c r="R21" s="992"/>
      <c r="S21" s="219">
        <v>13</v>
      </c>
      <c r="T21" s="219"/>
      <c r="U21" s="219"/>
      <c r="V21" s="219"/>
    </row>
    <row r="22" spans="8:22" x14ac:dyDescent="0.35">
      <c r="H22" s="990">
        <v>44012</v>
      </c>
      <c r="I22" s="219">
        <v>521</v>
      </c>
      <c r="J22" s="567">
        <f t="shared" si="3"/>
        <v>2</v>
      </c>
      <c r="K22" s="219"/>
      <c r="L22" s="917"/>
      <c r="M22" s="770">
        <f t="shared" ref="M22:M26" si="8">S22/26*J22</f>
        <v>1</v>
      </c>
      <c r="N22" s="770">
        <f>J22-SUM(L22:M22)</f>
        <v>1</v>
      </c>
      <c r="O22" s="770"/>
      <c r="P22" s="770"/>
      <c r="Q22" s="770"/>
      <c r="R22" s="992"/>
      <c r="S22" s="219">
        <v>13</v>
      </c>
      <c r="T22" s="219"/>
      <c r="U22" s="219"/>
      <c r="V22" s="219"/>
    </row>
    <row r="23" spans="8:22" x14ac:dyDescent="0.35">
      <c r="H23" s="990">
        <v>44029</v>
      </c>
      <c r="I23" s="219">
        <v>518</v>
      </c>
      <c r="J23" s="567">
        <f t="shared" si="3"/>
        <v>-3</v>
      </c>
      <c r="K23" s="219"/>
      <c r="L23" s="917"/>
      <c r="M23" s="770">
        <f t="shared" ref="M23" si="9">S23/26*J23</f>
        <v>-1.153846153846154</v>
      </c>
      <c r="N23" s="770">
        <f t="shared" ref="N23" si="10">13/26*J23</f>
        <v>-1.5</v>
      </c>
      <c r="O23" s="770">
        <f t="shared" ref="O23" si="11">J23-N23-M23</f>
        <v>-0.34615384615384603</v>
      </c>
      <c r="P23" s="770"/>
      <c r="Q23" s="770"/>
      <c r="R23" s="992"/>
      <c r="S23" s="219">
        <f>S22-3</f>
        <v>10</v>
      </c>
      <c r="T23" s="219"/>
      <c r="U23" s="219"/>
      <c r="V23" s="219"/>
    </row>
    <row r="24" spans="8:22" x14ac:dyDescent="0.35">
      <c r="H24" s="990">
        <v>44036</v>
      </c>
      <c r="I24" s="219">
        <v>520</v>
      </c>
      <c r="J24" s="567">
        <f t="shared" si="3"/>
        <v>2</v>
      </c>
      <c r="K24" s="219"/>
      <c r="L24" s="917"/>
      <c r="M24" s="770">
        <f t="shared" si="8"/>
        <v>0.69230769230769229</v>
      </c>
      <c r="N24" s="770">
        <f t="shared" ref="N24:N26" si="12">13/26*J24</f>
        <v>1</v>
      </c>
      <c r="O24" s="770">
        <f t="shared" ref="O24:O26" si="13">J24-N24-M24</f>
        <v>0.30769230769230771</v>
      </c>
      <c r="P24" s="770"/>
      <c r="Q24" s="770"/>
      <c r="R24" s="992"/>
      <c r="S24" s="219">
        <f>S23-1</f>
        <v>9</v>
      </c>
      <c r="T24" s="219"/>
      <c r="U24" s="219"/>
      <c r="V24" s="219"/>
    </row>
    <row r="25" spans="8:22" x14ac:dyDescent="0.35">
      <c r="H25" s="990">
        <v>44043</v>
      </c>
      <c r="I25" s="219">
        <v>521</v>
      </c>
      <c r="J25" s="567">
        <f t="shared" si="3"/>
        <v>1</v>
      </c>
      <c r="K25" s="219"/>
      <c r="L25" s="917"/>
      <c r="M25" s="770">
        <f t="shared" si="8"/>
        <v>0.30769230769230771</v>
      </c>
      <c r="N25" s="770">
        <f t="shared" si="12"/>
        <v>0.5</v>
      </c>
      <c r="O25" s="770">
        <f t="shared" si="13"/>
        <v>0.19230769230769229</v>
      </c>
      <c r="P25" s="770"/>
      <c r="Q25" s="770"/>
      <c r="R25" s="992"/>
      <c r="S25" s="219">
        <f>S24-1</f>
        <v>8</v>
      </c>
      <c r="T25" s="219"/>
      <c r="U25" s="219"/>
      <c r="V25" s="219"/>
    </row>
    <row r="26" spans="8:22" x14ac:dyDescent="0.35">
      <c r="H26" s="990">
        <v>44051</v>
      </c>
      <c r="I26" s="219">
        <v>525</v>
      </c>
      <c r="J26" s="567">
        <f t="shared" si="3"/>
        <v>4</v>
      </c>
      <c r="K26" s="219"/>
      <c r="L26" s="917"/>
      <c r="M26" s="770">
        <f t="shared" si="8"/>
        <v>1.0769230769230769</v>
      </c>
      <c r="N26" s="770">
        <f t="shared" si="12"/>
        <v>2</v>
      </c>
      <c r="O26" s="770">
        <f t="shared" si="13"/>
        <v>0.92307692307692313</v>
      </c>
      <c r="P26" s="770"/>
      <c r="Q26" s="770"/>
      <c r="R26" s="992"/>
      <c r="S26" s="219">
        <f>S25-1</f>
        <v>7</v>
      </c>
      <c r="T26" s="219"/>
      <c r="U26" s="219"/>
      <c r="V26" s="219"/>
    </row>
    <row r="27" spans="8:22" x14ac:dyDescent="0.35">
      <c r="H27" s="990">
        <v>44220</v>
      </c>
      <c r="I27" s="219">
        <v>558</v>
      </c>
      <c r="J27" s="567">
        <f t="shared" si="3"/>
        <v>33</v>
      </c>
      <c r="K27" s="219"/>
      <c r="L27" s="917"/>
      <c r="M27" s="770"/>
      <c r="N27" s="770"/>
      <c r="O27" s="770">
        <f>S27/26*J27</f>
        <v>12.692307692307693</v>
      </c>
      <c r="P27" s="770">
        <f>J27/2</f>
        <v>16.5</v>
      </c>
      <c r="Q27" s="770">
        <f>J27-P27-O27</f>
        <v>3.8076923076923066</v>
      </c>
      <c r="R27" s="992"/>
      <c r="S27" s="219">
        <v>10</v>
      </c>
      <c r="T27" s="219">
        <v>10</v>
      </c>
      <c r="U27" s="219"/>
      <c r="V27" s="219"/>
    </row>
    <row r="28" spans="8:22" x14ac:dyDescent="0.35">
      <c r="H28" s="990">
        <v>44227</v>
      </c>
      <c r="I28" s="219">
        <v>596</v>
      </c>
      <c r="J28" s="567">
        <f t="shared" si="3"/>
        <v>38</v>
      </c>
      <c r="K28" s="219"/>
      <c r="L28" s="917"/>
      <c r="M28" s="770"/>
      <c r="N28" s="770"/>
      <c r="O28" s="770">
        <f t="shared" ref="O28:O36" si="14">S28/26*J28</f>
        <v>13.153846153846153</v>
      </c>
      <c r="P28" s="770">
        <f t="shared" ref="P28:P36" si="15">J28/2</f>
        <v>19</v>
      </c>
      <c r="Q28" s="770">
        <f t="shared" ref="Q28:Q36" si="16">J28-P28-O28</f>
        <v>5.8461538461538467</v>
      </c>
      <c r="R28" s="992"/>
      <c r="S28" s="219">
        <f>S27-1</f>
        <v>9</v>
      </c>
      <c r="T28" s="219">
        <f>T27-1</f>
        <v>9</v>
      </c>
      <c r="U28" s="219"/>
      <c r="V28" s="219"/>
    </row>
    <row r="29" spans="8:22" x14ac:dyDescent="0.35">
      <c r="H29" s="990">
        <v>44234</v>
      </c>
      <c r="I29" s="219">
        <v>623</v>
      </c>
      <c r="J29" s="567">
        <f t="shared" si="3"/>
        <v>27</v>
      </c>
      <c r="K29" s="219"/>
      <c r="L29" s="917"/>
      <c r="M29" s="770"/>
      <c r="N29" s="770"/>
      <c r="O29" s="770">
        <f t="shared" si="14"/>
        <v>8.3076923076923084</v>
      </c>
      <c r="P29" s="770">
        <f t="shared" si="15"/>
        <v>13.5</v>
      </c>
      <c r="Q29" s="770">
        <f t="shared" si="16"/>
        <v>5.1923076923076916</v>
      </c>
      <c r="R29" s="992"/>
      <c r="S29" s="219">
        <f t="shared" ref="S29:S36" si="17">S28-1</f>
        <v>8</v>
      </c>
      <c r="T29" s="219">
        <f t="shared" ref="T29:T36" si="18">T28-1</f>
        <v>8</v>
      </c>
      <c r="U29" s="219"/>
      <c r="V29" s="219"/>
    </row>
    <row r="30" spans="8:22" x14ac:dyDescent="0.35">
      <c r="H30" s="990">
        <v>44242</v>
      </c>
      <c r="I30" s="219">
        <v>648</v>
      </c>
      <c r="J30" s="567">
        <f t="shared" si="3"/>
        <v>25</v>
      </c>
      <c r="K30" s="219"/>
      <c r="L30" s="917"/>
      <c r="M30" s="770"/>
      <c r="N30" s="770"/>
      <c r="O30" s="770">
        <f t="shared" si="14"/>
        <v>6.7307692307692308</v>
      </c>
      <c r="P30" s="770">
        <f t="shared" si="15"/>
        <v>12.5</v>
      </c>
      <c r="Q30" s="770">
        <f t="shared" si="16"/>
        <v>5.7692307692307692</v>
      </c>
      <c r="R30" s="992"/>
      <c r="S30" s="219">
        <f t="shared" si="17"/>
        <v>7</v>
      </c>
      <c r="T30" s="219">
        <f t="shared" si="18"/>
        <v>7</v>
      </c>
      <c r="U30" s="219"/>
      <c r="V30" s="219"/>
    </row>
    <row r="31" spans="8:22" x14ac:dyDescent="0.35">
      <c r="H31" s="990">
        <v>44248</v>
      </c>
      <c r="I31" s="219">
        <v>663</v>
      </c>
      <c r="J31" s="567">
        <f t="shared" si="3"/>
        <v>15</v>
      </c>
      <c r="K31" s="219"/>
      <c r="L31" s="917"/>
      <c r="M31" s="770"/>
      <c r="N31" s="770"/>
      <c r="O31" s="770">
        <f t="shared" si="14"/>
        <v>3.4615384615384617</v>
      </c>
      <c r="P31" s="770">
        <f t="shared" si="15"/>
        <v>7.5</v>
      </c>
      <c r="Q31" s="770">
        <f t="shared" si="16"/>
        <v>4.0384615384615383</v>
      </c>
      <c r="R31" s="992"/>
      <c r="S31" s="219">
        <f t="shared" si="17"/>
        <v>6</v>
      </c>
      <c r="T31" s="219">
        <f t="shared" si="18"/>
        <v>6</v>
      </c>
      <c r="U31" s="219"/>
      <c r="V31" s="219"/>
    </row>
    <row r="32" spans="8:22" x14ac:dyDescent="0.35">
      <c r="H32" s="990">
        <v>44255</v>
      </c>
      <c r="I32" s="219">
        <v>679</v>
      </c>
      <c r="J32" s="567">
        <f t="shared" si="3"/>
        <v>16</v>
      </c>
      <c r="K32" s="219"/>
      <c r="L32" s="917"/>
      <c r="M32" s="770"/>
      <c r="N32" s="770"/>
      <c r="O32" s="770">
        <f t="shared" si="14"/>
        <v>3.0769230769230771</v>
      </c>
      <c r="P32" s="770">
        <f t="shared" si="15"/>
        <v>8</v>
      </c>
      <c r="Q32" s="770">
        <f t="shared" si="16"/>
        <v>4.9230769230769234</v>
      </c>
      <c r="R32" s="992"/>
      <c r="S32" s="219">
        <f t="shared" si="17"/>
        <v>5</v>
      </c>
      <c r="T32" s="219">
        <f t="shared" si="18"/>
        <v>5</v>
      </c>
      <c r="U32" s="219"/>
      <c r="V32" s="219"/>
    </row>
    <row r="33" spans="8:22" x14ac:dyDescent="0.35">
      <c r="H33" s="990">
        <v>44262</v>
      </c>
      <c r="I33" s="219">
        <v>687</v>
      </c>
      <c r="J33" s="567">
        <f t="shared" si="3"/>
        <v>8</v>
      </c>
      <c r="K33" s="219"/>
      <c r="L33" s="917"/>
      <c r="M33" s="770"/>
      <c r="N33" s="770"/>
      <c r="O33" s="770">
        <f t="shared" si="14"/>
        <v>1.2307692307692308</v>
      </c>
      <c r="P33" s="770">
        <f t="shared" si="15"/>
        <v>4</v>
      </c>
      <c r="Q33" s="770">
        <f t="shared" si="16"/>
        <v>2.7692307692307692</v>
      </c>
      <c r="R33" s="992"/>
      <c r="S33" s="219">
        <f t="shared" si="17"/>
        <v>4</v>
      </c>
      <c r="T33" s="219">
        <f t="shared" si="18"/>
        <v>4</v>
      </c>
      <c r="U33" s="219"/>
      <c r="V33" s="219"/>
    </row>
    <row r="34" spans="8:22" x14ac:dyDescent="0.35">
      <c r="H34" s="990">
        <v>44269</v>
      </c>
      <c r="I34" s="219">
        <v>704</v>
      </c>
      <c r="J34" s="567">
        <f t="shared" si="3"/>
        <v>17</v>
      </c>
      <c r="K34" s="219"/>
      <c r="L34" s="917"/>
      <c r="M34" s="770"/>
      <c r="N34" s="770"/>
      <c r="O34" s="770">
        <f t="shared" si="14"/>
        <v>1.9615384615384617</v>
      </c>
      <c r="P34" s="770">
        <f t="shared" si="15"/>
        <v>8.5</v>
      </c>
      <c r="Q34" s="770">
        <f t="shared" si="16"/>
        <v>6.5384615384615383</v>
      </c>
      <c r="R34" s="992"/>
      <c r="S34" s="219">
        <f t="shared" si="17"/>
        <v>3</v>
      </c>
      <c r="T34" s="219">
        <f t="shared" si="18"/>
        <v>3</v>
      </c>
      <c r="U34" s="219"/>
      <c r="V34" s="219"/>
    </row>
    <row r="35" spans="8:22" x14ac:dyDescent="0.35">
      <c r="H35" s="990">
        <v>44276</v>
      </c>
      <c r="I35" s="219">
        <v>718</v>
      </c>
      <c r="J35" s="567">
        <f t="shared" si="3"/>
        <v>14</v>
      </c>
      <c r="K35" s="219"/>
      <c r="L35" s="917"/>
      <c r="M35" s="770"/>
      <c r="N35" s="770"/>
      <c r="O35" s="770">
        <f t="shared" si="14"/>
        <v>1.0769230769230771</v>
      </c>
      <c r="P35" s="770">
        <f t="shared" si="15"/>
        <v>7</v>
      </c>
      <c r="Q35" s="770">
        <f t="shared" si="16"/>
        <v>5.9230769230769234</v>
      </c>
      <c r="R35" s="992"/>
      <c r="S35" s="219">
        <f t="shared" si="17"/>
        <v>2</v>
      </c>
      <c r="T35" s="219">
        <f t="shared" si="18"/>
        <v>2</v>
      </c>
      <c r="U35" s="219"/>
      <c r="V35" s="219"/>
    </row>
    <row r="36" spans="8:22" x14ac:dyDescent="0.35">
      <c r="H36" s="990">
        <v>44283</v>
      </c>
      <c r="I36" s="219">
        <v>734</v>
      </c>
      <c r="J36" s="567">
        <f t="shared" si="3"/>
        <v>16</v>
      </c>
      <c r="K36" s="219"/>
      <c r="L36" s="917"/>
      <c r="M36" s="770"/>
      <c r="N36" s="770"/>
      <c r="O36" s="770">
        <f t="shared" si="14"/>
        <v>0.61538461538461542</v>
      </c>
      <c r="P36" s="770">
        <f t="shared" si="15"/>
        <v>8</v>
      </c>
      <c r="Q36" s="770">
        <f t="shared" si="16"/>
        <v>7.384615384615385</v>
      </c>
      <c r="R36" s="992"/>
      <c r="S36" s="219">
        <f t="shared" si="17"/>
        <v>1</v>
      </c>
      <c r="T36" s="219">
        <f t="shared" si="18"/>
        <v>1</v>
      </c>
      <c r="U36" s="219"/>
      <c r="V36" s="219"/>
    </row>
    <row r="37" spans="8:22" x14ac:dyDescent="0.35">
      <c r="H37" s="990">
        <v>44290</v>
      </c>
      <c r="I37" s="219">
        <v>746</v>
      </c>
      <c r="J37" s="567">
        <f t="shared" si="3"/>
        <v>12</v>
      </c>
      <c r="K37" s="219"/>
      <c r="L37" s="917"/>
      <c r="M37" s="770"/>
      <c r="N37" s="770"/>
      <c r="O37" s="770"/>
      <c r="P37" s="770">
        <f>T37/26*J37</f>
        <v>6</v>
      </c>
      <c r="Q37" s="770">
        <f>J37/2</f>
        <v>6</v>
      </c>
      <c r="R37" s="992">
        <f>J37-Q37-P37</f>
        <v>0</v>
      </c>
      <c r="S37" s="219">
        <v>13</v>
      </c>
      <c r="T37" s="219">
        <v>13</v>
      </c>
      <c r="U37" s="219"/>
      <c r="V37" s="219"/>
    </row>
    <row r="38" spans="8:22" x14ac:dyDescent="0.35">
      <c r="H38" s="990">
        <v>44297</v>
      </c>
      <c r="I38" s="219">
        <v>755</v>
      </c>
      <c r="J38" s="567">
        <f t="shared" si="3"/>
        <v>9</v>
      </c>
      <c r="K38" s="219"/>
      <c r="L38" s="917"/>
      <c r="M38" s="770"/>
      <c r="N38" s="770"/>
      <c r="O38" s="770"/>
      <c r="P38" s="770">
        <f t="shared" ref="P38:P45" si="19">T38/26*J38</f>
        <v>4.1538461538461542</v>
      </c>
      <c r="Q38" s="770">
        <f t="shared" ref="Q38:Q45" si="20">J38/2</f>
        <v>4.5</v>
      </c>
      <c r="R38" s="992">
        <f t="shared" ref="R38:R45" si="21">J38-Q38-P38</f>
        <v>0.34615384615384581</v>
      </c>
      <c r="S38" s="219">
        <f>S37-1</f>
        <v>12</v>
      </c>
      <c r="T38" s="219">
        <f>T37-1</f>
        <v>12</v>
      </c>
      <c r="U38" s="219"/>
      <c r="V38" s="219"/>
    </row>
    <row r="39" spans="8:22" x14ac:dyDescent="0.35">
      <c r="H39" s="990">
        <v>44304</v>
      </c>
      <c r="I39" s="219">
        <v>762</v>
      </c>
      <c r="J39" s="567">
        <f t="shared" si="3"/>
        <v>7</v>
      </c>
      <c r="K39" s="219"/>
      <c r="L39" s="917"/>
      <c r="M39" s="770"/>
      <c r="N39" s="770"/>
      <c r="O39" s="770"/>
      <c r="P39" s="770">
        <f t="shared" si="19"/>
        <v>2.9615384615384617</v>
      </c>
      <c r="Q39" s="770">
        <f t="shared" si="20"/>
        <v>3.5</v>
      </c>
      <c r="R39" s="992">
        <f t="shared" si="21"/>
        <v>0.53846153846153832</v>
      </c>
      <c r="S39" s="219">
        <f t="shared" ref="S39:S45" si="22">S38-1</f>
        <v>11</v>
      </c>
      <c r="T39" s="219">
        <f t="shared" ref="T39:T45" si="23">T38-1</f>
        <v>11</v>
      </c>
      <c r="U39" s="219"/>
      <c r="V39" s="219"/>
    </row>
    <row r="40" spans="8:22" x14ac:dyDescent="0.35">
      <c r="H40" s="990">
        <v>44311</v>
      </c>
      <c r="I40" s="219">
        <v>771</v>
      </c>
      <c r="J40" s="567">
        <f t="shared" si="3"/>
        <v>9</v>
      </c>
      <c r="K40" s="219"/>
      <c r="L40" s="917"/>
      <c r="M40" s="770"/>
      <c r="N40" s="770"/>
      <c r="O40" s="770"/>
      <c r="P40" s="770">
        <f t="shared" si="19"/>
        <v>3.4615384615384617</v>
      </c>
      <c r="Q40" s="770">
        <f t="shared" si="20"/>
        <v>4.5</v>
      </c>
      <c r="R40" s="992">
        <f t="shared" si="21"/>
        <v>1.0384615384615383</v>
      </c>
      <c r="S40" s="219">
        <f t="shared" si="22"/>
        <v>10</v>
      </c>
      <c r="T40" s="219">
        <f t="shared" si="23"/>
        <v>10</v>
      </c>
      <c r="U40" s="219"/>
      <c r="V40" s="219"/>
    </row>
    <row r="41" spans="8:22" x14ac:dyDescent="0.35">
      <c r="H41" s="990">
        <v>44318</v>
      </c>
      <c r="I41" s="219">
        <v>780</v>
      </c>
      <c r="J41" s="567">
        <f t="shared" si="3"/>
        <v>9</v>
      </c>
      <c r="K41" s="219"/>
      <c r="L41" s="917"/>
      <c r="M41" s="770"/>
      <c r="N41" s="770"/>
      <c r="O41" s="770"/>
      <c r="P41" s="770">
        <f t="shared" si="19"/>
        <v>3.1153846153846154</v>
      </c>
      <c r="Q41" s="770">
        <f t="shared" si="20"/>
        <v>4.5</v>
      </c>
      <c r="R41" s="992">
        <f t="shared" si="21"/>
        <v>1.3846153846153846</v>
      </c>
      <c r="S41" s="219">
        <f t="shared" si="22"/>
        <v>9</v>
      </c>
      <c r="T41" s="219">
        <f t="shared" si="23"/>
        <v>9</v>
      </c>
      <c r="U41" s="219"/>
      <c r="V41" s="219"/>
    </row>
    <row r="42" spans="8:22" x14ac:dyDescent="0.35">
      <c r="H42" s="990">
        <v>44325</v>
      </c>
      <c r="I42" s="219">
        <v>782</v>
      </c>
      <c r="J42" s="567">
        <f t="shared" si="3"/>
        <v>2</v>
      </c>
      <c r="K42" s="219"/>
      <c r="L42" s="917"/>
      <c r="M42" s="770"/>
      <c r="N42" s="770"/>
      <c r="O42" s="770"/>
      <c r="P42" s="770">
        <f t="shared" si="19"/>
        <v>0.61538461538461542</v>
      </c>
      <c r="Q42" s="770">
        <f t="shared" si="20"/>
        <v>1</v>
      </c>
      <c r="R42" s="992">
        <f t="shared" si="21"/>
        <v>0.38461538461538458</v>
      </c>
      <c r="S42" s="219">
        <f t="shared" si="22"/>
        <v>8</v>
      </c>
      <c r="T42" s="219">
        <f t="shared" si="23"/>
        <v>8</v>
      </c>
      <c r="U42" s="219"/>
      <c r="V42" s="219"/>
    </row>
    <row r="43" spans="8:22" x14ac:dyDescent="0.35">
      <c r="H43" s="990">
        <v>44332</v>
      </c>
      <c r="I43" s="219">
        <v>788</v>
      </c>
      <c r="J43" s="567">
        <f t="shared" si="3"/>
        <v>6</v>
      </c>
      <c r="K43" s="219"/>
      <c r="L43" s="917"/>
      <c r="M43" s="770"/>
      <c r="N43" s="770"/>
      <c r="O43" s="770"/>
      <c r="P43" s="770">
        <f t="shared" si="19"/>
        <v>1.6153846153846154</v>
      </c>
      <c r="Q43" s="770">
        <f t="shared" si="20"/>
        <v>3</v>
      </c>
      <c r="R43" s="992">
        <f t="shared" si="21"/>
        <v>1.3846153846153846</v>
      </c>
      <c r="S43" s="219">
        <f t="shared" si="22"/>
        <v>7</v>
      </c>
      <c r="T43" s="219">
        <f t="shared" si="23"/>
        <v>7</v>
      </c>
      <c r="U43" s="219"/>
      <c r="V43" s="219"/>
    </row>
    <row r="44" spans="8:22" x14ac:dyDescent="0.35">
      <c r="H44" s="990">
        <v>44339</v>
      </c>
      <c r="I44" s="219">
        <v>796</v>
      </c>
      <c r="J44" s="567">
        <f t="shared" si="3"/>
        <v>8</v>
      </c>
      <c r="K44" s="219"/>
      <c r="L44" s="917"/>
      <c r="M44" s="770"/>
      <c r="N44" s="770"/>
      <c r="O44" s="770"/>
      <c r="P44" s="770">
        <f t="shared" si="19"/>
        <v>1.8461538461538463</v>
      </c>
      <c r="Q44" s="770">
        <f t="shared" si="20"/>
        <v>4</v>
      </c>
      <c r="R44" s="992">
        <f t="shared" si="21"/>
        <v>2.1538461538461537</v>
      </c>
      <c r="S44" s="219">
        <f t="shared" si="22"/>
        <v>6</v>
      </c>
      <c r="T44" s="219">
        <f t="shared" si="23"/>
        <v>6</v>
      </c>
      <c r="U44" s="219"/>
      <c r="V44" s="219"/>
    </row>
    <row r="45" spans="8:22" x14ac:dyDescent="0.35">
      <c r="H45" s="991">
        <v>44347</v>
      </c>
      <c r="I45" s="561">
        <v>800</v>
      </c>
      <c r="J45" s="568">
        <f t="shared" si="3"/>
        <v>4</v>
      </c>
      <c r="K45" s="219"/>
      <c r="L45" s="917"/>
      <c r="M45" s="770"/>
      <c r="N45" s="770"/>
      <c r="O45" s="770"/>
      <c r="P45" s="770">
        <f t="shared" si="19"/>
        <v>0.76923076923076927</v>
      </c>
      <c r="Q45" s="770">
        <f t="shared" si="20"/>
        <v>2</v>
      </c>
      <c r="R45" s="992">
        <f t="shared" si="21"/>
        <v>1.2307692307692308</v>
      </c>
      <c r="S45" s="219">
        <f t="shared" si="22"/>
        <v>5</v>
      </c>
      <c r="T45" s="219">
        <f t="shared" si="23"/>
        <v>5</v>
      </c>
      <c r="U45" s="219"/>
      <c r="V45" s="219"/>
    </row>
    <row r="46" spans="8:22" x14ac:dyDescent="0.35">
      <c r="H46" s="219"/>
      <c r="I46" s="219"/>
      <c r="J46" s="219"/>
      <c r="K46" s="219"/>
      <c r="L46" s="917">
        <f>SUM(L11:L45)</f>
        <v>184.80769230769229</v>
      </c>
      <c r="M46" s="770">
        <f t="shared" ref="M46:R46" si="24">SUM(M11:M45)</f>
        <v>261.42307692307696</v>
      </c>
      <c r="N46" s="770">
        <f t="shared" si="24"/>
        <v>77.692307692307693</v>
      </c>
      <c r="O46" s="770">
        <f t="shared" si="24"/>
        <v>53.384615384615394</v>
      </c>
      <c r="P46" s="770">
        <f t="shared" si="24"/>
        <v>129.03846153846155</v>
      </c>
      <c r="Q46" s="770">
        <f t="shared" si="24"/>
        <v>85.192307692307693</v>
      </c>
      <c r="R46" s="992">
        <f t="shared" si="24"/>
        <v>8.4615384615384599</v>
      </c>
      <c r="S46" s="219"/>
      <c r="T46" s="219"/>
      <c r="U46" s="219"/>
      <c r="V46" s="219"/>
    </row>
    <row r="47" spans="8:22" x14ac:dyDescent="0.35">
      <c r="H47" s="219"/>
      <c r="I47" s="219"/>
      <c r="J47" s="219"/>
      <c r="K47" s="219"/>
      <c r="L47" s="918">
        <f>L46*4</f>
        <v>739.23076923076917</v>
      </c>
      <c r="M47" s="864">
        <f t="shared" ref="M47:R47" si="25">M46*4</f>
        <v>1045.6923076923078</v>
      </c>
      <c r="N47" s="864">
        <f t="shared" si="25"/>
        <v>310.76923076923077</v>
      </c>
      <c r="O47" s="864">
        <f t="shared" si="25"/>
        <v>213.53846153846158</v>
      </c>
      <c r="P47" s="864">
        <f t="shared" si="25"/>
        <v>516.15384615384619</v>
      </c>
      <c r="Q47" s="864">
        <f t="shared" si="25"/>
        <v>340.76923076923077</v>
      </c>
      <c r="R47" s="919">
        <f t="shared" si="25"/>
        <v>33.84615384615384</v>
      </c>
      <c r="S47" s="219" t="s">
        <v>322</v>
      </c>
      <c r="T47" s="219"/>
      <c r="U47" s="219"/>
      <c r="V47" s="219"/>
    </row>
    <row r="48" spans="8:22" x14ac:dyDescent="0.35">
      <c r="J48" s="239" t="s">
        <v>323</v>
      </c>
      <c r="L48" s="239">
        <v>634</v>
      </c>
      <c r="M48" s="714">
        <f>K55</f>
        <v>900.7</v>
      </c>
      <c r="N48" s="714">
        <f t="shared" ref="N48:P48" si="26">L55</f>
        <v>270.7</v>
      </c>
      <c r="O48" s="714">
        <f t="shared" si="26"/>
        <v>208.7</v>
      </c>
      <c r="P48" s="714">
        <f t="shared" si="26"/>
        <v>469.7</v>
      </c>
      <c r="Q48" s="714">
        <v>279</v>
      </c>
      <c r="R48" s="714"/>
    </row>
    <row r="50" spans="8:29" x14ac:dyDescent="0.35">
      <c r="H50" s="1363" t="s">
        <v>324</v>
      </c>
      <c r="I50" s="1364"/>
      <c r="J50" s="1338" t="s">
        <v>279</v>
      </c>
      <c r="K50" s="1339"/>
      <c r="L50" s="1339"/>
      <c r="M50" s="1322"/>
      <c r="N50" s="1322"/>
      <c r="O50" s="1322"/>
      <c r="P50" s="1277"/>
      <c r="Q50" s="512"/>
      <c r="R50" s="512"/>
      <c r="S50" s="512"/>
      <c r="T50" s="512"/>
      <c r="U50" s="512"/>
      <c r="V50" s="512"/>
      <c r="W50" s="512"/>
      <c r="X50" s="512"/>
      <c r="Y50" s="512"/>
    </row>
    <row r="51" spans="8:29" x14ac:dyDescent="0.35">
      <c r="H51" s="1365"/>
      <c r="I51" s="1366"/>
      <c r="J51" s="1282">
        <v>2020</v>
      </c>
      <c r="K51" s="1283"/>
      <c r="L51" s="1283"/>
      <c r="M51" s="1282">
        <v>2021</v>
      </c>
      <c r="N51" s="1283"/>
      <c r="O51" s="1283"/>
      <c r="P51" s="1284"/>
      <c r="Q51" s="1311"/>
      <c r="R51" s="1311"/>
      <c r="S51" s="1311"/>
      <c r="T51" s="1311"/>
      <c r="U51" s="1311"/>
      <c r="V51" s="1311"/>
      <c r="W51" s="1311"/>
      <c r="X51" s="1311"/>
    </row>
    <row r="52" spans="8:29" x14ac:dyDescent="0.35">
      <c r="H52" s="1381"/>
      <c r="I52" s="1382"/>
      <c r="J52" s="212" t="s">
        <v>283</v>
      </c>
      <c r="K52" s="213" t="s">
        <v>238</v>
      </c>
      <c r="L52" s="213" t="s">
        <v>281</v>
      </c>
      <c r="M52" s="281" t="s">
        <v>282</v>
      </c>
      <c r="N52" s="282" t="s">
        <v>283</v>
      </c>
      <c r="O52" s="282" t="s">
        <v>238</v>
      </c>
      <c r="P52" s="280" t="s">
        <v>281</v>
      </c>
      <c r="Q52" s="219"/>
      <c r="S52" s="239"/>
      <c r="T52" s="239"/>
      <c r="U52" s="219"/>
      <c r="V52" s="239"/>
      <c r="W52" s="239"/>
      <c r="X52" s="239"/>
      <c r="Y52" s="239"/>
      <c r="Z52" s="239"/>
      <c r="AA52" s="239"/>
    </row>
    <row r="53" spans="8:29" ht="32.9" customHeight="1" x14ac:dyDescent="0.35">
      <c r="H53" s="477" t="s">
        <v>325</v>
      </c>
      <c r="I53" s="219" t="s">
        <v>326</v>
      </c>
      <c r="J53" s="985">
        <f>'Haver Pivoted'!GU47</f>
        <v>57.2</v>
      </c>
      <c r="K53" s="450">
        <f>'Haver Pivoted'!GV47</f>
        <v>81.2</v>
      </c>
      <c r="L53" s="450">
        <f>'Haver Pivoted'!GW47</f>
        <v>24.4</v>
      </c>
      <c r="M53" s="232">
        <f>'Haver Pivoted'!GX47</f>
        <v>11.7</v>
      </c>
      <c r="N53" s="232">
        <f>'Haver Pivoted'!GY47</f>
        <v>28.5</v>
      </c>
      <c r="O53" s="363">
        <f>'Haver Pivoted'!GZ47</f>
        <v>18.8</v>
      </c>
      <c r="P53" s="363">
        <f>'Haver Pivoted'!HA47</f>
        <v>1.6</v>
      </c>
      <c r="Q53" s="232"/>
      <c r="S53" s="239"/>
      <c r="T53" s="239"/>
      <c r="U53" s="239"/>
      <c r="V53" s="239"/>
      <c r="W53" s="239"/>
      <c r="X53" s="239"/>
      <c r="Y53" s="239"/>
      <c r="Z53" s="239"/>
      <c r="AA53" s="239"/>
    </row>
    <row r="54" spans="8:29" ht="33.75" customHeight="1" x14ac:dyDescent="0.35">
      <c r="H54" s="477" t="s">
        <v>327</v>
      </c>
      <c r="I54" s="227" t="s">
        <v>328</v>
      </c>
      <c r="J54" s="979">
        <f>'Haver Pivoted'!GU49</f>
        <v>576.9</v>
      </c>
      <c r="K54" s="232">
        <f>'Haver Pivoted'!GV49</f>
        <v>819.5</v>
      </c>
      <c r="L54" s="232">
        <f>'Haver Pivoted'!GW49</f>
        <v>246.3</v>
      </c>
      <c r="M54" s="232">
        <f>'Haver Pivoted'!GX49</f>
        <v>197</v>
      </c>
      <c r="N54" s="232">
        <f>'Haver Pivoted'!GY49</f>
        <v>441.2</v>
      </c>
      <c r="O54" s="363">
        <f>'Haver Pivoted'!GZ49</f>
        <v>276.7</v>
      </c>
      <c r="P54" s="363">
        <f>'Haver Pivoted'!HA49</f>
        <v>28.2</v>
      </c>
      <c r="Q54" s="232"/>
      <c r="R54" s="232"/>
    </row>
    <row r="55" spans="8:29" x14ac:dyDescent="0.35">
      <c r="H55" s="548" t="s">
        <v>311</v>
      </c>
      <c r="I55" s="219"/>
      <c r="J55" s="979">
        <f>J54+J53</f>
        <v>634.1</v>
      </c>
      <c r="K55" s="232">
        <f t="shared" ref="K55:M55" si="27">K54+K53</f>
        <v>900.7</v>
      </c>
      <c r="L55" s="232">
        <f t="shared" si="27"/>
        <v>270.7</v>
      </c>
      <c r="M55" s="232">
        <f t="shared" si="27"/>
        <v>208.7</v>
      </c>
      <c r="N55" s="232">
        <f t="shared" ref="N55:P55" si="28">N54+N53</f>
        <v>469.7</v>
      </c>
      <c r="O55" s="363">
        <f t="shared" si="28"/>
        <v>295.5</v>
      </c>
      <c r="P55" s="363">
        <f t="shared" si="28"/>
        <v>29.8</v>
      </c>
      <c r="Q55" s="232"/>
      <c r="R55" s="232"/>
    </row>
    <row r="56" spans="8:29" x14ac:dyDescent="0.35">
      <c r="H56" s="356" t="s">
        <v>329</v>
      </c>
      <c r="I56" s="561"/>
      <c r="J56" s="865">
        <f t="shared" ref="J56:P56" si="29">J53/J55</f>
        <v>9.0206592020186091E-2</v>
      </c>
      <c r="K56" s="866">
        <f t="shared" si="29"/>
        <v>9.015210391917397E-2</v>
      </c>
      <c r="L56" s="866">
        <f t="shared" si="29"/>
        <v>9.0136682674547469E-2</v>
      </c>
      <c r="M56" s="866">
        <f t="shared" si="29"/>
        <v>5.6061332055582176E-2</v>
      </c>
      <c r="N56" s="866">
        <f t="shared" si="29"/>
        <v>6.0677027890142649E-2</v>
      </c>
      <c r="O56" s="980">
        <f t="shared" si="29"/>
        <v>6.3620981387478848E-2</v>
      </c>
      <c r="P56" s="980">
        <f t="shared" si="29"/>
        <v>5.3691275167785234E-2</v>
      </c>
      <c r="Q56" s="988"/>
      <c r="R56" s="899"/>
    </row>
    <row r="58" spans="8:29" x14ac:dyDescent="0.35">
      <c r="H58" s="239" t="s">
        <v>816</v>
      </c>
    </row>
    <row r="59" spans="8:29" x14ac:dyDescent="0.35">
      <c r="H59" s="279"/>
      <c r="I59" s="219"/>
      <c r="J59" s="232"/>
      <c r="K59" s="232"/>
      <c r="L59" s="232"/>
      <c r="M59" s="232"/>
      <c r="N59" s="232"/>
      <c r="O59" s="232"/>
      <c r="P59" s="499"/>
      <c r="Q59" s="232"/>
      <c r="R59" s="232"/>
      <c r="S59" s="232"/>
      <c r="T59" s="239"/>
      <c r="U59" s="239"/>
      <c r="V59" s="239"/>
      <c r="W59" s="239"/>
      <c r="X59" s="239"/>
      <c r="Y59" s="239"/>
      <c r="Z59" s="239"/>
      <c r="AA59" s="239"/>
      <c r="AB59" s="239"/>
      <c r="AC59" s="239"/>
    </row>
    <row r="60" spans="8:29" x14ac:dyDescent="0.35">
      <c r="P60" s="232"/>
      <c r="Q60" s="239"/>
      <c r="R60" s="239"/>
      <c r="S60" s="239"/>
      <c r="T60" s="239"/>
      <c r="U60" s="239"/>
      <c r="V60" s="239"/>
      <c r="W60" s="239"/>
      <c r="X60" s="239"/>
      <c r="Y60" s="239"/>
      <c r="Z60" s="239"/>
      <c r="AA60" s="239"/>
      <c r="AB60" s="239"/>
      <c r="AC60" s="239"/>
    </row>
    <row r="61" spans="8:29" x14ac:dyDescent="0.35">
      <c r="P61" s="232"/>
      <c r="Q61" s="986"/>
      <c r="R61" s="986"/>
      <c r="S61" s="986"/>
      <c r="T61" s="986"/>
      <c r="U61" s="986"/>
      <c r="V61" s="986"/>
      <c r="W61" s="986"/>
      <c r="X61" s="986"/>
      <c r="Y61" s="986"/>
      <c r="Z61" s="986"/>
      <c r="AA61" s="986"/>
      <c r="AB61" s="986"/>
      <c r="AC61" s="239"/>
    </row>
    <row r="62" spans="8:29" x14ac:dyDescent="0.35">
      <c r="P62" s="232"/>
      <c r="Q62" s="986"/>
      <c r="R62" s="986"/>
      <c r="S62" s="986"/>
      <c r="T62" s="986"/>
      <c r="U62" s="986"/>
      <c r="V62" s="986"/>
      <c r="W62" s="986"/>
      <c r="X62" s="986"/>
      <c r="Y62" s="986"/>
      <c r="Z62" s="986"/>
      <c r="AA62" s="986"/>
      <c r="AB62" s="986"/>
      <c r="AC62" s="239"/>
    </row>
    <row r="63" spans="8:29" x14ac:dyDescent="0.35">
      <c r="I63" s="239" t="s">
        <v>282</v>
      </c>
      <c r="J63" s="239" t="s">
        <v>283</v>
      </c>
      <c r="K63" s="239" t="s">
        <v>238</v>
      </c>
      <c r="L63" s="239" t="s">
        <v>281</v>
      </c>
      <c r="P63" s="899"/>
      <c r="Q63" s="986"/>
      <c r="R63" s="986"/>
      <c r="S63" s="986"/>
      <c r="T63" s="986"/>
      <c r="U63" s="986"/>
      <c r="V63" s="986"/>
      <c r="W63" s="986"/>
      <c r="X63" s="986"/>
      <c r="Y63" s="986"/>
      <c r="Z63" s="986"/>
      <c r="AA63" s="986"/>
      <c r="AB63" s="986"/>
      <c r="AC63" s="239"/>
    </row>
    <row r="64" spans="8:29" x14ac:dyDescent="0.35">
      <c r="H64" s="239" t="s">
        <v>817</v>
      </c>
      <c r="I64" s="239">
        <v>81.599999999999994</v>
      </c>
      <c r="J64" s="239">
        <v>188.9</v>
      </c>
      <c r="K64" s="239">
        <v>117.2</v>
      </c>
      <c r="L64" s="239" t="e">
        <f>#REF!+#REF!</f>
        <v>#REF!</v>
      </c>
      <c r="P64" s="239"/>
      <c r="Q64" s="239"/>
      <c r="R64" s="239"/>
      <c r="S64" s="239"/>
      <c r="T64" s="239"/>
      <c r="U64" s="239"/>
      <c r="V64" s="239"/>
      <c r="W64" s="239"/>
      <c r="X64" s="239"/>
      <c r="Y64" s="239"/>
      <c r="Z64" s="239"/>
      <c r="AA64" s="239"/>
      <c r="AB64" s="239"/>
      <c r="AC64" s="239"/>
    </row>
    <row r="65" spans="7:29" x14ac:dyDescent="0.35">
      <c r="H65" s="239" t="s">
        <v>469</v>
      </c>
      <c r="I65" s="714">
        <f>M53</f>
        <v>11.7</v>
      </c>
      <c r="J65" s="714">
        <f t="shared" ref="J65:K65" si="30">N53</f>
        <v>28.5</v>
      </c>
      <c r="K65" s="714">
        <f t="shared" si="30"/>
        <v>18.8</v>
      </c>
      <c r="L65" s="239" t="e">
        <f>#REF!</f>
        <v>#REF!</v>
      </c>
      <c r="P65" s="239"/>
      <c r="Q65" s="239"/>
      <c r="R65" s="239"/>
      <c r="S65" s="239"/>
      <c r="T65" s="239"/>
      <c r="U65" s="239"/>
      <c r="V65" s="239"/>
      <c r="W65" s="239"/>
      <c r="X65" s="239"/>
      <c r="Y65" s="239"/>
      <c r="Z65" s="239"/>
      <c r="AA65" s="239"/>
      <c r="AB65" s="239"/>
      <c r="AC65" s="239"/>
    </row>
    <row r="66" spans="7:29" x14ac:dyDescent="0.35">
      <c r="H66" s="239" t="s">
        <v>818</v>
      </c>
      <c r="I66" s="714">
        <f>I67-SUM(I64:I65)</f>
        <v>115.39999999999999</v>
      </c>
      <c r="J66" s="714">
        <f t="shared" ref="J66:K66" si="31">J67-SUM(J64:J65)</f>
        <v>252.29999999999998</v>
      </c>
      <c r="K66" s="714">
        <f t="shared" si="31"/>
        <v>159.5</v>
      </c>
      <c r="L66" s="714" t="e">
        <f>1.26*L64</f>
        <v>#REF!</v>
      </c>
      <c r="P66" s="239"/>
      <c r="Q66" s="239"/>
      <c r="R66" s="239"/>
      <c r="S66" s="239"/>
      <c r="T66" s="239"/>
      <c r="U66" s="239"/>
      <c r="V66" s="239"/>
      <c r="W66" s="239"/>
      <c r="X66" s="239"/>
      <c r="Y66" s="239"/>
      <c r="Z66" s="239"/>
      <c r="AA66" s="239"/>
      <c r="AB66" s="239"/>
      <c r="AC66" s="239"/>
    </row>
    <row r="67" spans="7:29" x14ac:dyDescent="0.35">
      <c r="H67" s="239" t="s">
        <v>311</v>
      </c>
      <c r="I67" s="714">
        <f>M55</f>
        <v>208.7</v>
      </c>
      <c r="J67" s="714">
        <f>N55</f>
        <v>469.7</v>
      </c>
      <c r="K67" s="714">
        <f>O55</f>
        <v>295.5</v>
      </c>
      <c r="L67" s="714" t="e">
        <f>SUM(L64:L66)</f>
        <v>#REF!</v>
      </c>
    </row>
    <row r="68" spans="7:29" x14ac:dyDescent="0.35">
      <c r="G68" s="239" t="s">
        <v>819</v>
      </c>
    </row>
    <row r="69" spans="7:29" x14ac:dyDescent="0.35">
      <c r="H69" s="239" t="s">
        <v>817</v>
      </c>
      <c r="I69" s="603">
        <f>I64/I$67</f>
        <v>0.39099185433636796</v>
      </c>
      <c r="J69" s="603">
        <f t="shared" ref="J69:L69" si="32">J64/J$67</f>
        <v>0.40217159889291038</v>
      </c>
      <c r="K69" s="603">
        <f t="shared" si="32"/>
        <v>0.3966159052453469</v>
      </c>
      <c r="L69" s="603" t="e">
        <f t="shared" si="32"/>
        <v>#REF!</v>
      </c>
    </row>
    <row r="70" spans="7:29" x14ac:dyDescent="0.35">
      <c r="H70" s="239" t="s">
        <v>469</v>
      </c>
      <c r="I70" s="603">
        <f t="shared" ref="I70:L71" si="33">I65/I$67</f>
        <v>5.6061332055582176E-2</v>
      </c>
      <c r="J70" s="603">
        <f t="shared" si="33"/>
        <v>6.0677027890142649E-2</v>
      </c>
      <c r="K70" s="603">
        <f t="shared" si="33"/>
        <v>6.3620981387478848E-2</v>
      </c>
      <c r="L70" s="603" t="e">
        <f t="shared" si="33"/>
        <v>#REF!</v>
      </c>
    </row>
    <row r="71" spans="7:29" x14ac:dyDescent="0.35">
      <c r="H71" s="239" t="s">
        <v>818</v>
      </c>
      <c r="I71" s="603">
        <f t="shared" si="33"/>
        <v>0.55294681360804987</v>
      </c>
      <c r="J71" s="603">
        <f t="shared" si="33"/>
        <v>0.53715137321694695</v>
      </c>
      <c r="K71" s="603">
        <f t="shared" si="33"/>
        <v>0.53976311336717431</v>
      </c>
      <c r="L71" s="603" t="e">
        <f t="shared" si="33"/>
        <v>#REF!</v>
      </c>
    </row>
    <row r="73" spans="7:29" x14ac:dyDescent="0.35">
      <c r="H73" s="239" t="s">
        <v>820</v>
      </c>
      <c r="I73" s="239">
        <f>I66/I64</f>
        <v>1.4142156862745099</v>
      </c>
      <c r="J73" s="239">
        <f t="shared" ref="J73:K73" si="34">J66/J64</f>
        <v>1.3356273160402328</v>
      </c>
      <c r="K73" s="239">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45" t="s">
        <v>152</v>
      </c>
      <c r="C1" s="1245"/>
      <c r="D1" s="1245"/>
      <c r="E1" s="1245"/>
      <c r="F1" s="1245"/>
      <c r="G1" s="1245"/>
      <c r="H1" s="1245"/>
      <c r="I1" s="1245"/>
      <c r="J1" s="1245"/>
      <c r="K1" s="1245"/>
      <c r="L1" s="1245"/>
      <c r="M1" s="1245"/>
      <c r="N1" s="1245"/>
      <c r="O1" s="1245"/>
      <c r="P1" s="1245"/>
      <c r="Q1" s="1245"/>
      <c r="R1" s="1245"/>
      <c r="S1" s="1245"/>
      <c r="T1" s="1245"/>
    </row>
    <row r="2" spans="1:22" x14ac:dyDescent="0.35">
      <c r="B2" s="1399" t="s">
        <v>856</v>
      </c>
      <c r="C2" s="1399"/>
      <c r="D2" s="1399"/>
      <c r="E2" s="1399"/>
      <c r="F2" s="1399"/>
      <c r="G2" s="1399"/>
      <c r="H2" s="1399"/>
      <c r="I2" s="1399"/>
      <c r="J2" s="1399"/>
      <c r="K2" s="1399"/>
      <c r="L2" s="1399"/>
      <c r="M2" s="1399"/>
      <c r="N2" s="1399"/>
      <c r="O2" s="1399"/>
      <c r="P2" s="1399"/>
      <c r="Q2" s="1399"/>
      <c r="R2" s="1399"/>
      <c r="S2" s="1399"/>
      <c r="T2" s="1399"/>
    </row>
    <row r="3" spans="1:22" x14ac:dyDescent="0.35">
      <c r="B3" s="1399"/>
      <c r="C3" s="1399"/>
      <c r="D3" s="1399"/>
      <c r="E3" s="1399"/>
      <c r="F3" s="1399"/>
      <c r="G3" s="1399"/>
      <c r="H3" s="1399"/>
      <c r="I3" s="1399"/>
      <c r="J3" s="1399"/>
      <c r="K3" s="1399"/>
      <c r="L3" s="1399"/>
      <c r="M3" s="1399"/>
      <c r="N3" s="1399"/>
      <c r="O3" s="1399"/>
      <c r="P3" s="1399"/>
      <c r="Q3" s="1399"/>
      <c r="R3" s="1399"/>
      <c r="S3" s="1399"/>
      <c r="T3" s="1399"/>
    </row>
    <row r="4" spans="1:22" x14ac:dyDescent="0.35">
      <c r="B4" s="1399"/>
      <c r="C4" s="1399"/>
      <c r="D4" s="1399"/>
      <c r="E4" s="1399"/>
      <c r="F4" s="1399"/>
      <c r="G4" s="1399"/>
      <c r="H4" s="1399"/>
      <c r="I4" s="1399"/>
      <c r="J4" s="1399"/>
      <c r="K4" s="1399"/>
      <c r="L4" s="1399"/>
      <c r="M4" s="1399"/>
      <c r="N4" s="1399"/>
      <c r="O4" s="1399"/>
      <c r="P4" s="1399"/>
      <c r="Q4" s="1399"/>
      <c r="R4" s="1399"/>
      <c r="S4" s="1399"/>
      <c r="T4" s="1399"/>
    </row>
    <row r="5" spans="1:22" x14ac:dyDescent="0.35">
      <c r="B5" s="1399"/>
      <c r="C5" s="1399"/>
      <c r="D5" s="1399"/>
      <c r="E5" s="1399"/>
      <c r="F5" s="1399"/>
      <c r="G5" s="1399"/>
      <c r="H5" s="1399"/>
      <c r="I5" s="1399"/>
      <c r="J5" s="1399"/>
      <c r="K5" s="1399"/>
      <c r="L5" s="1399"/>
      <c r="M5" s="1399"/>
      <c r="N5" s="1399"/>
      <c r="O5" s="1399"/>
      <c r="P5" s="1399"/>
      <c r="Q5" s="1399"/>
      <c r="R5" s="1399"/>
      <c r="S5" s="1399"/>
      <c r="T5" s="1399"/>
    </row>
    <row r="6" spans="1:22" x14ac:dyDescent="0.35">
      <c r="B6" s="1399"/>
      <c r="C6" s="1399"/>
      <c r="D6" s="1399"/>
      <c r="E6" s="1399"/>
      <c r="F6" s="1399"/>
      <c r="G6" s="1399"/>
      <c r="H6" s="1399"/>
      <c r="I6" s="1399"/>
      <c r="J6" s="1399"/>
      <c r="K6" s="1399"/>
      <c r="L6" s="1399"/>
      <c r="M6" s="1399"/>
      <c r="N6" s="1399"/>
      <c r="O6" s="1399"/>
      <c r="P6" s="1399"/>
      <c r="Q6" s="1399"/>
      <c r="R6" s="1399"/>
      <c r="S6" s="1399"/>
      <c r="T6" s="1399"/>
    </row>
    <row r="7" spans="1:22" x14ac:dyDescent="0.35">
      <c r="J7" s="74"/>
      <c r="K7" s="74"/>
      <c r="M7" s="74"/>
    </row>
    <row r="9" spans="1:22" ht="14.9" customHeight="1" x14ac:dyDescent="0.35">
      <c r="A9" s="629"/>
      <c r="B9" s="1400" t="s">
        <v>303</v>
      </c>
      <c r="C9" s="1401"/>
      <c r="D9" s="996">
        <v>2018</v>
      </c>
      <c r="E9" s="1406">
        <v>2019</v>
      </c>
      <c r="F9" s="1407"/>
      <c r="G9" s="1407"/>
      <c r="H9" s="1408"/>
      <c r="I9" s="1404">
        <v>2020</v>
      </c>
      <c r="J9" s="1405"/>
      <c r="K9" s="1405"/>
      <c r="L9" s="1405"/>
      <c r="M9" s="1409">
        <v>2021</v>
      </c>
      <c r="N9" s="1410"/>
      <c r="O9" s="1410"/>
      <c r="P9" s="1411"/>
      <c r="Q9" s="1404">
        <v>2022</v>
      </c>
      <c r="R9" s="1412"/>
      <c r="S9" s="1412"/>
      <c r="T9" s="1413"/>
    </row>
    <row r="10" spans="1:22" x14ac:dyDescent="0.35">
      <c r="B10" s="1402"/>
      <c r="C10" s="1403"/>
      <c r="D10" s="1000" t="s">
        <v>281</v>
      </c>
      <c r="E10" s="1001" t="s">
        <v>282</v>
      </c>
      <c r="F10" s="661" t="s">
        <v>283</v>
      </c>
      <c r="G10" s="661" t="s">
        <v>238</v>
      </c>
      <c r="H10" s="1002" t="s">
        <v>281</v>
      </c>
      <c r="I10" s="1001" t="s">
        <v>282</v>
      </c>
      <c r="J10" s="661" t="s">
        <v>283</v>
      </c>
      <c r="K10" s="661" t="s">
        <v>238</v>
      </c>
      <c r="L10" s="661" t="s">
        <v>281</v>
      </c>
      <c r="M10" s="212" t="s">
        <v>282</v>
      </c>
      <c r="N10" s="213" t="s">
        <v>283</v>
      </c>
      <c r="O10" s="213" t="s">
        <v>238</v>
      </c>
      <c r="P10" s="214" t="s">
        <v>281</v>
      </c>
      <c r="Q10" s="661" t="s">
        <v>282</v>
      </c>
      <c r="R10" s="661" t="s">
        <v>283</v>
      </c>
      <c r="S10" s="661" t="s">
        <v>238</v>
      </c>
      <c r="T10" s="1002" t="s">
        <v>281</v>
      </c>
    </row>
    <row r="11" spans="1:22" ht="29.15" customHeight="1" x14ac:dyDescent="0.35">
      <c r="A11" s="1019"/>
      <c r="B11" s="1004" t="s">
        <v>139</v>
      </c>
      <c r="C11" s="999" t="s">
        <v>304</v>
      </c>
      <c r="D11" s="1013"/>
      <c r="E11" s="1014"/>
      <c r="F11" s="1014"/>
      <c r="G11" s="1014"/>
      <c r="H11" s="1014"/>
      <c r="I11" s="1014"/>
      <c r="J11" s="1006">
        <f>'Haver Pivoted'!GU48</f>
        <v>160.9</v>
      </c>
      <c r="K11" s="1006">
        <f>'Haver Pivoted'!GV48</f>
        <v>58.4</v>
      </c>
      <c r="L11" s="1006">
        <f>'Haver Pivoted'!GW48</f>
        <v>34.5</v>
      </c>
      <c r="M11" s="1006">
        <f>'Haver Pivoted'!GX48</f>
        <v>21.4</v>
      </c>
      <c r="N11" s="1006">
        <f>'Haver Pivoted'!GY48</f>
        <v>13.3</v>
      </c>
      <c r="O11" s="1006">
        <f>'Haver Pivoted'!GZ48</f>
        <v>18.7</v>
      </c>
      <c r="P11" s="1006">
        <f>'Haver Pivoted'!HA48</f>
        <v>32.200000000000003</v>
      </c>
      <c r="Q11" s="1006">
        <f>'Haver Pivoted'!HB48</f>
        <v>26.9</v>
      </c>
      <c r="R11" s="1006">
        <f>'Haver Pivoted'!HC48</f>
        <v>20</v>
      </c>
      <c r="S11" s="1012">
        <f>'Haver Pivoted'!HD48</f>
        <v>8.1</v>
      </c>
      <c r="T11" s="1007">
        <f>'Haver Pivoted'!HE48</f>
        <v>4.9000000000000004</v>
      </c>
    </row>
    <row r="12" spans="1:22" ht="29.15" customHeight="1" x14ac:dyDescent="0.35">
      <c r="A12" s="1019"/>
      <c r="B12" s="1017" t="s">
        <v>305</v>
      </c>
      <c r="C12" s="169" t="s">
        <v>306</v>
      </c>
      <c r="D12" s="1017"/>
      <c r="E12" s="169"/>
      <c r="F12" s="169"/>
      <c r="G12" s="169"/>
      <c r="H12" s="169"/>
      <c r="I12" s="169"/>
      <c r="J12" s="1008">
        <f>'Haver Pivoted'!GU58</f>
        <v>64.400000000000006</v>
      </c>
      <c r="K12" s="1008">
        <f>'Haver Pivoted'!GV58</f>
        <v>23.4</v>
      </c>
      <c r="L12" s="1008">
        <f>'Haver Pivoted'!GW58</f>
        <v>13.8</v>
      </c>
      <c r="M12" s="1008">
        <f>'Haver Pivoted'!GX58</f>
        <v>12</v>
      </c>
      <c r="N12" s="1008">
        <f>'Haver Pivoted'!GY58</f>
        <v>7.5</v>
      </c>
      <c r="O12" s="1008">
        <f>'Haver Pivoted'!GZ58</f>
        <v>10.5</v>
      </c>
      <c r="P12" s="1008">
        <f>'Haver Pivoted'!HA58</f>
        <v>18</v>
      </c>
      <c r="Q12" s="1008">
        <f>'Haver Pivoted'!HB58</f>
        <v>15</v>
      </c>
      <c r="R12" s="1008">
        <f>'Haver Pivoted'!HC58</f>
        <v>11.2</v>
      </c>
      <c r="S12" s="1011">
        <f>'Haver Pivoted'!HD58</f>
        <v>7.5</v>
      </c>
      <c r="T12" s="1015">
        <f>'Haver Pivoted'!HE58</f>
        <v>6.2</v>
      </c>
    </row>
    <row r="13" spans="1:22" ht="47.15" customHeight="1" x14ac:dyDescent="0.35">
      <c r="A13" s="1019"/>
      <c r="B13" s="1017" t="s">
        <v>307</v>
      </c>
      <c r="C13" s="169" t="s">
        <v>308</v>
      </c>
      <c r="D13" s="1017"/>
      <c r="E13" s="169"/>
      <c r="F13" s="169"/>
      <c r="G13" s="169"/>
      <c r="H13" s="169"/>
      <c r="I13" s="169"/>
      <c r="J13" s="1008">
        <f>'Haver Pivoted'!GU54</f>
        <v>96.6</v>
      </c>
      <c r="K13" s="1008">
        <f>'Haver Pivoted'!GV54</f>
        <v>35.1</v>
      </c>
      <c r="L13" s="1008">
        <f>'Haver Pivoted'!GW54</f>
        <v>20.7</v>
      </c>
      <c r="M13" s="1008">
        <f>'Haver Pivoted'!GX54</f>
        <v>15.4</v>
      </c>
      <c r="N13" s="1008">
        <f>'Haver Pivoted'!GY54</f>
        <v>9.6</v>
      </c>
      <c r="O13" s="1008">
        <f>'Haver Pivoted'!GZ54</f>
        <v>13.5</v>
      </c>
      <c r="P13" s="1008">
        <f>'Haver Pivoted'!HA54</f>
        <v>23.2</v>
      </c>
      <c r="Q13" s="1008">
        <f>'Haver Pivoted'!HB54</f>
        <v>19.3</v>
      </c>
      <c r="R13" s="1008">
        <f>'Haver Pivoted'!HC54</f>
        <v>14.4</v>
      </c>
      <c r="S13" s="1011">
        <f>'Haver Pivoted'!HD54</f>
        <v>5.9</v>
      </c>
      <c r="T13" s="1015">
        <f>'Haver Pivoted'!HE54</f>
        <v>3.6</v>
      </c>
      <c r="U13" s="1009" t="s">
        <v>309</v>
      </c>
      <c r="V13" s="997" t="s">
        <v>310</v>
      </c>
    </row>
    <row r="14" spans="1:22" x14ac:dyDescent="0.35">
      <c r="B14" s="41" t="s">
        <v>311</v>
      </c>
      <c r="C14" s="43"/>
      <c r="D14" s="41"/>
      <c r="E14" s="43"/>
      <c r="F14" s="43"/>
      <c r="G14" s="43"/>
      <c r="H14" s="43"/>
      <c r="I14" s="43"/>
      <c r="J14" s="1008">
        <f t="shared" ref="J14:T14" si="0">J13+J12+J11</f>
        <v>321.89999999999998</v>
      </c>
      <c r="K14" s="1008">
        <f t="shared" si="0"/>
        <v>116.9</v>
      </c>
      <c r="L14" s="1008">
        <f t="shared" si="0"/>
        <v>69</v>
      </c>
      <c r="M14" s="1008">
        <f t="shared" si="0"/>
        <v>48.8</v>
      </c>
      <c r="N14" s="1008">
        <f t="shared" si="0"/>
        <v>30.400000000000002</v>
      </c>
      <c r="O14" s="1008">
        <f t="shared" si="0"/>
        <v>42.7</v>
      </c>
      <c r="P14" s="1008">
        <f t="shared" si="0"/>
        <v>73.400000000000006</v>
      </c>
      <c r="Q14" s="1008">
        <f t="shared" si="0"/>
        <v>61.199999999999996</v>
      </c>
      <c r="R14" s="1008">
        <f t="shared" si="0"/>
        <v>45.6</v>
      </c>
      <c r="S14" s="1011">
        <f t="shared" si="0"/>
        <v>21.5</v>
      </c>
      <c r="T14" s="1015">
        <f t="shared" si="0"/>
        <v>14.700000000000001</v>
      </c>
      <c r="U14" s="1010">
        <v>236</v>
      </c>
      <c r="V14" s="1003">
        <f>SUM(J14:S14)/4</f>
        <v>207.85</v>
      </c>
    </row>
    <row r="15" spans="1:22" x14ac:dyDescent="0.35">
      <c r="B15" s="1018" t="s">
        <v>312</v>
      </c>
      <c r="C15" s="45"/>
      <c r="D15" s="1018"/>
      <c r="E15" s="45"/>
      <c r="F15" s="45"/>
      <c r="G15" s="45"/>
      <c r="H15" s="45"/>
      <c r="I15" s="45"/>
      <c r="J15" s="629">
        <f t="shared" ref="J15:N17" si="1">J11/J$14</f>
        <v>0.49984467225846541</v>
      </c>
      <c r="K15" s="629">
        <f t="shared" si="1"/>
        <v>0.49957228400342168</v>
      </c>
      <c r="L15" s="629">
        <f t="shared" si="1"/>
        <v>0.5</v>
      </c>
      <c r="M15" s="629">
        <f t="shared" si="1"/>
        <v>0.43852459016393441</v>
      </c>
      <c r="N15" s="629">
        <f t="shared" si="1"/>
        <v>0.4375</v>
      </c>
      <c r="O15" s="629">
        <f>O11/O$14</f>
        <v>0.43793911007025754</v>
      </c>
      <c r="P15" s="629">
        <f t="shared" ref="P15:T15" si="2">P11/P$14</f>
        <v>0.43869209809264303</v>
      </c>
      <c r="Q15" s="629">
        <f t="shared" si="2"/>
        <v>0.43954248366013071</v>
      </c>
      <c r="R15" s="629">
        <f t="shared" si="2"/>
        <v>0.43859649122807015</v>
      </c>
      <c r="S15" s="661">
        <f t="shared" si="2"/>
        <v>0.37674418604651161</v>
      </c>
      <c r="T15" s="1002">
        <f t="shared" si="2"/>
        <v>0.33333333333333331</v>
      </c>
    </row>
    <row r="16" spans="1:22" x14ac:dyDescent="0.35">
      <c r="B16" s="1018" t="s">
        <v>313</v>
      </c>
      <c r="C16" s="45"/>
      <c r="D16" s="1018"/>
      <c r="E16" s="45"/>
      <c r="F16" s="45"/>
      <c r="G16" s="45"/>
      <c r="H16" s="45"/>
      <c r="I16" s="45"/>
      <c r="J16" s="629">
        <f t="shared" si="1"/>
        <v>0.20006213109661389</v>
      </c>
      <c r="K16" s="629">
        <f t="shared" si="1"/>
        <v>0.20017108639863129</v>
      </c>
      <c r="L16" s="629">
        <f t="shared" si="1"/>
        <v>0.2</v>
      </c>
      <c r="M16" s="629">
        <f t="shared" si="1"/>
        <v>0.24590163934426232</v>
      </c>
      <c r="N16" s="629">
        <f t="shared" si="1"/>
        <v>0.24671052631578946</v>
      </c>
      <c r="O16" s="629">
        <f t="shared" ref="O16:T16" si="3">O12/O$14</f>
        <v>0.24590163934426229</v>
      </c>
      <c r="P16" s="629">
        <f t="shared" si="3"/>
        <v>0.24523160762942778</v>
      </c>
      <c r="Q16" s="629">
        <f t="shared" si="3"/>
        <v>0.24509803921568629</v>
      </c>
      <c r="R16" s="629">
        <f t="shared" si="3"/>
        <v>0.24561403508771928</v>
      </c>
      <c r="S16" s="661">
        <f t="shared" si="3"/>
        <v>0.34883720930232559</v>
      </c>
      <c r="T16" s="1002">
        <f t="shared" si="3"/>
        <v>0.42176870748299317</v>
      </c>
      <c r="U16" s="316"/>
    </row>
    <row r="17" spans="2:21" x14ac:dyDescent="0.35">
      <c r="B17" s="995" t="s">
        <v>314</v>
      </c>
      <c r="C17" s="998"/>
      <c r="D17" s="995"/>
      <c r="E17" s="998"/>
      <c r="F17" s="998"/>
      <c r="G17" s="998"/>
      <c r="H17" s="998"/>
      <c r="I17" s="998"/>
      <c r="J17" s="649">
        <f t="shared" si="1"/>
        <v>0.30009319664492079</v>
      </c>
      <c r="K17" s="649">
        <f t="shared" si="1"/>
        <v>0.30025662959794697</v>
      </c>
      <c r="L17" s="649">
        <f t="shared" si="1"/>
        <v>0.3</v>
      </c>
      <c r="M17" s="649">
        <f t="shared" si="1"/>
        <v>0.3155737704918033</v>
      </c>
      <c r="N17" s="649">
        <f t="shared" si="1"/>
        <v>0.31578947368421051</v>
      </c>
      <c r="O17" s="649">
        <f t="shared" ref="O17:T17" si="4">O13/O$14</f>
        <v>0.31615925058548006</v>
      </c>
      <c r="P17" s="649">
        <f t="shared" si="4"/>
        <v>0.3160762942779291</v>
      </c>
      <c r="Q17" s="649">
        <f t="shared" si="4"/>
        <v>0.31535947712418305</v>
      </c>
      <c r="R17" s="649">
        <f t="shared" si="4"/>
        <v>0.31578947368421051</v>
      </c>
      <c r="S17" s="1005">
        <f t="shared" si="4"/>
        <v>0.2744186046511628</v>
      </c>
      <c r="T17" s="1016">
        <f t="shared" si="4"/>
        <v>0.24489795918367346</v>
      </c>
    </row>
    <row r="18" spans="2:21" x14ac:dyDescent="0.35">
      <c r="B18" s="45"/>
      <c r="C18" s="45"/>
      <c r="D18" s="45"/>
      <c r="E18" s="45"/>
      <c r="F18" s="45"/>
      <c r="G18" s="45"/>
      <c r="H18" s="45"/>
      <c r="I18" s="45"/>
      <c r="J18" s="629"/>
      <c r="K18" s="629"/>
      <c r="L18" s="629"/>
      <c r="M18" s="629"/>
      <c r="N18" s="629"/>
      <c r="O18" s="629"/>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271" t="s">
        <v>56</v>
      </c>
      <c r="C1" s="1271"/>
      <c r="D1" s="1271"/>
      <c r="E1" s="1271"/>
      <c r="F1" s="1271"/>
      <c r="G1" s="1271"/>
      <c r="H1" s="1271"/>
      <c r="I1" s="1271"/>
      <c r="J1" s="1271"/>
      <c r="K1" s="1271"/>
      <c r="L1" s="1271"/>
      <c r="M1" s="1271"/>
      <c r="N1" s="1271"/>
      <c r="O1" s="1271"/>
      <c r="P1" s="1271"/>
      <c r="Q1" s="1271"/>
      <c r="R1" s="1271"/>
      <c r="S1" s="1271"/>
      <c r="T1" s="1271"/>
      <c r="U1" s="1271"/>
      <c r="V1" s="1271"/>
      <c r="W1" s="1271"/>
      <c r="X1" s="1271"/>
      <c r="Y1" s="1271"/>
      <c r="Z1" s="1271"/>
      <c r="AA1" s="1271"/>
      <c r="AB1" s="1271"/>
      <c r="AC1" s="1271"/>
    </row>
    <row r="2" spans="1:29" ht="14.9" customHeight="1" x14ac:dyDescent="0.35">
      <c r="B2" s="1272" t="s">
        <v>458</v>
      </c>
      <c r="C2" s="1272"/>
      <c r="D2" s="1272"/>
      <c r="E2" s="1272"/>
      <c r="F2" s="1272"/>
      <c r="G2" s="1272"/>
      <c r="H2" s="1272"/>
      <c r="I2" s="1272"/>
      <c r="J2" s="1272"/>
      <c r="K2" s="1272"/>
      <c r="L2" s="1272"/>
      <c r="M2" s="1272"/>
      <c r="N2" s="1272"/>
      <c r="O2" s="1272"/>
      <c r="P2" s="1272"/>
      <c r="Q2" s="1272"/>
      <c r="R2" s="1272"/>
      <c r="S2" s="1272"/>
      <c r="T2" s="1272"/>
      <c r="U2" s="1272"/>
      <c r="V2" s="1272"/>
      <c r="W2" s="1272"/>
      <c r="X2" s="1272"/>
      <c r="Y2" s="1272"/>
      <c r="Z2" s="1272"/>
      <c r="AA2" s="1272"/>
      <c r="AB2" s="1272"/>
      <c r="AC2" s="1272"/>
    </row>
    <row r="3" spans="1:29" x14ac:dyDescent="0.35">
      <c r="B3" s="1272"/>
      <c r="C3" s="1272"/>
      <c r="D3" s="1272"/>
      <c r="E3" s="1272"/>
      <c r="F3" s="1272"/>
      <c r="G3" s="1272"/>
      <c r="H3" s="1272"/>
      <c r="I3" s="1272"/>
      <c r="J3" s="1272"/>
      <c r="K3" s="1272"/>
      <c r="L3" s="1272"/>
      <c r="M3" s="1272"/>
      <c r="N3" s="1272"/>
      <c r="O3" s="1272"/>
      <c r="P3" s="1272"/>
      <c r="Q3" s="1272"/>
      <c r="R3" s="1272"/>
      <c r="S3" s="1272"/>
      <c r="T3" s="1272"/>
      <c r="U3" s="1272"/>
      <c r="V3" s="1272"/>
      <c r="W3" s="1272"/>
      <c r="X3" s="1272"/>
      <c r="Y3" s="1272"/>
      <c r="Z3" s="1272"/>
      <c r="AA3" s="1272"/>
      <c r="AB3" s="1272"/>
      <c r="AC3" s="1272"/>
    </row>
    <row r="4" spans="1:29" x14ac:dyDescent="0.35">
      <c r="B4" s="1272"/>
      <c r="C4" s="1272"/>
      <c r="D4" s="1272"/>
      <c r="E4" s="1272"/>
      <c r="F4" s="1272"/>
      <c r="G4" s="1272"/>
      <c r="H4" s="1272"/>
      <c r="I4" s="1272"/>
      <c r="J4" s="1272"/>
      <c r="K4" s="1272"/>
      <c r="L4" s="1272"/>
      <c r="M4" s="1272"/>
      <c r="N4" s="1272"/>
      <c r="O4" s="1272"/>
      <c r="P4" s="1272"/>
      <c r="Q4" s="1272"/>
      <c r="R4" s="1272"/>
      <c r="S4" s="1272"/>
      <c r="T4" s="1272"/>
      <c r="U4" s="1272"/>
      <c r="V4" s="1272"/>
      <c r="W4" s="1272"/>
      <c r="X4" s="1272"/>
      <c r="Y4" s="1272"/>
      <c r="Z4" s="1272"/>
      <c r="AA4" s="1272"/>
      <c r="AB4" s="1272"/>
      <c r="AC4" s="1272"/>
    </row>
    <row r="5" spans="1:29" x14ac:dyDescent="0.35">
      <c r="B5" s="397"/>
      <c r="C5" s="239"/>
      <c r="D5" s="239"/>
      <c r="E5" s="239"/>
      <c r="F5" s="239"/>
      <c r="G5" s="239"/>
      <c r="H5" s="239"/>
      <c r="I5" s="239"/>
      <c r="J5" s="239"/>
      <c r="K5" s="239"/>
      <c r="L5" s="239"/>
      <c r="M5" s="239"/>
      <c r="N5" s="239"/>
      <c r="O5" s="239"/>
      <c r="P5" s="239"/>
      <c r="Q5" s="239"/>
      <c r="R5" s="239"/>
      <c r="S5" s="239"/>
      <c r="T5" s="239"/>
      <c r="U5" s="239"/>
      <c r="V5" s="239"/>
      <c r="W5" s="239"/>
      <c r="X5" s="239"/>
      <c r="Y5" s="239"/>
    </row>
    <row r="6" spans="1:29" x14ac:dyDescent="0.35">
      <c r="B6" s="1276" t="s">
        <v>403</v>
      </c>
      <c r="C6" s="1277"/>
      <c r="D6" s="1293" t="s">
        <v>279</v>
      </c>
      <c r="E6" s="1294"/>
      <c r="F6" s="1294"/>
      <c r="G6" s="1294"/>
      <c r="H6" s="1294"/>
      <c r="I6" s="1294"/>
      <c r="J6" s="1294"/>
      <c r="K6" s="1294"/>
      <c r="L6" s="1294"/>
      <c r="M6" s="1294"/>
      <c r="N6" s="1294"/>
      <c r="O6" s="1294"/>
      <c r="P6" s="1294"/>
      <c r="Q6" s="1340"/>
      <c r="R6" s="1340"/>
      <c r="S6" s="1340"/>
      <c r="T6" s="1277"/>
      <c r="U6" s="1297" t="s">
        <v>280</v>
      </c>
      <c r="V6" s="1297"/>
      <c r="W6" s="1297"/>
      <c r="X6" s="1297"/>
      <c r="Y6" s="1297"/>
      <c r="Z6" s="1297"/>
      <c r="AA6" s="1297"/>
      <c r="AB6" s="1297"/>
      <c r="AC6" s="1298"/>
    </row>
    <row r="7" spans="1:29" x14ac:dyDescent="0.35">
      <c r="B7" s="1278"/>
      <c r="C7" s="1279"/>
      <c r="D7" s="215">
        <v>2018</v>
      </c>
      <c r="E7" s="1282">
        <v>2019</v>
      </c>
      <c r="F7" s="1283"/>
      <c r="G7" s="1283"/>
      <c r="H7" s="1284"/>
      <c r="I7" s="1282">
        <v>2020</v>
      </c>
      <c r="J7" s="1283"/>
      <c r="K7" s="1283"/>
      <c r="L7" s="1283"/>
      <c r="M7" s="1282">
        <v>2021</v>
      </c>
      <c r="N7" s="1283"/>
      <c r="O7" s="1283"/>
      <c r="P7" s="1283"/>
      <c r="Q7" s="1282">
        <v>2022</v>
      </c>
      <c r="R7" s="1305"/>
      <c r="S7" s="1305"/>
      <c r="T7" s="1284"/>
      <c r="U7" s="1269">
        <v>2023</v>
      </c>
      <c r="V7" s="1292"/>
      <c r="W7" s="1292"/>
      <c r="X7" s="1292"/>
      <c r="Y7" s="1268">
        <v>2024</v>
      </c>
      <c r="Z7" s="1292"/>
      <c r="AA7" s="1292"/>
      <c r="AB7" s="1270"/>
      <c r="AC7" s="291">
        <v>2025</v>
      </c>
    </row>
    <row r="8" spans="1:29" x14ac:dyDescent="0.35">
      <c r="B8" s="1280"/>
      <c r="C8" s="1281"/>
      <c r="D8" s="212" t="s">
        <v>281</v>
      </c>
      <c r="E8" s="212" t="s">
        <v>282</v>
      </c>
      <c r="F8" s="213" t="s">
        <v>283</v>
      </c>
      <c r="G8" s="213" t="s">
        <v>238</v>
      </c>
      <c r="H8" s="214" t="s">
        <v>281</v>
      </c>
      <c r="I8" s="213" t="s">
        <v>282</v>
      </c>
      <c r="J8" s="213" t="s">
        <v>283</v>
      </c>
      <c r="K8" s="213" t="s">
        <v>238</v>
      </c>
      <c r="L8" s="213" t="s">
        <v>281</v>
      </c>
      <c r="M8" s="212" t="s">
        <v>282</v>
      </c>
      <c r="N8" s="213" t="s">
        <v>283</v>
      </c>
      <c r="O8" s="213" t="s">
        <v>238</v>
      </c>
      <c r="P8" s="213" t="s">
        <v>281</v>
      </c>
      <c r="Q8" s="212" t="s">
        <v>282</v>
      </c>
      <c r="R8" s="213" t="s">
        <v>283</v>
      </c>
      <c r="S8" s="213" t="s">
        <v>238</v>
      </c>
      <c r="T8" s="214" t="s">
        <v>281</v>
      </c>
      <c r="U8" s="329" t="s">
        <v>282</v>
      </c>
      <c r="V8" s="329" t="s">
        <v>283</v>
      </c>
      <c r="W8" s="329" t="s">
        <v>238</v>
      </c>
      <c r="X8" s="329" t="s">
        <v>281</v>
      </c>
      <c r="Y8" s="430" t="s">
        <v>282</v>
      </c>
      <c r="Z8" s="336" t="s">
        <v>283</v>
      </c>
      <c r="AA8" s="329" t="s">
        <v>238</v>
      </c>
      <c r="AB8" s="429" t="s">
        <v>281</v>
      </c>
      <c r="AC8" s="924" t="s">
        <v>282</v>
      </c>
    </row>
    <row r="9" spans="1:29" x14ac:dyDescent="0.35">
      <c r="B9" s="560" t="s">
        <v>56</v>
      </c>
      <c r="C9" s="442" t="s">
        <v>459</v>
      </c>
      <c r="D9" s="560"/>
      <c r="E9" s="710"/>
      <c r="F9" s="710"/>
      <c r="G9" s="710"/>
      <c r="H9" s="710"/>
      <c r="I9" s="710"/>
      <c r="J9" s="308">
        <f>'Haver Pivoted'!GU45</f>
        <v>1078.0999999999999</v>
      </c>
      <c r="K9" s="308">
        <f>'Haver Pivoted'!GV45</f>
        <v>15.6</v>
      </c>
      <c r="L9" s="308">
        <f>'Haver Pivoted'!GW45</f>
        <v>5</v>
      </c>
      <c r="M9" s="308">
        <f>'Haver Pivoted'!GX45</f>
        <v>1933.7</v>
      </c>
      <c r="N9" s="308">
        <f>'Haver Pivoted'!GY45</f>
        <v>290.10000000000002</v>
      </c>
      <c r="O9" s="308">
        <f>'Haver Pivoted'!GZ45</f>
        <v>38.9</v>
      </c>
      <c r="P9" s="308">
        <f>'Haver Pivoted'!HA45</f>
        <v>14.2</v>
      </c>
      <c r="Q9" s="308">
        <f>'Haver Pivoted'!HB45</f>
        <v>0</v>
      </c>
      <c r="R9" s="308">
        <f>'Haver Pivoted'!HC45</f>
        <v>0</v>
      </c>
      <c r="S9" s="293">
        <f>'Haver Pivoted'!HD45</f>
        <v>0</v>
      </c>
      <c r="T9" s="217">
        <f>'Haver Pivoted'!HE45</f>
        <v>0</v>
      </c>
      <c r="U9" s="289"/>
      <c r="V9" s="289"/>
      <c r="W9" s="289"/>
      <c r="X9" s="289"/>
      <c r="Y9" s="289"/>
      <c r="Z9" s="289"/>
      <c r="AA9" s="289"/>
      <c r="AB9" s="289"/>
      <c r="AC9" s="209"/>
    </row>
    <row r="10" spans="1:29" x14ac:dyDescent="0.35">
      <c r="B10" s="578" t="s">
        <v>214</v>
      </c>
      <c r="C10" s="260"/>
      <c r="D10" s="578"/>
      <c r="E10" s="260"/>
      <c r="F10" s="260"/>
      <c r="G10" s="260"/>
      <c r="H10" s="260"/>
      <c r="I10" s="260"/>
      <c r="J10" s="630"/>
      <c r="K10" s="630"/>
      <c r="L10" s="630"/>
      <c r="M10" s="630">
        <f t="shared" ref="M10:T10" si="0">M9-M11</f>
        <v>1348.1</v>
      </c>
      <c r="N10" s="630">
        <f t="shared" si="0"/>
        <v>290.10000000000002</v>
      </c>
      <c r="O10" s="630">
        <f t="shared" si="0"/>
        <v>38.9</v>
      </c>
      <c r="P10" s="630">
        <f t="shared" si="0"/>
        <v>14.2</v>
      </c>
      <c r="Q10" s="630">
        <f t="shared" si="0"/>
        <v>0</v>
      </c>
      <c r="R10" s="630">
        <f t="shared" si="0"/>
        <v>0</v>
      </c>
      <c r="S10" s="1030">
        <f t="shared" si="0"/>
        <v>0</v>
      </c>
      <c r="T10" s="1020">
        <f t="shared" si="0"/>
        <v>0</v>
      </c>
      <c r="U10" s="1028"/>
      <c r="V10" s="1028"/>
      <c r="W10" s="1028"/>
      <c r="X10" s="1028"/>
      <c r="Y10" s="1028"/>
      <c r="Z10" s="1028"/>
      <c r="AA10" s="1028"/>
      <c r="AB10" s="1028"/>
      <c r="AC10" s="1029"/>
    </row>
    <row r="11" spans="1:29" x14ac:dyDescent="0.35">
      <c r="B11" s="535" t="s">
        <v>460</v>
      </c>
      <c r="C11" s="536"/>
      <c r="D11" s="535"/>
      <c r="E11" s="536"/>
      <c r="F11" s="536"/>
      <c r="G11" s="536"/>
      <c r="H11" s="536"/>
      <c r="I11" s="536"/>
      <c r="J11" s="650">
        <f t="shared" ref="J11:L11" si="1">J9-J10</f>
        <v>1078.0999999999999</v>
      </c>
      <c r="K11" s="650">
        <f t="shared" si="1"/>
        <v>15.6</v>
      </c>
      <c r="L11" s="650">
        <f t="shared" si="1"/>
        <v>5</v>
      </c>
      <c r="M11" s="650">
        <f>SUM(C17:D17)/12*4</f>
        <v>585.6</v>
      </c>
      <c r="N11" s="650">
        <v>0</v>
      </c>
      <c r="O11" s="650">
        <v>0</v>
      </c>
      <c r="P11" s="650">
        <v>0</v>
      </c>
      <c r="Q11" s="650">
        <v>0</v>
      </c>
      <c r="R11" s="650">
        <v>0</v>
      </c>
      <c r="S11" s="650">
        <v>0</v>
      </c>
      <c r="T11" s="920"/>
      <c r="U11" s="1022"/>
      <c r="V11" s="1022"/>
      <c r="W11" s="1022"/>
      <c r="X11" s="1022"/>
      <c r="Y11" s="1022"/>
      <c r="Z11" s="1022"/>
      <c r="AA11" s="1022"/>
      <c r="AB11" s="1022"/>
      <c r="AC11" s="1023"/>
    </row>
    <row r="12" spans="1:29" x14ac:dyDescent="0.35">
      <c r="B12" s="239"/>
      <c r="C12" s="239"/>
      <c r="D12" s="239"/>
      <c r="E12" s="239"/>
      <c r="F12" s="239"/>
      <c r="G12" s="239"/>
      <c r="H12" s="239"/>
      <c r="I12" s="239"/>
      <c r="J12" s="239"/>
      <c r="K12" s="239"/>
      <c r="L12" s="239"/>
      <c r="M12" s="239"/>
      <c r="N12" s="239"/>
      <c r="O12" s="239"/>
      <c r="P12" s="239"/>
      <c r="Q12" s="239"/>
      <c r="R12" s="239"/>
      <c r="S12" s="239"/>
      <c r="T12" s="239"/>
      <c r="U12" s="239"/>
      <c r="V12" s="239"/>
      <c r="W12" s="239"/>
      <c r="X12" s="239"/>
      <c r="Y12" s="239"/>
      <c r="Z12" s="57"/>
      <c r="AA12" s="57"/>
      <c r="AB12" s="57"/>
      <c r="AC12" s="57"/>
    </row>
    <row r="13" spans="1:29" x14ac:dyDescent="0.35">
      <c r="A13" s="76"/>
      <c r="B13" s="76"/>
      <c r="C13" s="76"/>
      <c r="D13" s="76"/>
      <c r="E13" s="76"/>
      <c r="F13" s="76"/>
      <c r="G13" s="76"/>
      <c r="H13" s="76"/>
      <c r="I13" s="76"/>
      <c r="J13" s="76"/>
      <c r="K13" s="76"/>
      <c r="L13" s="70"/>
      <c r="M13" s="70"/>
      <c r="N13" s="70"/>
    </row>
    <row r="14" spans="1:29" x14ac:dyDescent="0.35">
      <c r="A14" s="76"/>
      <c r="N14" s="57"/>
    </row>
    <row r="15" spans="1:29" x14ac:dyDescent="0.35">
      <c r="A15" s="629"/>
      <c r="B15" s="1414" t="s">
        <v>461</v>
      </c>
      <c r="C15" s="1404">
        <v>2021</v>
      </c>
      <c r="D15" s="1405"/>
      <c r="E15" s="1405"/>
      <c r="F15" s="1405"/>
      <c r="G15" s="68"/>
      <c r="K15" s="1374"/>
      <c r="L15" s="1374"/>
      <c r="M15" s="57"/>
      <c r="N15" s="57"/>
    </row>
    <row r="16" spans="1:29" x14ac:dyDescent="0.35">
      <c r="B16" s="1415"/>
      <c r="C16" s="1025" t="s">
        <v>234</v>
      </c>
      <c r="D16" s="1005" t="s">
        <v>235</v>
      </c>
      <c r="E16" s="1005" t="s">
        <v>236</v>
      </c>
      <c r="F16" s="1005" t="s">
        <v>237</v>
      </c>
      <c r="G16" s="1021"/>
      <c r="H16" s="629"/>
      <c r="I16" s="629"/>
      <c r="J16" s="629"/>
      <c r="K16" s="629"/>
      <c r="L16" s="629"/>
      <c r="M16" s="629"/>
      <c r="N16" s="629"/>
    </row>
    <row r="17" spans="2:29" ht="16.399999999999999" customHeight="1" x14ac:dyDescent="0.35">
      <c r="B17" s="1024" t="s">
        <v>462</v>
      </c>
      <c r="C17" s="1026">
        <v>1660.9</v>
      </c>
      <c r="D17" s="1026">
        <v>95.9</v>
      </c>
      <c r="E17" s="1026">
        <v>4044.2</v>
      </c>
      <c r="F17" s="1027">
        <v>688</v>
      </c>
      <c r="G17" s="144"/>
      <c r="H17" s="144"/>
      <c r="I17" s="144"/>
      <c r="J17" s="144"/>
      <c r="K17" s="144"/>
      <c r="L17" s="144"/>
      <c r="M17" s="239"/>
      <c r="N17" s="239"/>
    </row>
    <row r="18" spans="2:29" x14ac:dyDescent="0.35">
      <c r="B18" s="987" t="s">
        <v>463</v>
      </c>
      <c r="C18" s="239"/>
      <c r="D18" s="239"/>
      <c r="E18" s="239"/>
      <c r="F18" s="239"/>
      <c r="G18" s="239"/>
      <c r="H18" s="239"/>
      <c r="I18" s="239"/>
      <c r="J18" s="239"/>
      <c r="K18" s="239"/>
      <c r="L18" s="239"/>
      <c r="M18" s="239"/>
      <c r="N18" s="239"/>
    </row>
    <row r="19" spans="2:29" x14ac:dyDescent="0.35">
      <c r="B19" s="239"/>
      <c r="C19" s="239"/>
      <c r="D19" s="239"/>
      <c r="E19" s="239"/>
      <c r="F19" s="239"/>
      <c r="G19" s="239"/>
      <c r="H19" s="239"/>
      <c r="I19" s="239"/>
      <c r="J19" s="239"/>
      <c r="K19" s="239"/>
      <c r="L19" s="239"/>
      <c r="M19" s="239"/>
      <c r="N19" s="239"/>
    </row>
    <row r="20" spans="2:29" x14ac:dyDescent="0.35">
      <c r="B20" s="987"/>
      <c r="C20" s="239"/>
      <c r="D20" s="239"/>
      <c r="E20" s="239"/>
      <c r="F20" s="239"/>
      <c r="G20" s="239"/>
      <c r="H20" s="239"/>
      <c r="I20" s="239"/>
      <c r="J20" s="239"/>
      <c r="K20" s="239"/>
      <c r="L20" s="239"/>
      <c r="M20" s="239"/>
      <c r="N20" s="239"/>
    </row>
    <row r="21" spans="2:29" x14ac:dyDescent="0.35">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57"/>
      <c r="AA21" s="57"/>
      <c r="AB21" s="57"/>
      <c r="AC21" s="57"/>
    </row>
    <row r="22" spans="2:29" x14ac:dyDescent="0.35">
      <c r="B22" s="76"/>
      <c r="C22" s="76"/>
      <c r="D22" s="76"/>
      <c r="E22" s="76"/>
      <c r="F22" s="76"/>
      <c r="G22" s="76"/>
      <c r="H22" s="76"/>
      <c r="I22" s="76"/>
      <c r="J22" s="76"/>
      <c r="K22" s="76"/>
      <c r="L22" s="70"/>
      <c r="M22" s="70"/>
      <c r="N22" s="70"/>
    </row>
    <row r="23" spans="2:29" x14ac:dyDescent="0.35">
      <c r="B23" s="239"/>
      <c r="C23" s="239"/>
      <c r="D23" s="239"/>
      <c r="E23" s="239"/>
      <c r="F23" s="239"/>
      <c r="G23" s="239"/>
      <c r="H23" s="239"/>
      <c r="I23" s="239"/>
      <c r="J23" s="239"/>
      <c r="K23" s="239"/>
      <c r="L23" s="239"/>
      <c r="M23" s="239"/>
      <c r="N23" s="239"/>
      <c r="O23" s="239"/>
      <c r="P23" s="239"/>
      <c r="Q23" s="239"/>
      <c r="R23" s="239"/>
      <c r="S23" s="239"/>
      <c r="T23" s="239"/>
      <c r="U23" s="239"/>
      <c r="V23" s="239"/>
      <c r="W23" s="239"/>
      <c r="X23" s="239"/>
      <c r="Y23" s="239"/>
    </row>
    <row r="24" spans="2:29" x14ac:dyDescent="0.35">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row>
    <row r="25" spans="2:29" x14ac:dyDescent="0.35">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row>
    <row r="26" spans="2:29" x14ac:dyDescent="0.35">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row>
    <row r="27" spans="2:29" x14ac:dyDescent="0.35">
      <c r="B27" s="239"/>
      <c r="C27" s="239"/>
      <c r="D27" s="239"/>
      <c r="E27" s="239"/>
      <c r="F27" s="239"/>
      <c r="G27" s="239"/>
      <c r="H27" s="239"/>
      <c r="I27" s="239"/>
      <c r="J27" s="239"/>
      <c r="K27" s="239"/>
      <c r="L27" s="239"/>
      <c r="M27" s="239"/>
      <c r="N27" s="239"/>
      <c r="O27" s="239"/>
      <c r="P27" s="239"/>
      <c r="Q27" s="239"/>
      <c r="R27" s="239"/>
      <c r="S27" s="239"/>
      <c r="T27" s="239"/>
      <c r="U27" s="239"/>
      <c r="V27" s="239"/>
      <c r="W27" s="239"/>
      <c r="X27" s="239"/>
      <c r="Y27" s="239"/>
    </row>
    <row r="28" spans="2:29" x14ac:dyDescent="0.35">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row>
    <row r="29" spans="2:29" x14ac:dyDescent="0.35">
      <c r="B29" s="239"/>
      <c r="C29" s="239"/>
      <c r="D29" s="239"/>
      <c r="E29" s="239"/>
      <c r="F29" s="239"/>
      <c r="G29" s="239"/>
      <c r="H29" s="239"/>
      <c r="I29" s="239"/>
      <c r="J29" s="239"/>
      <c r="K29" s="239"/>
      <c r="L29" s="239"/>
      <c r="M29" s="239"/>
      <c r="N29" s="239"/>
      <c r="O29" s="239"/>
      <c r="P29" s="239"/>
      <c r="Q29" s="239"/>
      <c r="R29" s="239"/>
      <c r="S29" s="239"/>
      <c r="T29" s="239"/>
      <c r="U29" s="239"/>
      <c r="V29" s="239"/>
      <c r="W29" s="239"/>
      <c r="X29" s="239"/>
      <c r="Y29" s="239"/>
    </row>
    <row r="30" spans="2:29" x14ac:dyDescent="0.35">
      <c r="B30" s="239"/>
      <c r="C30" s="239"/>
      <c r="D30" s="239"/>
      <c r="E30" s="239"/>
      <c r="F30" s="239"/>
      <c r="G30" s="239"/>
      <c r="H30" s="239"/>
      <c r="I30" s="239"/>
      <c r="J30" s="239"/>
      <c r="K30" s="239"/>
      <c r="L30" s="239"/>
      <c r="M30" s="239"/>
      <c r="N30" s="239"/>
      <c r="O30" s="239"/>
      <c r="P30" s="239"/>
      <c r="Q30" s="239"/>
      <c r="R30" s="239"/>
      <c r="S30" s="239"/>
      <c r="T30" s="239"/>
      <c r="U30" s="239"/>
      <c r="V30" s="239"/>
      <c r="W30" s="239"/>
      <c r="X30" s="239"/>
      <c r="Y30" s="239"/>
    </row>
    <row r="31" spans="2:29" x14ac:dyDescent="0.35">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row>
    <row r="32" spans="2:29" x14ac:dyDescent="0.35">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row>
    <row r="33" spans="2:25" x14ac:dyDescent="0.35">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row>
    <row r="34" spans="2:25" x14ac:dyDescent="0.35">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row>
    <row r="35" spans="2:25" x14ac:dyDescent="0.35">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row>
    <row r="36" spans="2:25" x14ac:dyDescent="0.35">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row>
    <row r="37" spans="2:25" x14ac:dyDescent="0.35">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row>
    <row r="38" spans="2:25" x14ac:dyDescent="0.35">
      <c r="B38" s="239"/>
      <c r="C38" s="239"/>
      <c r="D38" s="239"/>
      <c r="E38" s="239"/>
      <c r="F38" s="239"/>
      <c r="G38" s="239"/>
      <c r="H38" s="239"/>
      <c r="I38" s="239"/>
      <c r="J38" s="239"/>
      <c r="K38" s="239"/>
      <c r="L38" s="239"/>
      <c r="M38" s="239"/>
      <c r="N38" s="239"/>
      <c r="O38" s="239"/>
      <c r="P38" s="239"/>
      <c r="Q38" s="239"/>
      <c r="R38" s="239"/>
      <c r="S38" s="239"/>
      <c r="T38" s="239"/>
      <c r="U38" s="239"/>
      <c r="V38" s="239"/>
      <c r="W38" s="239"/>
      <c r="X38" s="239"/>
      <c r="Y38" s="239"/>
    </row>
    <row r="39" spans="2:25" x14ac:dyDescent="0.35">
      <c r="B39" s="239"/>
      <c r="C39" s="239"/>
      <c r="D39" s="239"/>
      <c r="E39" s="239"/>
      <c r="F39" s="239"/>
      <c r="G39" s="239"/>
      <c r="H39" s="239"/>
      <c r="I39" s="239"/>
      <c r="J39" s="239"/>
      <c r="K39" s="239"/>
      <c r="L39" s="239"/>
      <c r="M39" s="239"/>
      <c r="N39" s="239"/>
      <c r="O39" s="239"/>
      <c r="P39" s="239"/>
      <c r="Q39" s="239"/>
      <c r="R39" s="239"/>
      <c r="S39" s="239"/>
      <c r="T39" s="239"/>
      <c r="U39" s="239"/>
      <c r="V39" s="239"/>
      <c r="W39" s="239"/>
      <c r="X39" s="239"/>
      <c r="Y39" s="239"/>
    </row>
    <row r="40" spans="2:25" x14ac:dyDescent="0.35">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row>
    <row r="41" spans="2:25" x14ac:dyDescent="0.35">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row>
    <row r="42" spans="2:25" x14ac:dyDescent="0.35">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row>
    <row r="43" spans="2:25" x14ac:dyDescent="0.35">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row>
    <row r="44" spans="2:25" x14ac:dyDescent="0.35">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row>
    <row r="45" spans="2:25" x14ac:dyDescent="0.35">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row>
    <row r="46" spans="2:25" x14ac:dyDescent="0.35">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row>
    <row r="47" spans="2:25" x14ac:dyDescent="0.35">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row>
    <row r="48" spans="2:25" x14ac:dyDescent="0.35">
      <c r="B48" s="239"/>
      <c r="C48" s="239"/>
      <c r="D48" s="239"/>
      <c r="E48" s="239"/>
      <c r="F48" s="239"/>
      <c r="G48" s="239"/>
      <c r="H48" s="239"/>
      <c r="I48" s="239"/>
      <c r="J48" s="239"/>
      <c r="K48" s="239"/>
      <c r="L48" s="239"/>
      <c r="M48" s="239"/>
      <c r="N48" s="239"/>
      <c r="O48" s="239"/>
      <c r="P48" s="239"/>
      <c r="Q48" s="239"/>
      <c r="R48" s="239"/>
      <c r="S48" s="239"/>
      <c r="T48" s="239"/>
      <c r="U48" s="239"/>
      <c r="V48" s="239"/>
      <c r="W48" s="239"/>
      <c r="X48" s="239"/>
      <c r="Y48" s="239"/>
    </row>
    <row r="49" spans="2:25" x14ac:dyDescent="0.35">
      <c r="B49" s="239"/>
      <c r="C49" s="239"/>
      <c r="D49" s="239"/>
      <c r="E49" s="239"/>
      <c r="F49" s="239"/>
      <c r="G49" s="239"/>
      <c r="H49" s="239"/>
      <c r="I49" s="239"/>
      <c r="J49" s="239"/>
      <c r="K49" s="239"/>
      <c r="L49" s="239"/>
      <c r="M49" s="239"/>
      <c r="N49" s="239"/>
      <c r="O49" s="239"/>
      <c r="P49" s="239"/>
      <c r="Q49" s="239"/>
      <c r="R49" s="239"/>
      <c r="S49" s="239"/>
      <c r="T49" s="239"/>
      <c r="U49" s="239"/>
      <c r="V49" s="239"/>
      <c r="W49" s="239"/>
      <c r="X49" s="239"/>
      <c r="Y49" s="239"/>
    </row>
    <row r="50" spans="2:25" x14ac:dyDescent="0.35">
      <c r="B50" s="239"/>
      <c r="C50" s="239"/>
      <c r="D50" s="239"/>
      <c r="E50" s="239"/>
      <c r="F50" s="239"/>
      <c r="G50" s="239"/>
      <c r="H50" s="239"/>
      <c r="I50" s="239"/>
      <c r="J50" s="239"/>
      <c r="K50" s="239"/>
      <c r="L50" s="239"/>
      <c r="M50" s="239"/>
      <c r="N50" s="239"/>
      <c r="O50" s="239"/>
      <c r="P50" s="239"/>
      <c r="Q50" s="239"/>
      <c r="R50" s="239"/>
      <c r="S50" s="239"/>
      <c r="T50" s="239"/>
      <c r="U50" s="239"/>
      <c r="V50" s="239"/>
      <c r="W50" s="239"/>
      <c r="X50" s="239"/>
      <c r="Y50" s="239"/>
    </row>
    <row r="51" spans="2:25" x14ac:dyDescent="0.35">
      <c r="B51" s="239"/>
      <c r="C51" s="239"/>
      <c r="D51" s="239"/>
      <c r="E51" s="239"/>
      <c r="F51" s="239"/>
      <c r="G51" s="239"/>
      <c r="H51" s="239"/>
      <c r="I51" s="239"/>
      <c r="J51" s="239"/>
      <c r="K51" s="239"/>
      <c r="L51" s="239"/>
      <c r="M51" s="239"/>
      <c r="N51" s="239"/>
      <c r="O51" s="239"/>
      <c r="P51" s="239"/>
      <c r="Q51" s="239"/>
      <c r="R51" s="239"/>
      <c r="S51" s="239"/>
      <c r="T51" s="239"/>
      <c r="U51" s="239"/>
      <c r="V51" s="239"/>
      <c r="W51" s="239"/>
      <c r="X51" s="239"/>
      <c r="Y51" s="239"/>
    </row>
    <row r="52" spans="2:25" x14ac:dyDescent="0.35">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81" t="s">
        <v>520</v>
      </c>
      <c r="B3" s="239"/>
    </row>
    <row r="4" spans="1:17" x14ac:dyDescent="0.35">
      <c r="A4" s="1032" t="s">
        <v>521</v>
      </c>
      <c r="B4" s="1033"/>
      <c r="C4" s="1033"/>
    </row>
    <row r="7" spans="1:17" x14ac:dyDescent="0.35">
      <c r="A7" s="1417" t="s">
        <v>522</v>
      </c>
      <c r="B7" s="1418"/>
      <c r="C7" s="1418"/>
      <c r="D7" s="1418"/>
      <c r="E7" s="1418"/>
      <c r="F7" s="1418"/>
      <c r="G7" s="1418"/>
      <c r="H7" s="1418"/>
      <c r="I7" s="1418"/>
      <c r="J7" s="1418"/>
      <c r="K7" s="1418"/>
      <c r="L7" s="1418"/>
      <c r="M7" s="1418"/>
      <c r="N7" s="1418"/>
      <c r="O7" s="1418"/>
      <c r="P7" s="1418"/>
    </row>
    <row r="8" spans="1:17" x14ac:dyDescent="0.35">
      <c r="A8" s="357" t="s">
        <v>523</v>
      </c>
      <c r="B8" s="357"/>
      <c r="C8" s="357"/>
      <c r="D8" s="1037"/>
      <c r="E8" s="357"/>
      <c r="F8" s="357"/>
      <c r="G8" s="357"/>
      <c r="H8" s="357"/>
      <c r="I8" s="357"/>
      <c r="J8" s="357"/>
      <c r="K8" s="357"/>
      <c r="L8" s="357"/>
      <c r="M8" s="357"/>
      <c r="N8" s="357"/>
      <c r="O8" s="357"/>
      <c r="P8" s="357"/>
    </row>
    <row r="9" spans="1:17" x14ac:dyDescent="0.35">
      <c r="A9" s="239"/>
      <c r="B9" s="239"/>
      <c r="C9" s="239"/>
      <c r="D9" s="735"/>
      <c r="E9" s="239"/>
      <c r="F9" s="239"/>
      <c r="G9" s="239"/>
      <c r="H9" s="239"/>
      <c r="I9" s="239"/>
      <c r="J9" s="239"/>
      <c r="K9" s="239"/>
      <c r="L9" s="239"/>
      <c r="M9" s="239"/>
      <c r="N9" s="239"/>
      <c r="O9" s="239"/>
      <c r="P9" s="239"/>
    </row>
    <row r="10" spans="1:17" x14ac:dyDescent="0.35">
      <c r="A10" s="239"/>
      <c r="B10" s="239"/>
      <c r="C10" s="239"/>
      <c r="D10" s="735"/>
      <c r="E10" s="239"/>
      <c r="F10" s="239"/>
      <c r="G10" s="239"/>
      <c r="H10" s="239"/>
      <c r="I10" s="239"/>
      <c r="J10" s="239"/>
      <c r="K10" s="239"/>
      <c r="L10" s="239"/>
      <c r="M10" s="239"/>
      <c r="N10" s="239"/>
      <c r="O10" s="1419" t="s">
        <v>311</v>
      </c>
      <c r="P10" s="1419"/>
    </row>
    <row r="11" spans="1:17" x14ac:dyDescent="0.35">
      <c r="A11" s="239"/>
      <c r="B11" s="239"/>
      <c r="C11" s="714"/>
      <c r="D11" s="263"/>
      <c r="E11" s="714"/>
      <c r="F11" s="714"/>
      <c r="G11" s="714"/>
      <c r="H11" s="714"/>
      <c r="I11" s="714"/>
      <c r="J11" s="714"/>
      <c r="K11" s="714"/>
      <c r="L11" s="714"/>
      <c r="M11" s="714"/>
      <c r="N11" s="714"/>
      <c r="O11" s="1036" t="s">
        <v>524</v>
      </c>
      <c r="P11" s="1036" t="s">
        <v>524</v>
      </c>
    </row>
    <row r="12" spans="1:17" x14ac:dyDescent="0.35">
      <c r="A12" s="357"/>
      <c r="B12" s="357"/>
      <c r="C12" s="357"/>
      <c r="D12" s="1037">
        <v>2020</v>
      </c>
      <c r="E12" s="1037">
        <v>2021</v>
      </c>
      <c r="F12" s="1037">
        <v>2022</v>
      </c>
      <c r="G12" s="1037">
        <v>2023</v>
      </c>
      <c r="H12" s="1037">
        <v>2024</v>
      </c>
      <c r="I12" s="1037">
        <v>2025</v>
      </c>
      <c r="J12" s="1037">
        <v>2026</v>
      </c>
      <c r="K12" s="1037">
        <v>2027</v>
      </c>
      <c r="L12" s="1037">
        <v>2028</v>
      </c>
      <c r="M12" s="1037">
        <v>2029</v>
      </c>
      <c r="N12" s="1037">
        <v>2030</v>
      </c>
      <c r="O12" s="851">
        <v>2025</v>
      </c>
      <c r="P12" s="851">
        <v>2030</v>
      </c>
    </row>
    <row r="13" spans="1:17" x14ac:dyDescent="0.35">
      <c r="A13" s="714" t="s">
        <v>525</v>
      </c>
      <c r="B13" s="714"/>
      <c r="C13" s="714"/>
      <c r="D13" s="627">
        <v>540.56299999999999</v>
      </c>
      <c r="E13" s="627">
        <v>0</v>
      </c>
      <c r="F13" s="627">
        <v>0</v>
      </c>
      <c r="G13" s="627">
        <v>0</v>
      </c>
      <c r="H13" s="627">
        <v>0</v>
      </c>
      <c r="I13" s="627">
        <v>0</v>
      </c>
      <c r="J13" s="627">
        <v>0</v>
      </c>
      <c r="K13" s="627">
        <v>0</v>
      </c>
      <c r="L13" s="627">
        <v>0</v>
      </c>
      <c r="M13" s="627">
        <v>0</v>
      </c>
      <c r="N13" s="627">
        <v>0</v>
      </c>
      <c r="O13" s="627">
        <v>0</v>
      </c>
      <c r="P13" s="627">
        <v>0</v>
      </c>
      <c r="Q13" t="s">
        <v>50</v>
      </c>
    </row>
    <row r="14" spans="1:17" x14ac:dyDescent="0.35">
      <c r="A14" s="239" t="s">
        <v>526</v>
      </c>
      <c r="B14" s="239"/>
      <c r="C14" s="239"/>
      <c r="D14" s="263"/>
      <c r="E14" s="714"/>
      <c r="F14" s="714"/>
      <c r="G14" s="714"/>
      <c r="H14" s="714"/>
      <c r="I14" s="714"/>
      <c r="J14" s="714"/>
      <c r="K14" s="714"/>
      <c r="L14" s="714"/>
      <c r="M14" s="714"/>
      <c r="N14" s="714"/>
      <c r="O14" s="714"/>
      <c r="P14" s="714"/>
      <c r="Q14" t="s">
        <v>527</v>
      </c>
    </row>
    <row r="15" spans="1:17" x14ac:dyDescent="0.35">
      <c r="A15" s="239"/>
      <c r="B15" s="239" t="s">
        <v>528</v>
      </c>
      <c r="C15" s="239"/>
      <c r="D15" s="263">
        <v>285.56</v>
      </c>
      <c r="E15" s="263">
        <v>5</v>
      </c>
      <c r="F15" s="263">
        <v>0</v>
      </c>
      <c r="G15" s="263">
        <v>0</v>
      </c>
      <c r="H15" s="263">
        <v>0</v>
      </c>
      <c r="I15" s="263">
        <v>0</v>
      </c>
      <c r="J15" s="263">
        <v>0</v>
      </c>
      <c r="K15" s="263">
        <v>0</v>
      </c>
      <c r="L15" s="263">
        <v>0</v>
      </c>
      <c r="M15" s="263">
        <v>0</v>
      </c>
      <c r="N15" s="263">
        <v>0</v>
      </c>
      <c r="O15" s="263">
        <v>5</v>
      </c>
      <c r="P15" s="263">
        <v>5</v>
      </c>
    </row>
    <row r="16" spans="1:17" x14ac:dyDescent="0.35">
      <c r="A16" s="714"/>
      <c r="B16" s="239" t="s">
        <v>529</v>
      </c>
      <c r="C16" s="714"/>
      <c r="D16" s="263">
        <v>67.209999999999994</v>
      </c>
      <c r="E16" s="263">
        <v>13.68</v>
      </c>
      <c r="F16" s="263">
        <v>0</v>
      </c>
      <c r="G16" s="263">
        <v>0</v>
      </c>
      <c r="H16" s="263">
        <v>0</v>
      </c>
      <c r="I16" s="263">
        <v>0</v>
      </c>
      <c r="J16" s="263">
        <v>0</v>
      </c>
      <c r="K16" s="263">
        <v>0</v>
      </c>
      <c r="L16" s="263">
        <v>0</v>
      </c>
      <c r="M16" s="263">
        <v>0</v>
      </c>
      <c r="N16" s="263">
        <v>0</v>
      </c>
      <c r="O16" s="263">
        <v>13.68</v>
      </c>
      <c r="P16" s="263">
        <v>13.68</v>
      </c>
    </row>
    <row r="17" spans="1:17" x14ac:dyDescent="0.35">
      <c r="A17" s="714"/>
      <c r="B17" s="239" t="s">
        <v>530</v>
      </c>
      <c r="C17" s="714"/>
      <c r="D17" s="263">
        <v>11.12</v>
      </c>
      <c r="E17" s="263">
        <v>47.8</v>
      </c>
      <c r="F17" s="263">
        <v>0</v>
      </c>
      <c r="G17" s="263">
        <v>0</v>
      </c>
      <c r="H17" s="263">
        <v>0</v>
      </c>
      <c r="I17" s="263">
        <v>0</v>
      </c>
      <c r="J17" s="263">
        <v>0</v>
      </c>
      <c r="K17" s="263">
        <v>0</v>
      </c>
      <c r="L17" s="263">
        <v>0</v>
      </c>
      <c r="M17" s="263">
        <v>0</v>
      </c>
      <c r="N17" s="263">
        <v>0</v>
      </c>
      <c r="O17" s="263">
        <v>47.8</v>
      </c>
      <c r="P17" s="263">
        <v>47.8</v>
      </c>
    </row>
    <row r="18" spans="1:17" x14ac:dyDescent="0.35">
      <c r="A18" s="714"/>
      <c r="B18" s="239" t="s">
        <v>531</v>
      </c>
      <c r="C18" s="714"/>
      <c r="D18" s="263">
        <v>6.2149999999999999</v>
      </c>
      <c r="E18" s="263">
        <v>5.0049999999999999</v>
      </c>
      <c r="F18" s="263">
        <v>0</v>
      </c>
      <c r="G18" s="263">
        <v>0</v>
      </c>
      <c r="H18" s="263">
        <v>0</v>
      </c>
      <c r="I18" s="263">
        <v>0</v>
      </c>
      <c r="J18" s="263">
        <v>0</v>
      </c>
      <c r="K18" s="263">
        <v>0</v>
      </c>
      <c r="L18" s="263">
        <v>0</v>
      </c>
      <c r="M18" s="263">
        <v>0</v>
      </c>
      <c r="N18" s="263">
        <v>0</v>
      </c>
      <c r="O18" s="263">
        <v>5.0049999999999999</v>
      </c>
      <c r="P18" s="263">
        <v>5.0049999999999999</v>
      </c>
    </row>
    <row r="19" spans="1:17" x14ac:dyDescent="0.35">
      <c r="A19" s="714"/>
      <c r="B19" s="239"/>
      <c r="C19" s="714"/>
      <c r="D19" s="263" t="s">
        <v>532</v>
      </c>
      <c r="E19" s="263" t="s">
        <v>532</v>
      </c>
      <c r="F19" s="263" t="s">
        <v>532</v>
      </c>
      <c r="G19" s="263" t="s">
        <v>532</v>
      </c>
      <c r="H19" s="263" t="s">
        <v>532</v>
      </c>
      <c r="I19" s="263" t="s">
        <v>532</v>
      </c>
      <c r="J19" s="263" t="s">
        <v>532</v>
      </c>
      <c r="K19" s="263" t="s">
        <v>532</v>
      </c>
      <c r="L19" s="263" t="s">
        <v>532</v>
      </c>
      <c r="M19" s="263" t="s">
        <v>532</v>
      </c>
      <c r="N19" s="263" t="s">
        <v>532</v>
      </c>
      <c r="O19" s="263" t="s">
        <v>532</v>
      </c>
      <c r="P19" s="263" t="s">
        <v>532</v>
      </c>
    </row>
    <row r="20" spans="1:17" x14ac:dyDescent="0.35">
      <c r="A20" s="714"/>
      <c r="B20" s="239"/>
      <c r="C20" s="714" t="s">
        <v>533</v>
      </c>
      <c r="D20" s="263">
        <v>370.10500000000002</v>
      </c>
      <c r="E20" s="263">
        <v>71.484999999999999</v>
      </c>
      <c r="F20" s="263">
        <v>0</v>
      </c>
      <c r="G20" s="263">
        <v>0</v>
      </c>
      <c r="H20" s="263">
        <v>0</v>
      </c>
      <c r="I20" s="263">
        <v>0</v>
      </c>
      <c r="J20" s="263">
        <v>0</v>
      </c>
      <c r="K20" s="263">
        <v>0</v>
      </c>
      <c r="L20" s="263">
        <v>0</v>
      </c>
      <c r="M20" s="263">
        <v>0</v>
      </c>
      <c r="N20" s="263">
        <v>0</v>
      </c>
      <c r="O20" s="263">
        <v>71.484999999999999</v>
      </c>
      <c r="P20" s="263">
        <v>71.484999999999999</v>
      </c>
    </row>
    <row r="21" spans="1:17" x14ac:dyDescent="0.35">
      <c r="A21" s="714"/>
      <c r="B21" s="239"/>
      <c r="C21" s="714"/>
      <c r="D21" s="263"/>
      <c r="E21" s="263"/>
      <c r="F21" s="263"/>
      <c r="G21" s="263"/>
      <c r="H21" s="263"/>
      <c r="I21" s="263"/>
      <c r="J21" s="263"/>
      <c r="K21" s="263"/>
      <c r="L21" s="263"/>
      <c r="M21" s="263"/>
      <c r="N21" s="263"/>
      <c r="O21" s="263"/>
      <c r="P21" s="263"/>
    </row>
    <row r="22" spans="1:17" ht="17.149999999999999" customHeight="1" x14ac:dyDescent="0.35">
      <c r="A22" s="714" t="s">
        <v>534</v>
      </c>
      <c r="B22" s="239"/>
      <c r="C22" s="714"/>
      <c r="D22" s="263">
        <v>271.98399999999998</v>
      </c>
      <c r="E22" s="263">
        <v>9.327</v>
      </c>
      <c r="F22" s="263">
        <v>0</v>
      </c>
      <c r="G22" s="263">
        <v>0</v>
      </c>
      <c r="H22" s="263">
        <v>0</v>
      </c>
      <c r="I22" s="263">
        <v>0</v>
      </c>
      <c r="J22" s="263">
        <v>0</v>
      </c>
      <c r="K22" s="263">
        <v>0</v>
      </c>
      <c r="L22" s="263">
        <v>0</v>
      </c>
      <c r="M22" s="263">
        <v>0</v>
      </c>
      <c r="N22" s="263">
        <v>0</v>
      </c>
      <c r="O22" s="263">
        <v>9.327</v>
      </c>
      <c r="P22" s="263">
        <v>9.327</v>
      </c>
      <c r="Q22" t="s">
        <v>535</v>
      </c>
    </row>
    <row r="23" spans="1:17" x14ac:dyDescent="0.35">
      <c r="A23" s="714" t="s">
        <v>149</v>
      </c>
      <c r="B23" s="239"/>
      <c r="C23" s="239"/>
      <c r="D23" s="263">
        <v>149.97300000000001</v>
      </c>
      <c r="E23" s="263">
        <v>2.5999999999999999E-2</v>
      </c>
      <c r="F23" s="263">
        <v>0</v>
      </c>
      <c r="G23" s="263">
        <v>0</v>
      </c>
      <c r="H23" s="263">
        <v>0</v>
      </c>
      <c r="I23" s="263">
        <v>0</v>
      </c>
      <c r="J23" s="263">
        <v>0</v>
      </c>
      <c r="K23" s="263">
        <v>0</v>
      </c>
      <c r="L23" s="263">
        <v>0</v>
      </c>
      <c r="M23" s="263">
        <v>0</v>
      </c>
      <c r="N23" s="263">
        <v>0</v>
      </c>
      <c r="O23" s="263">
        <v>2.5999999999999999E-2</v>
      </c>
      <c r="P23" s="263">
        <v>2.5999999999999999E-2</v>
      </c>
      <c r="Q23" t="s">
        <v>51</v>
      </c>
    </row>
    <row r="24" spans="1:17" x14ac:dyDescent="0.35">
      <c r="A24" s="714" t="s">
        <v>536</v>
      </c>
      <c r="B24" s="239"/>
      <c r="C24" s="239"/>
      <c r="D24" s="263">
        <v>135.41999999999999</v>
      </c>
      <c r="E24" s="263">
        <v>72.537999999999997</v>
      </c>
      <c r="F24" s="263">
        <v>10.331</v>
      </c>
      <c r="G24" s="263">
        <v>4.2670000000000003</v>
      </c>
      <c r="H24" s="263">
        <v>1.347</v>
      </c>
      <c r="I24" s="263">
        <v>0.67400000000000004</v>
      </c>
      <c r="J24" s="263">
        <v>0</v>
      </c>
      <c r="K24" s="263">
        <v>0</v>
      </c>
      <c r="L24" s="263">
        <v>0</v>
      </c>
      <c r="M24" s="263">
        <v>0</v>
      </c>
      <c r="N24" s="263">
        <v>0</v>
      </c>
      <c r="O24" s="263">
        <v>89.156999999999996</v>
      </c>
      <c r="P24" s="263">
        <v>89.156999999999996</v>
      </c>
      <c r="Q24" t="s">
        <v>537</v>
      </c>
    </row>
    <row r="25" spans="1:17" x14ac:dyDescent="0.35">
      <c r="A25" s="714" t="s">
        <v>538</v>
      </c>
      <c r="B25" s="239"/>
      <c r="C25" s="239"/>
      <c r="D25" s="263"/>
      <c r="E25" s="263"/>
      <c r="F25" s="263"/>
      <c r="G25" s="263"/>
      <c r="H25" s="263"/>
      <c r="I25" s="263"/>
      <c r="J25" s="263"/>
      <c r="K25" s="263"/>
      <c r="L25" s="263"/>
      <c r="M25" s="263"/>
      <c r="N25" s="263"/>
      <c r="O25" s="263"/>
      <c r="P25" s="263"/>
    </row>
    <row r="26" spans="1:17" x14ac:dyDescent="0.35">
      <c r="A26" s="714" t="s">
        <v>539</v>
      </c>
      <c r="B26" s="239"/>
      <c r="C26" s="239"/>
      <c r="D26" s="263">
        <v>40.831000000000003</v>
      </c>
      <c r="E26" s="263">
        <v>79.391999999999996</v>
      </c>
      <c r="F26" s="263">
        <v>47.442999999999998</v>
      </c>
      <c r="G26" s="263">
        <v>4.7220000000000004</v>
      </c>
      <c r="H26" s="263">
        <v>0</v>
      </c>
      <c r="I26" s="263">
        <v>0</v>
      </c>
      <c r="J26" s="263">
        <v>0</v>
      </c>
      <c r="K26" s="263">
        <v>0</v>
      </c>
      <c r="L26" s="263">
        <v>0</v>
      </c>
      <c r="M26" s="263">
        <v>0</v>
      </c>
      <c r="N26" s="263">
        <v>0</v>
      </c>
      <c r="O26" s="263">
        <v>131.55699999999999</v>
      </c>
      <c r="P26" s="263">
        <v>131.55699999999999</v>
      </c>
      <c r="Q26" t="s">
        <v>133</v>
      </c>
    </row>
    <row r="27" spans="1:17" x14ac:dyDescent="0.35">
      <c r="A27" s="714" t="s">
        <v>540</v>
      </c>
      <c r="B27" s="239"/>
      <c r="C27" s="239"/>
      <c r="D27" s="263">
        <v>58.054000000000002</v>
      </c>
      <c r="E27" s="263">
        <v>14.755000000000001</v>
      </c>
      <c r="F27" s="263">
        <v>3.4750000000000001</v>
      </c>
      <c r="G27" s="263">
        <v>3.9249999999999998</v>
      </c>
      <c r="H27" s="263">
        <v>4.375</v>
      </c>
      <c r="I27" s="263">
        <v>4.375</v>
      </c>
      <c r="J27" s="263">
        <v>4.5</v>
      </c>
      <c r="K27" s="263">
        <v>4.5</v>
      </c>
      <c r="L27" s="263">
        <v>4.5</v>
      </c>
      <c r="M27" s="263">
        <v>4.5</v>
      </c>
      <c r="N27" s="263">
        <v>4.5</v>
      </c>
      <c r="O27" s="263">
        <v>30.905000000000001</v>
      </c>
      <c r="P27" s="263">
        <v>53.405000000000001</v>
      </c>
    </row>
    <row r="28" spans="1:17" x14ac:dyDescent="0.35">
      <c r="A28" s="714" t="s">
        <v>541</v>
      </c>
      <c r="B28" s="239"/>
      <c r="C28" s="239"/>
      <c r="D28" s="263">
        <v>47.372999999999998</v>
      </c>
      <c r="E28" s="263">
        <v>-46.081000000000003</v>
      </c>
      <c r="F28" s="263">
        <v>0</v>
      </c>
      <c r="G28" s="263">
        <v>0</v>
      </c>
      <c r="H28" s="263">
        <v>0</v>
      </c>
      <c r="I28" s="263">
        <v>0</v>
      </c>
      <c r="J28" s="263">
        <v>0</v>
      </c>
      <c r="K28" s="263">
        <v>0</v>
      </c>
      <c r="L28" s="263">
        <v>0</v>
      </c>
      <c r="M28" s="263">
        <v>0</v>
      </c>
      <c r="N28" s="263">
        <v>0</v>
      </c>
      <c r="O28" s="263">
        <v>-46.081000000000003</v>
      </c>
      <c r="P28" s="263">
        <v>-46.081000000000003</v>
      </c>
      <c r="Q28" t="s">
        <v>55</v>
      </c>
    </row>
    <row r="29" spans="1:17" x14ac:dyDescent="0.35">
      <c r="A29" s="714" t="s">
        <v>542</v>
      </c>
      <c r="B29" s="239"/>
      <c r="C29" s="239"/>
      <c r="D29" s="263">
        <v>24.475000000000001</v>
      </c>
      <c r="E29" s="263">
        <v>32.784999999999997</v>
      </c>
      <c r="F29" s="263">
        <v>8.4600000000000009</v>
      </c>
      <c r="G29" s="263">
        <v>0</v>
      </c>
      <c r="H29" s="263">
        <v>0</v>
      </c>
      <c r="I29" s="263">
        <v>0</v>
      </c>
      <c r="J29" s="263">
        <v>0</v>
      </c>
      <c r="K29" s="263">
        <v>0</v>
      </c>
      <c r="L29" s="263">
        <v>0</v>
      </c>
      <c r="M29" s="263">
        <v>0</v>
      </c>
      <c r="N29" s="263">
        <v>0</v>
      </c>
      <c r="O29" s="263">
        <v>41.244999999999997</v>
      </c>
      <c r="P29" s="263">
        <v>41.244999999999997</v>
      </c>
      <c r="Q29" t="s">
        <v>543</v>
      </c>
    </row>
    <row r="30" spans="1:17" x14ac:dyDescent="0.35">
      <c r="A30" s="714" t="s">
        <v>544</v>
      </c>
      <c r="B30" s="239"/>
      <c r="C30" s="239"/>
      <c r="D30" s="263">
        <v>27.5</v>
      </c>
      <c r="E30" s="263">
        <v>0.86</v>
      </c>
      <c r="F30" s="263">
        <v>-0.22</v>
      </c>
      <c r="G30" s="263">
        <v>-0.49</v>
      </c>
      <c r="H30" s="263">
        <v>-0.56000000000000005</v>
      </c>
      <c r="I30" s="263">
        <v>-0.98</v>
      </c>
      <c r="J30" s="263">
        <v>-0.76</v>
      </c>
      <c r="K30" s="263">
        <v>-0.74</v>
      </c>
      <c r="L30" s="263">
        <v>-0.72</v>
      </c>
      <c r="M30" s="263">
        <v>-0.7</v>
      </c>
      <c r="N30" s="263">
        <v>-0.69</v>
      </c>
      <c r="O30" s="263">
        <v>-1.39</v>
      </c>
      <c r="P30" s="263">
        <v>-5</v>
      </c>
      <c r="Q30" t="s">
        <v>52</v>
      </c>
    </row>
    <row r="31" spans="1:17" x14ac:dyDescent="0.35">
      <c r="A31" s="714" t="s">
        <v>150</v>
      </c>
      <c r="B31" s="239"/>
      <c r="C31" s="239"/>
      <c r="D31" s="263">
        <v>11.407999999999999</v>
      </c>
      <c r="E31" s="263">
        <v>10.763</v>
      </c>
      <c r="F31" s="263">
        <v>5.7809999999999997</v>
      </c>
      <c r="G31" s="263">
        <v>0.92300000000000004</v>
      </c>
      <c r="H31" s="263">
        <v>0.52300000000000002</v>
      </c>
      <c r="I31" s="263">
        <v>0.43099999999999999</v>
      </c>
      <c r="J31" s="263">
        <v>0.246</v>
      </c>
      <c r="K31" s="263">
        <v>0</v>
      </c>
      <c r="L31" s="263">
        <v>0</v>
      </c>
      <c r="M31" s="263">
        <v>0</v>
      </c>
      <c r="N31" s="263">
        <v>0</v>
      </c>
      <c r="O31" s="263">
        <v>18.420999999999999</v>
      </c>
      <c r="P31" s="263">
        <v>18.667000000000002</v>
      </c>
      <c r="Q31" t="s">
        <v>545</v>
      </c>
    </row>
    <row r="32" spans="1:17" x14ac:dyDescent="0.35">
      <c r="A32" s="714" t="s">
        <v>546</v>
      </c>
      <c r="B32" s="239"/>
      <c r="C32" s="239"/>
      <c r="D32" s="263">
        <v>99.444000000000003</v>
      </c>
      <c r="E32" s="263">
        <v>61.634</v>
      </c>
      <c r="F32" s="263">
        <v>23.815000000000001</v>
      </c>
      <c r="G32" s="263">
        <v>7.35</v>
      </c>
      <c r="H32" s="263">
        <v>4.4029999999999996</v>
      </c>
      <c r="I32" s="263">
        <v>1.663</v>
      </c>
      <c r="J32" s="263">
        <v>0.74399999999999999</v>
      </c>
      <c r="K32" s="263">
        <v>0.65500000000000003</v>
      </c>
      <c r="L32" s="263">
        <v>0.68799999999999994</v>
      </c>
      <c r="M32" s="263">
        <v>10.603</v>
      </c>
      <c r="N32" s="263">
        <v>-35.328000000000003</v>
      </c>
      <c r="O32" s="263">
        <v>98.864999999999995</v>
      </c>
      <c r="P32" s="263">
        <v>76.227000000000004</v>
      </c>
      <c r="Q32" t="s">
        <v>547</v>
      </c>
    </row>
    <row r="33" spans="1:16" x14ac:dyDescent="0.35">
      <c r="A33" s="714"/>
      <c r="B33" s="239"/>
      <c r="C33" s="239"/>
      <c r="D33" s="263"/>
      <c r="E33" s="263"/>
      <c r="F33" s="263"/>
      <c r="G33" s="263"/>
      <c r="H33" s="263"/>
      <c r="I33" s="263"/>
      <c r="J33" s="263"/>
      <c r="K33" s="263"/>
      <c r="L33" s="263"/>
      <c r="M33" s="263"/>
      <c r="N33" s="263"/>
      <c r="O33" s="263"/>
      <c r="P33" s="263"/>
    </row>
    <row r="34" spans="1:16" x14ac:dyDescent="0.35">
      <c r="A34" s="1035"/>
      <c r="B34" s="1035"/>
      <c r="C34" s="1035" t="s">
        <v>311</v>
      </c>
      <c r="D34" s="1038">
        <v>1777.13</v>
      </c>
      <c r="E34" s="1038">
        <v>307.48399999999998</v>
      </c>
      <c r="F34" s="1038">
        <v>99.084999999999994</v>
      </c>
      <c r="G34" s="1038">
        <v>20.696999999999999</v>
      </c>
      <c r="H34" s="1038">
        <v>10.087999999999999</v>
      </c>
      <c r="I34" s="1038">
        <v>6.1630000000000003</v>
      </c>
      <c r="J34" s="1038">
        <v>4.7300000000000004</v>
      </c>
      <c r="K34" s="1038">
        <v>4.415</v>
      </c>
      <c r="L34" s="1038">
        <v>4.468</v>
      </c>
      <c r="M34" s="1038">
        <v>14.403</v>
      </c>
      <c r="N34" s="1038">
        <v>-31.518000000000001</v>
      </c>
      <c r="O34" s="1038">
        <v>443.517</v>
      </c>
      <c r="P34" s="1038">
        <v>440.01499999999999</v>
      </c>
    </row>
    <row r="35" spans="1:16" x14ac:dyDescent="0.35">
      <c r="A35" s="239"/>
      <c r="B35" s="239"/>
      <c r="C35" s="239"/>
      <c r="D35" s="1034"/>
      <c r="E35" s="485"/>
      <c r="F35" s="714"/>
      <c r="G35" s="714"/>
      <c r="H35" s="714"/>
      <c r="I35" s="714"/>
      <c r="J35" s="714"/>
      <c r="K35" s="714"/>
      <c r="L35" s="714"/>
      <c r="M35" s="714"/>
      <c r="N35" s="714"/>
      <c r="O35" s="714"/>
      <c r="P35" s="714"/>
    </row>
    <row r="36" spans="1:16" x14ac:dyDescent="0.35">
      <c r="A36" s="1039" t="s">
        <v>548</v>
      </c>
      <c r="B36" s="1039"/>
      <c r="C36" s="1039"/>
      <c r="D36" s="1040"/>
      <c r="E36" s="1039"/>
      <c r="F36" s="1039"/>
      <c r="G36" s="1039"/>
      <c r="H36" s="1039"/>
      <c r="I36" s="1039"/>
      <c r="J36" s="1039"/>
      <c r="K36" s="1039"/>
      <c r="L36" s="1039"/>
      <c r="M36" s="1039"/>
      <c r="N36" s="1039"/>
      <c r="O36" s="1039"/>
      <c r="P36" s="1039"/>
    </row>
    <row r="37" spans="1:16" x14ac:dyDescent="0.35">
      <c r="A37" s="1039"/>
      <c r="B37" s="1039"/>
      <c r="C37" s="1039"/>
      <c r="D37" s="1040"/>
      <c r="E37" s="1039"/>
      <c r="F37" s="1039"/>
      <c r="G37" s="1039"/>
      <c r="H37" s="1039"/>
      <c r="I37" s="1039"/>
      <c r="J37" s="1039"/>
      <c r="K37" s="1039"/>
      <c r="L37" s="1039"/>
      <c r="M37" s="1039"/>
      <c r="N37" s="1039"/>
      <c r="O37" s="1039"/>
      <c r="P37" s="1039"/>
    </row>
    <row r="38" spans="1:16" x14ac:dyDescent="0.35">
      <c r="A38" s="1422" t="s">
        <v>549</v>
      </c>
      <c r="B38" s="1422"/>
      <c r="C38" s="1422"/>
      <c r="D38" s="1422"/>
      <c r="E38" s="1422"/>
      <c r="F38" s="1422"/>
      <c r="G38" s="1422"/>
      <c r="H38" s="1422"/>
      <c r="I38" s="1422"/>
      <c r="J38" s="1422"/>
      <c r="K38" s="1422"/>
      <c r="L38" s="1422"/>
      <c r="M38" s="1422"/>
      <c r="N38" s="1422"/>
      <c r="O38" s="1422"/>
      <c r="P38" s="1422"/>
    </row>
    <row r="39" spans="1:16" x14ac:dyDescent="0.35">
      <c r="A39" s="1422"/>
      <c r="B39" s="1422"/>
      <c r="C39" s="1422"/>
      <c r="D39" s="1422"/>
      <c r="E39" s="1422"/>
      <c r="F39" s="1422"/>
      <c r="G39" s="1422"/>
      <c r="H39" s="1422"/>
      <c r="I39" s="1422"/>
      <c r="J39" s="1422"/>
      <c r="K39" s="1422"/>
      <c r="L39" s="1422"/>
      <c r="M39" s="1422"/>
      <c r="N39" s="1422"/>
      <c r="O39" s="1422"/>
      <c r="P39" s="1422"/>
    </row>
    <row r="40" spans="1:16" x14ac:dyDescent="0.35">
      <c r="A40" s="1422"/>
      <c r="B40" s="1422"/>
      <c r="C40" s="1422"/>
      <c r="D40" s="1422"/>
      <c r="E40" s="1422"/>
      <c r="F40" s="1422"/>
      <c r="G40" s="1422"/>
      <c r="H40" s="1422"/>
      <c r="I40" s="1422"/>
      <c r="J40" s="1422"/>
      <c r="K40" s="1422"/>
      <c r="L40" s="1422"/>
      <c r="M40" s="1422"/>
      <c r="N40" s="1422"/>
      <c r="O40" s="1422"/>
      <c r="P40" s="1422"/>
    </row>
    <row r="41" spans="1:16" x14ac:dyDescent="0.35">
      <c r="A41" s="1422"/>
      <c r="B41" s="1422"/>
      <c r="C41" s="1422"/>
      <c r="D41" s="1422"/>
      <c r="E41" s="1422"/>
      <c r="F41" s="1422"/>
      <c r="G41" s="1422"/>
      <c r="H41" s="1422"/>
      <c r="I41" s="1422"/>
      <c r="J41" s="1422"/>
      <c r="K41" s="1422"/>
      <c r="L41" s="1422"/>
      <c r="M41" s="1422"/>
      <c r="N41" s="1422"/>
      <c r="O41" s="1422"/>
      <c r="P41" s="1422"/>
    </row>
    <row r="42" spans="1:16" x14ac:dyDescent="0.35">
      <c r="A42" s="1422"/>
      <c r="B42" s="1422"/>
      <c r="C42" s="1422"/>
      <c r="D42" s="1422"/>
      <c r="E42" s="1422"/>
      <c r="F42" s="1422"/>
      <c r="G42" s="1422"/>
      <c r="H42" s="1422"/>
      <c r="I42" s="1422"/>
      <c r="J42" s="1422"/>
      <c r="K42" s="1422"/>
      <c r="L42" s="1422"/>
      <c r="M42" s="1422"/>
      <c r="N42" s="1422"/>
      <c r="O42" s="1422"/>
      <c r="P42" s="1422"/>
    </row>
    <row r="43" spans="1:16" x14ac:dyDescent="0.35">
      <c r="A43" s="245"/>
      <c r="B43" s="245"/>
      <c r="C43" s="245"/>
      <c r="D43" s="245"/>
      <c r="E43" s="245"/>
      <c r="F43" s="245"/>
      <c r="G43" s="245"/>
      <c r="H43" s="245"/>
      <c r="I43" s="245"/>
      <c r="J43" s="245"/>
      <c r="K43" s="245"/>
      <c r="L43" s="245"/>
      <c r="M43" s="245"/>
      <c r="N43" s="245"/>
      <c r="O43" s="245"/>
      <c r="P43" s="245"/>
    </row>
    <row r="44" spans="1:16" x14ac:dyDescent="0.35">
      <c r="A44" s="1313" t="s">
        <v>550</v>
      </c>
      <c r="B44" s="1313"/>
      <c r="C44" s="1313"/>
      <c r="D44" s="1313"/>
      <c r="E44" s="1313"/>
      <c r="F44" s="1313"/>
      <c r="G44" s="1313"/>
      <c r="H44" s="1313"/>
      <c r="I44" s="1313"/>
      <c r="J44" s="1313"/>
      <c r="K44" s="1313"/>
      <c r="L44" s="1313"/>
      <c r="M44" s="1313"/>
      <c r="N44" s="1313"/>
      <c r="O44" s="1313"/>
      <c r="P44" s="1313"/>
    </row>
    <row r="45" spans="1:16" x14ac:dyDescent="0.35">
      <c r="A45" s="1313"/>
      <c r="B45" s="1313"/>
      <c r="C45" s="1313"/>
      <c r="D45" s="1313"/>
      <c r="E45" s="1313"/>
      <c r="F45" s="1313"/>
      <c r="G45" s="1313"/>
      <c r="H45" s="1313"/>
      <c r="I45" s="1313"/>
      <c r="J45" s="1313"/>
      <c r="K45" s="1313"/>
      <c r="L45" s="1313"/>
      <c r="M45" s="1313"/>
      <c r="N45" s="1313"/>
      <c r="O45" s="1313"/>
      <c r="P45" s="1313"/>
    </row>
    <row r="46" spans="1:16" x14ac:dyDescent="0.35">
      <c r="A46" s="1313"/>
      <c r="B46" s="1313"/>
      <c r="C46" s="1313"/>
      <c r="D46" s="1313"/>
      <c r="E46" s="1313"/>
      <c r="F46" s="1313"/>
      <c r="G46" s="1313"/>
      <c r="H46" s="1313"/>
      <c r="I46" s="1313"/>
      <c r="J46" s="1313"/>
      <c r="K46" s="1313"/>
      <c r="L46" s="1313"/>
      <c r="M46" s="1313"/>
      <c r="N46" s="1313"/>
      <c r="O46" s="1313"/>
      <c r="P46" s="1313"/>
    </row>
    <row r="47" spans="1:16" x14ac:dyDescent="0.35">
      <c r="A47" s="1039"/>
      <c r="B47" s="1039"/>
      <c r="C47" s="1039"/>
      <c r="D47" s="1040"/>
      <c r="E47" s="1039"/>
      <c r="F47" s="1039"/>
      <c r="G47" s="1039"/>
      <c r="H47" s="1039"/>
      <c r="I47" s="1039"/>
      <c r="J47" s="1039"/>
      <c r="K47" s="1039"/>
      <c r="L47" s="1039"/>
      <c r="M47" s="1039"/>
      <c r="N47" s="1039"/>
      <c r="O47" s="1039"/>
      <c r="P47" s="1039"/>
    </row>
    <row r="48" spans="1:16" x14ac:dyDescent="0.35">
      <c r="A48" s="1420" t="s">
        <v>551</v>
      </c>
      <c r="B48" s="1421"/>
      <c r="C48" s="1421"/>
      <c r="D48" s="1421"/>
      <c r="E48" s="1421"/>
      <c r="F48" s="1421"/>
      <c r="G48" s="1421"/>
      <c r="H48" s="1421"/>
      <c r="I48" s="1421"/>
      <c r="J48" s="1421"/>
      <c r="K48" s="1421"/>
      <c r="L48" s="1421"/>
      <c r="M48" s="1421"/>
      <c r="N48" s="1421"/>
      <c r="O48" s="1421"/>
      <c r="P48" s="1421"/>
    </row>
    <row r="49" spans="1:16" x14ac:dyDescent="0.35">
      <c r="A49" s="1421"/>
      <c r="B49" s="1421"/>
      <c r="C49" s="1421"/>
      <c r="D49" s="1421"/>
      <c r="E49" s="1421"/>
      <c r="F49" s="1421"/>
      <c r="G49" s="1421"/>
      <c r="H49" s="1421"/>
      <c r="I49" s="1421"/>
      <c r="J49" s="1421"/>
      <c r="K49" s="1421"/>
      <c r="L49" s="1421"/>
      <c r="M49" s="1421"/>
      <c r="N49" s="1421"/>
      <c r="O49" s="1421"/>
      <c r="P49" s="1421"/>
    </row>
    <row r="50" spans="1:16" x14ac:dyDescent="0.35">
      <c r="A50" s="1039"/>
      <c r="B50" s="1039"/>
      <c r="C50" s="1039"/>
      <c r="D50" s="1040"/>
      <c r="E50" s="1039"/>
      <c r="F50" s="1039"/>
      <c r="G50" s="1039"/>
      <c r="H50" s="1039"/>
      <c r="I50" s="1039"/>
      <c r="J50" s="1039"/>
      <c r="K50" s="1039"/>
      <c r="L50" s="1039"/>
      <c r="M50" s="1039"/>
      <c r="N50" s="1039"/>
      <c r="O50" s="1039"/>
      <c r="P50" s="1039"/>
    </row>
    <row r="51" spans="1:16" x14ac:dyDescent="0.35">
      <c r="A51" s="1416" t="s">
        <v>552</v>
      </c>
      <c r="B51" s="1416"/>
      <c r="C51" s="1416"/>
      <c r="D51" s="1416"/>
      <c r="E51" s="1416"/>
      <c r="F51" s="1416"/>
      <c r="G51" s="1416"/>
      <c r="H51" s="1416"/>
      <c r="I51" s="1416"/>
      <c r="J51" s="1416"/>
      <c r="K51" s="1416"/>
      <c r="L51" s="1416"/>
      <c r="M51" s="1416"/>
      <c r="N51" s="1416"/>
      <c r="O51" s="1416"/>
      <c r="P51" s="1416"/>
    </row>
    <row r="52" spans="1:16" x14ac:dyDescent="0.35">
      <c r="A52" s="1416"/>
      <c r="B52" s="1416"/>
      <c r="C52" s="1416"/>
      <c r="D52" s="1416"/>
      <c r="E52" s="1416"/>
      <c r="F52" s="1416"/>
      <c r="G52" s="1416"/>
      <c r="H52" s="1416"/>
      <c r="I52" s="1416"/>
      <c r="J52" s="1416"/>
      <c r="K52" s="1416"/>
      <c r="L52" s="1416"/>
      <c r="M52" s="1416"/>
      <c r="N52" s="1416"/>
      <c r="O52" s="1416"/>
      <c r="P52" s="1416"/>
    </row>
    <row r="53" spans="1:16" x14ac:dyDescent="0.35">
      <c r="A53" s="1416"/>
      <c r="B53" s="1416"/>
      <c r="C53" s="1416"/>
      <c r="D53" s="1416"/>
      <c r="E53" s="1416"/>
      <c r="F53" s="1416"/>
      <c r="G53" s="1416"/>
      <c r="H53" s="1416"/>
      <c r="I53" s="1416"/>
      <c r="J53" s="1416"/>
      <c r="K53" s="1416"/>
      <c r="L53" s="1416"/>
      <c r="M53" s="1416"/>
      <c r="N53" s="1416"/>
      <c r="O53" s="1416"/>
      <c r="P53" s="1416"/>
    </row>
    <row r="54" spans="1:16" x14ac:dyDescent="0.35">
      <c r="A54" s="1041"/>
      <c r="B54" s="1041"/>
      <c r="C54" s="1041"/>
      <c r="D54" s="1031"/>
      <c r="E54" s="1041"/>
      <c r="F54" s="1041"/>
      <c r="G54" s="1041"/>
      <c r="H54" s="1041"/>
      <c r="I54" s="1041"/>
      <c r="J54" s="1041"/>
      <c r="K54" s="1041"/>
      <c r="L54" s="1041"/>
      <c r="M54" s="1041"/>
      <c r="N54" s="1041"/>
      <c r="O54" s="1041"/>
      <c r="P54" s="1041"/>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H100" workbookViewId="0">
      <selection activeCell="C197" sqref="C197"/>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28" t="s">
        <v>1385</v>
      </c>
      <c r="D1" s="1120">
        <v>2022</v>
      </c>
      <c r="E1" s="1120">
        <v>2023</v>
      </c>
      <c r="F1" s="1120">
        <v>2024</v>
      </c>
      <c r="G1" s="1120">
        <v>2025</v>
      </c>
      <c r="H1" s="1120">
        <v>2026</v>
      </c>
      <c r="I1" s="1120">
        <v>2027</v>
      </c>
      <c r="J1" s="1120">
        <v>2028</v>
      </c>
      <c r="K1" s="1120">
        <v>2029</v>
      </c>
      <c r="L1" s="1120">
        <v>2030</v>
      </c>
      <c r="M1" s="1121">
        <v>2031</v>
      </c>
      <c r="N1" s="1122" t="s">
        <v>1187</v>
      </c>
      <c r="O1" s="1122" t="s">
        <v>1188</v>
      </c>
      <c r="P1" s="1107"/>
      <c r="Q1" s="1107"/>
      <c r="R1" s="1107"/>
      <c r="S1" s="1107"/>
    </row>
    <row r="2" spans="1:19" x14ac:dyDescent="0.35">
      <c r="C2" s="1423" t="s">
        <v>1386</v>
      </c>
      <c r="D2" s="1423"/>
      <c r="E2" s="1423"/>
      <c r="F2" s="1423"/>
      <c r="G2" s="1423"/>
      <c r="H2" s="1423"/>
      <c r="I2" s="1423"/>
      <c r="J2" s="1423"/>
      <c r="K2" s="1423"/>
      <c r="L2" s="1423"/>
      <c r="M2" s="1423"/>
      <c r="N2" s="1423"/>
      <c r="O2" s="1423"/>
      <c r="P2" s="1106"/>
      <c r="Q2" s="1106"/>
      <c r="R2" s="1106"/>
      <c r="S2" s="1106"/>
    </row>
    <row r="3" spans="1:19" x14ac:dyDescent="0.35">
      <c r="A3" s="57" t="s">
        <v>1196</v>
      </c>
      <c r="B3" s="57">
        <v>13601</v>
      </c>
      <c r="C3" s="57" t="s">
        <v>1387</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1209</v>
      </c>
      <c r="B4" s="57">
        <v>10301</v>
      </c>
      <c r="C4" s="57" t="s">
        <v>1387</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1211</v>
      </c>
      <c r="B5" s="57">
        <v>13802</v>
      </c>
      <c r="C5" s="57" t="s">
        <v>1387</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1213</v>
      </c>
      <c r="B6" s="57">
        <v>22005</v>
      </c>
      <c r="C6" s="57" t="s">
        <v>1387</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1199</v>
      </c>
      <c r="B7" s="57">
        <v>23001</v>
      </c>
      <c r="C7" s="57" t="s">
        <v>1387</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1215</v>
      </c>
      <c r="B8" s="57">
        <v>23005</v>
      </c>
      <c r="C8" s="57" t="s">
        <v>1387</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1268</v>
      </c>
      <c r="B9" s="57">
        <v>23003</v>
      </c>
      <c r="C9" s="57" t="s">
        <v>1255</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1296</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1298</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1300</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1296</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1303</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1388</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1305</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1307</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1309</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1321</v>
      </c>
      <c r="B26" s="57">
        <v>12001</v>
      </c>
      <c r="C26" s="57" t="s">
        <v>1389</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1323</v>
      </c>
      <c r="B27" s="57">
        <v>22003</v>
      </c>
      <c r="C27" s="57" t="s">
        <v>1389</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1325</v>
      </c>
      <c r="B28" s="57">
        <v>22004</v>
      </c>
      <c r="C28" s="57" t="s">
        <v>1389</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1390</v>
      </c>
      <c r="B29" s="57">
        <v>22007</v>
      </c>
      <c r="C29" s="57" t="s">
        <v>1389</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1327</v>
      </c>
      <c r="B30" s="57">
        <v>23002</v>
      </c>
      <c r="C30" s="57" t="s">
        <v>1389</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1318</v>
      </c>
      <c r="B31" s="57">
        <v>30002</v>
      </c>
      <c r="C31" s="57" t="s">
        <v>1389</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1391</v>
      </c>
      <c r="B32" s="57">
        <v>13104</v>
      </c>
      <c r="C32" s="57" t="s">
        <v>1392</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1393</v>
      </c>
      <c r="B33" s="57">
        <v>13105</v>
      </c>
      <c r="C33" s="57" t="s">
        <v>1392</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1355</v>
      </c>
      <c r="B34" s="57">
        <v>13204</v>
      </c>
      <c r="C34" s="57" t="s">
        <v>1392</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1394</v>
      </c>
      <c r="B35" s="57">
        <v>13502</v>
      </c>
      <c r="C35" s="57" t="s">
        <v>1392</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1395</v>
      </c>
      <c r="B36" s="57">
        <v>13701</v>
      </c>
      <c r="C36" s="57" t="s">
        <v>1392</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1337</v>
      </c>
      <c r="B37" s="57">
        <v>21001</v>
      </c>
      <c r="C37" s="57" t="s">
        <v>1392</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1392</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1349</v>
      </c>
      <c r="B39" s="57">
        <v>22002</v>
      </c>
      <c r="C39" s="57" t="s">
        <v>1392</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1365</v>
      </c>
      <c r="B40" s="57">
        <v>30001</v>
      </c>
      <c r="C40" s="57" t="s">
        <v>1392</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24" t="s">
        <v>1396</v>
      </c>
      <c r="D42" s="1424"/>
      <c r="E42" s="1424"/>
      <c r="F42" s="1424"/>
      <c r="G42" s="1424"/>
      <c r="H42" s="1424"/>
      <c r="I42" s="1424"/>
      <c r="J42" s="1424"/>
      <c r="K42" s="1424"/>
      <c r="L42" s="1424"/>
      <c r="M42" s="1424"/>
      <c r="N42" s="1424"/>
      <c r="O42" s="1424"/>
      <c r="P42" s="1106"/>
      <c r="Q42" s="1106"/>
      <c r="R42" s="1106"/>
      <c r="S42" s="1106"/>
    </row>
    <row r="43" spans="1:19" x14ac:dyDescent="0.35">
      <c r="A43" s="57" t="s">
        <v>1397</v>
      </c>
      <c r="B43" s="57">
        <v>10101</v>
      </c>
      <c r="C43" s="57" t="s">
        <v>1398</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1399</v>
      </c>
      <c r="B44" s="57" t="s">
        <v>1400</v>
      </c>
      <c r="C44" s="57" t="s">
        <v>1398</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1401</v>
      </c>
      <c r="B45" s="57">
        <v>13101</v>
      </c>
      <c r="C45" s="57" t="s">
        <v>1398</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1402</v>
      </c>
      <c r="B46" s="57">
        <v>13102</v>
      </c>
      <c r="C46" s="57" t="s">
        <v>1398</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1403</v>
      </c>
      <c r="B47" s="57">
        <v>13104</v>
      </c>
      <c r="C47" s="57" t="s">
        <v>1398</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1404</v>
      </c>
      <c r="B48" s="57">
        <v>13105</v>
      </c>
      <c r="C48" s="57" t="s">
        <v>1398</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1405</v>
      </c>
      <c r="B49" s="57">
        <v>13303</v>
      </c>
      <c r="C49" s="57" t="s">
        <v>1398</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1406</v>
      </c>
      <c r="B50" s="57" t="s">
        <v>1407</v>
      </c>
      <c r="C50" s="57" t="s">
        <v>1398</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1408</v>
      </c>
      <c r="B51" s="57">
        <v>13601</v>
      </c>
      <c r="C51" s="57" t="s">
        <v>1398</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1409</v>
      </c>
      <c r="B52" s="57" t="s">
        <v>1410</v>
      </c>
      <c r="C52" s="57" t="s">
        <v>1398</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1411</v>
      </c>
      <c r="B53" s="57">
        <v>13901</v>
      </c>
      <c r="C53" s="57" t="s">
        <v>1398</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1412</v>
      </c>
      <c r="B54" s="57">
        <v>13902</v>
      </c>
      <c r="C54" s="57" t="s">
        <v>1398</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1413</v>
      </c>
      <c r="B55" s="57" t="s">
        <v>1414</v>
      </c>
      <c r="C55" s="57" t="s">
        <v>1398</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1415</v>
      </c>
      <c r="B56" s="57">
        <v>60113</v>
      </c>
      <c r="C56" s="57" t="s">
        <v>1398</v>
      </c>
      <c r="D56" s="57">
        <v>0</v>
      </c>
      <c r="E56" s="57">
        <v>0</v>
      </c>
      <c r="F56" s="57">
        <v>0</v>
      </c>
      <c r="G56" s="57">
        <v>0</v>
      </c>
      <c r="H56" s="57">
        <v>850</v>
      </c>
      <c r="I56" s="74">
        <v>1350</v>
      </c>
      <c r="J56" s="74">
        <v>1400</v>
      </c>
      <c r="K56" s="74">
        <v>1200</v>
      </c>
      <c r="L56" s="74">
        <v>1050</v>
      </c>
      <c r="M56" s="57">
        <v>500</v>
      </c>
      <c r="N56" s="57">
        <v>850</v>
      </c>
      <c r="O56" s="74">
        <v>6350</v>
      </c>
      <c r="P56" s="74"/>
      <c r="Q56" s="74"/>
      <c r="R56" s="74"/>
      <c r="S56" s="74"/>
    </row>
    <row r="57" spans="1:19" x14ac:dyDescent="0.35">
      <c r="A57" s="57" t="s">
        <v>1416</v>
      </c>
      <c r="B57" s="57">
        <v>10201</v>
      </c>
      <c r="C57" s="57" t="s">
        <v>1398</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1423</v>
      </c>
      <c r="B58" s="57">
        <v>13304</v>
      </c>
      <c r="C58" s="57" t="s">
        <v>1428</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1419</v>
      </c>
      <c r="B59" s="57" t="s">
        <v>1420</v>
      </c>
      <c r="C59" s="57" t="s">
        <v>1428</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23" t="s">
        <v>1417</v>
      </c>
      <c r="B60" s="1124">
        <v>10301</v>
      </c>
      <c r="C60" s="1124" t="s">
        <v>239</v>
      </c>
      <c r="D60" s="1124">
        <v>0</v>
      </c>
      <c r="E60" s="1125">
        <v>2012</v>
      </c>
      <c r="F60" s="1125">
        <v>5106</v>
      </c>
      <c r="G60" s="1125">
        <v>11125</v>
      </c>
      <c r="H60" s="1125">
        <v>16116</v>
      </c>
      <c r="I60" s="1125">
        <v>21716</v>
      </c>
      <c r="J60" s="1125">
        <v>26314</v>
      </c>
      <c r="K60" s="1125">
        <v>31218</v>
      </c>
      <c r="L60" s="1125">
        <v>34877</v>
      </c>
      <c r="M60" s="1125">
        <v>31904</v>
      </c>
      <c r="N60" s="1125">
        <v>34359</v>
      </c>
      <c r="O60" s="1126">
        <v>180388</v>
      </c>
      <c r="P60" s="74"/>
      <c r="Q60" s="74"/>
      <c r="R60" s="74"/>
      <c r="S60" s="74"/>
    </row>
    <row r="61" spans="1:19" x14ac:dyDescent="0.35">
      <c r="A61" s="57" t="s">
        <v>1418</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1421</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1422</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1424</v>
      </c>
      <c r="B64" s="57" t="s">
        <v>1425</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27">
        <v>2022</v>
      </c>
      <c r="E67" s="1127">
        <v>2023</v>
      </c>
      <c r="F67" s="1127">
        <v>2024</v>
      </c>
      <c r="G67" s="1127">
        <v>2025</v>
      </c>
      <c r="H67" s="1127">
        <v>2026</v>
      </c>
      <c r="I67" s="1127">
        <v>2027</v>
      </c>
      <c r="J67" s="1127">
        <v>2028</v>
      </c>
      <c r="K67" s="1127">
        <v>2029</v>
      </c>
      <c r="L67" s="1127">
        <v>2030</v>
      </c>
      <c r="M67" s="1128">
        <v>2031</v>
      </c>
      <c r="N67" s="1107" t="s">
        <v>1367</v>
      </c>
      <c r="O67" s="1129" t="s">
        <v>1368</v>
      </c>
      <c r="P67" s="1107"/>
      <c r="Q67" s="1107"/>
      <c r="R67" s="1107"/>
      <c r="S67" s="1107"/>
    </row>
    <row r="68" spans="3:19" x14ac:dyDescent="0.35">
      <c r="C68" s="1425" t="s">
        <v>1426</v>
      </c>
      <c r="D68" s="1426"/>
      <c r="E68" s="1426"/>
      <c r="F68" s="1426"/>
      <c r="G68" s="1426"/>
      <c r="H68" s="1426"/>
      <c r="I68" s="1426"/>
      <c r="J68" s="1426"/>
      <c r="K68" s="1426"/>
      <c r="L68" s="1426"/>
      <c r="M68" s="1426"/>
      <c r="N68" s="1426"/>
      <c r="O68" s="1427"/>
      <c r="P68" s="1106"/>
      <c r="Q68" s="1106"/>
      <c r="R68" s="1106"/>
      <c r="S68" s="1106"/>
    </row>
    <row r="69" spans="3:19" x14ac:dyDescent="0.35">
      <c r="C69" s="68" t="s">
        <v>1387</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8" t="s">
        <v>1255</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8">
        <f t="shared" si="1"/>
        <v>795</v>
      </c>
      <c r="O70" s="225">
        <f t="shared" si="1"/>
        <v>2000</v>
      </c>
      <c r="P70" s="57"/>
      <c r="Q70" s="57"/>
      <c r="R70" s="57"/>
      <c r="S70" s="57"/>
    </row>
    <row r="71" spans="3:19" x14ac:dyDescent="0.35">
      <c r="C71" s="68"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8">
        <f t="shared" si="2"/>
        <v>3541</v>
      </c>
      <c r="O71" s="225">
        <f t="shared" si="2"/>
        <v>18248</v>
      </c>
      <c r="P71" s="57"/>
      <c r="Q71" s="57"/>
      <c r="R71" s="57"/>
      <c r="S71" s="57"/>
    </row>
    <row r="72" spans="3:19" x14ac:dyDescent="0.35">
      <c r="C72" s="68"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8">
        <f t="shared" si="3"/>
        <v>-15494</v>
      </c>
      <c r="O72" s="225">
        <f t="shared" si="3"/>
        <v>-248219</v>
      </c>
      <c r="P72" s="57"/>
      <c r="Q72" s="57"/>
      <c r="R72" s="57"/>
      <c r="S72" s="57"/>
    </row>
    <row r="73" spans="3:19" x14ac:dyDescent="0.35">
      <c r="C73" s="68" t="s">
        <v>1389</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8">
        <f t="shared" si="4"/>
        <v>37354</v>
      </c>
      <c r="O73" s="225">
        <f t="shared" si="4"/>
        <v>46384</v>
      </c>
      <c r="P73" s="57"/>
      <c r="Q73" s="57"/>
      <c r="R73" s="57"/>
      <c r="S73" s="57"/>
    </row>
    <row r="74" spans="3:19" x14ac:dyDescent="0.35">
      <c r="C74" s="68" t="s">
        <v>1392</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22">
        <f t="shared" si="5"/>
        <v>16463</v>
      </c>
      <c r="O74" s="226">
        <f t="shared" si="5"/>
        <v>55153</v>
      </c>
      <c r="P74" s="57"/>
      <c r="Q74" s="57"/>
      <c r="R74" s="57"/>
      <c r="S74" s="57"/>
    </row>
    <row r="75" spans="3:19" x14ac:dyDescent="0.35">
      <c r="C75" s="1425" t="s">
        <v>1427</v>
      </c>
      <c r="D75" s="1426"/>
      <c r="E75" s="1426"/>
      <c r="F75" s="1426"/>
      <c r="G75" s="1426"/>
      <c r="H75" s="1426"/>
      <c r="I75" s="1426"/>
      <c r="J75" s="1426"/>
      <c r="K75" s="1426"/>
      <c r="L75" s="1426"/>
      <c r="M75" s="1426"/>
      <c r="N75" s="1426"/>
      <c r="O75" s="1427"/>
      <c r="P75" s="1106"/>
      <c r="Q75" s="1106"/>
      <c r="R75" s="1106"/>
      <c r="S75" s="1106"/>
    </row>
    <row r="76" spans="3:19" x14ac:dyDescent="0.35">
      <c r="C76" s="68" t="s">
        <v>384</v>
      </c>
      <c r="D76" s="57">
        <v>0</v>
      </c>
      <c r="E76" s="57">
        <v>596</v>
      </c>
      <c r="F76" s="57">
        <v>1406</v>
      </c>
      <c r="G76" s="57">
        <v>1885</v>
      </c>
      <c r="H76" s="57">
        <v>2113</v>
      </c>
      <c r="I76" s="57">
        <v>2058</v>
      </c>
      <c r="J76" s="57">
        <v>1745</v>
      </c>
      <c r="K76" s="57">
        <v>1369</v>
      </c>
      <c r="L76" s="57">
        <v>970</v>
      </c>
      <c r="M76" s="57">
        <v>369</v>
      </c>
      <c r="N76" s="743">
        <v>6000</v>
      </c>
      <c r="O76" s="448">
        <v>12511</v>
      </c>
      <c r="P76" s="57"/>
      <c r="Q76" s="57"/>
      <c r="R76" s="57"/>
      <c r="S76" s="57"/>
    </row>
    <row r="77" spans="3:19" x14ac:dyDescent="0.35">
      <c r="C77" s="68" t="s">
        <v>134</v>
      </c>
      <c r="D77" s="57">
        <v>0</v>
      </c>
      <c r="E77" s="57">
        <v>754</v>
      </c>
      <c r="F77" s="57">
        <v>2328</v>
      </c>
      <c r="G77" s="57">
        <v>3782</v>
      </c>
      <c r="H77" s="57">
        <v>5158</v>
      </c>
      <c r="I77" s="57">
        <v>4539</v>
      </c>
      <c r="J77" s="57">
        <v>3010</v>
      </c>
      <c r="K77" s="57">
        <v>1730</v>
      </c>
      <c r="L77" s="57">
        <v>790</v>
      </c>
      <c r="M77" s="57">
        <v>244</v>
      </c>
      <c r="N77" s="68">
        <v>12022</v>
      </c>
      <c r="O77" s="225">
        <v>22335</v>
      </c>
      <c r="P77" s="57"/>
      <c r="Q77" s="57"/>
      <c r="R77" s="57"/>
      <c r="S77" s="57"/>
    </row>
    <row r="78" spans="3:19" x14ac:dyDescent="0.35">
      <c r="C78" s="68" t="s">
        <v>192</v>
      </c>
      <c r="D78" s="57">
        <v>0</v>
      </c>
      <c r="E78" s="57">
        <v>68</v>
      </c>
      <c r="F78" s="57">
        <v>1363</v>
      </c>
      <c r="G78" s="57">
        <v>2433</v>
      </c>
      <c r="H78" s="57">
        <v>2803</v>
      </c>
      <c r="I78" s="57">
        <v>1741</v>
      </c>
      <c r="J78" s="57">
        <v>570</v>
      </c>
      <c r="K78" s="57">
        <v>35</v>
      </c>
      <c r="L78" s="57">
        <v>0</v>
      </c>
      <c r="M78" s="57">
        <v>0</v>
      </c>
      <c r="N78" s="68">
        <v>6667</v>
      </c>
      <c r="O78" s="225">
        <v>9013</v>
      </c>
      <c r="P78" s="57"/>
      <c r="Q78" s="57"/>
      <c r="R78" s="57"/>
      <c r="S78" s="57"/>
    </row>
    <row r="79" spans="3:19" x14ac:dyDescent="0.35">
      <c r="C79" s="68" t="s">
        <v>52</v>
      </c>
      <c r="D79" s="57">
        <v>0</v>
      </c>
      <c r="E79" s="57">
        <v>81</v>
      </c>
      <c r="F79" s="57">
        <v>350</v>
      </c>
      <c r="G79" s="57">
        <v>1354</v>
      </c>
      <c r="H79" s="57">
        <v>2869</v>
      </c>
      <c r="I79" s="57">
        <v>3890</v>
      </c>
      <c r="J79" s="57">
        <v>3430</v>
      </c>
      <c r="K79" s="57">
        <v>2260</v>
      </c>
      <c r="L79" s="57">
        <v>1320</v>
      </c>
      <c r="M79" s="57">
        <v>665</v>
      </c>
      <c r="N79" s="68">
        <v>4654</v>
      </c>
      <c r="O79" s="225">
        <v>16219</v>
      </c>
      <c r="P79" s="57"/>
      <c r="Q79" s="57"/>
      <c r="R79" s="57"/>
      <c r="S79" s="57"/>
    </row>
    <row r="80" spans="3:19" x14ac:dyDescent="0.35">
      <c r="C80" s="68" t="s">
        <v>57</v>
      </c>
      <c r="D80" s="57">
        <v>0</v>
      </c>
      <c r="E80" s="57">
        <v>794</v>
      </c>
      <c r="F80" s="57">
        <v>3183</v>
      </c>
      <c r="G80" s="57">
        <v>5818</v>
      </c>
      <c r="H80" s="57">
        <v>7253</v>
      </c>
      <c r="I80" s="57">
        <v>5628</v>
      </c>
      <c r="J80" s="57">
        <v>1977</v>
      </c>
      <c r="K80" s="57">
        <v>229</v>
      </c>
      <c r="L80" s="57">
        <v>33</v>
      </c>
      <c r="M80" s="57">
        <v>1</v>
      </c>
      <c r="N80" s="68">
        <v>17048</v>
      </c>
      <c r="O80" s="225">
        <v>24916</v>
      </c>
      <c r="P80" s="57"/>
      <c r="Q80" s="57"/>
      <c r="R80" s="57"/>
      <c r="S80" s="57"/>
    </row>
    <row r="81" spans="1:20" x14ac:dyDescent="0.35">
      <c r="C81" s="68"/>
      <c r="N81" s="322"/>
      <c r="O81" s="226"/>
      <c r="P81" s="57"/>
      <c r="Q81" s="57"/>
      <c r="R81" s="57"/>
      <c r="S81" s="57"/>
    </row>
    <row r="82" spans="1:20" x14ac:dyDescent="0.35">
      <c r="C82" s="1425" t="s">
        <v>1396</v>
      </c>
      <c r="D82" s="1426"/>
      <c r="E82" s="1426"/>
      <c r="F82" s="1426"/>
      <c r="G82" s="1426"/>
      <c r="H82" s="1426"/>
      <c r="I82" s="1426"/>
      <c r="J82" s="1426"/>
      <c r="K82" s="1426"/>
      <c r="L82" s="1426"/>
      <c r="M82" s="1426"/>
      <c r="N82" s="1426"/>
      <c r="O82" s="1427"/>
      <c r="P82" s="1106"/>
      <c r="Q82" s="1106"/>
      <c r="R82" s="1106"/>
      <c r="S82" s="1106"/>
    </row>
    <row r="83" spans="1:20" x14ac:dyDescent="0.35">
      <c r="C83" s="68" t="s">
        <v>1398</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8" t="s">
        <v>483</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8"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1378</v>
      </c>
    </row>
    <row r="88" spans="1:20" x14ac:dyDescent="0.35">
      <c r="A88" s="1042" t="s">
        <v>1185</v>
      </c>
      <c r="B88" s="1043" t="s">
        <v>1186</v>
      </c>
      <c r="C88" s="1044">
        <v>2022</v>
      </c>
      <c r="D88" s="1044">
        <v>2023</v>
      </c>
      <c r="E88" s="1044">
        <v>2024</v>
      </c>
      <c r="F88" s="1044">
        <v>2025</v>
      </c>
      <c r="G88" s="1044">
        <v>2026</v>
      </c>
      <c r="H88" s="1044">
        <v>2027</v>
      </c>
      <c r="I88" s="1044">
        <v>2028</v>
      </c>
      <c r="J88" s="1044">
        <v>2029</v>
      </c>
      <c r="K88" s="1044">
        <v>2030</v>
      </c>
      <c r="L88" s="1044">
        <v>2031</v>
      </c>
      <c r="M88" s="1045" t="s">
        <v>1187</v>
      </c>
      <c r="N88" s="1045" t="s">
        <v>1188</v>
      </c>
      <c r="O88" s="1046" t="s">
        <v>1189</v>
      </c>
      <c r="P88" s="1046"/>
      <c r="Q88" s="1046"/>
      <c r="R88" s="1046"/>
      <c r="S88" s="1046"/>
      <c r="T88" s="1047" t="s">
        <v>1190</v>
      </c>
    </row>
    <row r="89" spans="1:20" x14ac:dyDescent="0.35">
      <c r="A89" s="1048" t="s">
        <v>1191</v>
      </c>
      <c r="B89" s="1049" t="s">
        <v>1192</v>
      </c>
      <c r="C89" s="1050">
        <v>0</v>
      </c>
      <c r="D89" s="1050">
        <v>3</v>
      </c>
      <c r="E89" s="1050">
        <v>3</v>
      </c>
      <c r="F89" s="1050">
        <v>3</v>
      </c>
      <c r="G89" s="1050">
        <v>3</v>
      </c>
      <c r="H89" s="1050">
        <v>1</v>
      </c>
      <c r="I89" s="1050">
        <v>0</v>
      </c>
      <c r="J89" s="1050">
        <v>0</v>
      </c>
      <c r="K89" s="1050">
        <v>0</v>
      </c>
      <c r="L89" s="1050">
        <v>0</v>
      </c>
      <c r="M89" s="1050">
        <v>12</v>
      </c>
      <c r="N89" s="1050">
        <v>13</v>
      </c>
      <c r="O89" s="1051" t="s">
        <v>1193</v>
      </c>
      <c r="P89" s="1051"/>
      <c r="Q89" s="1051"/>
      <c r="R89" s="1051"/>
      <c r="S89" s="1051"/>
      <c r="T89" s="1052"/>
    </row>
    <row r="90" spans="1:20" ht="24" customHeight="1" x14ac:dyDescent="0.35">
      <c r="A90" s="1048" t="s">
        <v>1194</v>
      </c>
      <c r="B90" s="1049" t="s">
        <v>1195</v>
      </c>
      <c r="C90" s="1050">
        <v>0</v>
      </c>
      <c r="D90" s="1050">
        <v>65</v>
      </c>
      <c r="E90" s="1050">
        <v>1360</v>
      </c>
      <c r="F90" s="1050">
        <v>2430</v>
      </c>
      <c r="G90" s="1050">
        <v>2800</v>
      </c>
      <c r="H90" s="1050">
        <v>1740</v>
      </c>
      <c r="I90" s="1050">
        <v>570</v>
      </c>
      <c r="J90" s="1050">
        <v>35</v>
      </c>
      <c r="K90" s="1050">
        <v>0</v>
      </c>
      <c r="L90" s="1050">
        <v>0</v>
      </c>
      <c r="M90" s="1050">
        <v>6655</v>
      </c>
      <c r="N90" s="1050">
        <v>9000</v>
      </c>
      <c r="O90" s="1051" t="s">
        <v>1193</v>
      </c>
      <c r="P90" s="1051"/>
      <c r="Q90" s="1051"/>
      <c r="R90" s="1051"/>
      <c r="S90" s="1051"/>
      <c r="T90" s="1053"/>
    </row>
    <row r="91" spans="1:20" x14ac:dyDescent="0.35">
      <c r="A91" s="1054" t="s">
        <v>1196</v>
      </c>
      <c r="B91" s="1055" t="s">
        <v>1197</v>
      </c>
      <c r="C91" s="1056">
        <v>0</v>
      </c>
      <c r="D91" s="1056">
        <v>0</v>
      </c>
      <c r="E91" s="1056">
        <v>601</v>
      </c>
      <c r="F91" s="1057">
        <v>1038</v>
      </c>
      <c r="G91" s="1057">
        <v>1251</v>
      </c>
      <c r="H91" s="1057">
        <v>1431</v>
      </c>
      <c r="I91" s="1057">
        <v>1492</v>
      </c>
      <c r="J91" s="1057">
        <v>1530</v>
      </c>
      <c r="K91" s="1057">
        <v>1567</v>
      </c>
      <c r="L91" s="1057">
        <v>1606</v>
      </c>
      <c r="M91" s="1057">
        <v>2890</v>
      </c>
      <c r="N91" s="1057">
        <v>10516</v>
      </c>
      <c r="O91" s="1058" t="s">
        <v>1198</v>
      </c>
      <c r="P91" s="1058"/>
      <c r="Q91" s="1058"/>
      <c r="R91" s="1058"/>
      <c r="S91" s="1058"/>
      <c r="T91" s="1059"/>
    </row>
    <row r="92" spans="1:20" x14ac:dyDescent="0.35">
      <c r="A92" s="1060" t="s">
        <v>1199</v>
      </c>
      <c r="B92" s="1061" t="s">
        <v>1200</v>
      </c>
      <c r="C92" s="1127">
        <v>0</v>
      </c>
      <c r="D92" s="1127">
        <v>30</v>
      </c>
      <c r="E92" s="1127">
        <v>120</v>
      </c>
      <c r="F92" s="1127">
        <v>165</v>
      </c>
      <c r="G92" s="1127">
        <v>370</v>
      </c>
      <c r="H92" s="1127">
        <v>470</v>
      </c>
      <c r="I92" s="1127">
        <v>420</v>
      </c>
      <c r="J92" s="1127">
        <v>285</v>
      </c>
      <c r="K92" s="1127">
        <v>220</v>
      </c>
      <c r="L92" s="1128">
        <v>65</v>
      </c>
      <c r="M92" s="1127">
        <v>685</v>
      </c>
      <c r="N92" s="1062">
        <v>2145</v>
      </c>
      <c r="O92" s="1063" t="s">
        <v>1201</v>
      </c>
      <c r="P92" s="1108"/>
      <c r="Q92" s="1108"/>
      <c r="R92" s="1108"/>
      <c r="S92" s="1108"/>
      <c r="T92" s="1064" t="s">
        <v>1202</v>
      </c>
    </row>
    <row r="93" spans="1:20" x14ac:dyDescent="0.35">
      <c r="A93" s="1048" t="s">
        <v>1203</v>
      </c>
      <c r="B93" s="1049" t="s">
        <v>1204</v>
      </c>
      <c r="C93" s="1050">
        <v>0</v>
      </c>
      <c r="D93" s="1050">
        <v>2</v>
      </c>
      <c r="E93" s="1050">
        <v>10</v>
      </c>
      <c r="F93" s="1050">
        <v>25</v>
      </c>
      <c r="G93" s="1050">
        <v>28</v>
      </c>
      <c r="H93" s="1050">
        <v>17</v>
      </c>
      <c r="I93" s="1050">
        <v>11</v>
      </c>
      <c r="J93" s="1050">
        <v>4</v>
      </c>
      <c r="K93" s="1050">
        <v>2</v>
      </c>
      <c r="L93" s="1050">
        <v>1</v>
      </c>
      <c r="M93" s="1050">
        <v>65</v>
      </c>
      <c r="N93" s="1050">
        <v>100</v>
      </c>
      <c r="O93" s="1051" t="s">
        <v>1201</v>
      </c>
      <c r="P93" s="1051"/>
      <c r="Q93" s="1051"/>
      <c r="R93" s="1051"/>
      <c r="S93" s="1051"/>
      <c r="T93" s="1052" t="s">
        <v>1205</v>
      </c>
    </row>
    <row r="94" spans="1:20" ht="24" customHeight="1" x14ac:dyDescent="0.35">
      <c r="A94" s="1065" t="s">
        <v>1206</v>
      </c>
      <c r="B94" s="1066" t="s">
        <v>1207</v>
      </c>
      <c r="C94" s="1050">
        <v>0</v>
      </c>
      <c r="D94" s="1050">
        <v>36</v>
      </c>
      <c r="E94" s="1050">
        <v>30</v>
      </c>
      <c r="F94" s="1050">
        <v>14</v>
      </c>
      <c r="G94" s="1050">
        <v>7</v>
      </c>
      <c r="H94" s="1050">
        <v>0</v>
      </c>
      <c r="I94" s="1050">
        <v>0</v>
      </c>
      <c r="J94" s="1050">
        <v>0</v>
      </c>
      <c r="K94" s="1050">
        <v>0</v>
      </c>
      <c r="L94" s="1050">
        <v>0</v>
      </c>
      <c r="M94" s="1050">
        <v>87</v>
      </c>
      <c r="N94" s="1050">
        <v>87</v>
      </c>
      <c r="O94" s="1051" t="s">
        <v>1201</v>
      </c>
      <c r="P94" s="1051"/>
      <c r="Q94" s="1051"/>
      <c r="R94" s="1051"/>
      <c r="S94" s="1051"/>
      <c r="T94" s="1052" t="s">
        <v>1208</v>
      </c>
    </row>
    <row r="95" spans="1:20" x14ac:dyDescent="0.35">
      <c r="A95" s="1048" t="s">
        <v>1209</v>
      </c>
      <c r="B95" s="1049" t="s">
        <v>1210</v>
      </c>
      <c r="C95" s="1050">
        <v>0</v>
      </c>
      <c r="D95" s="1067">
        <v>5240</v>
      </c>
      <c r="E95" s="1067">
        <v>4175</v>
      </c>
      <c r="F95" s="1067">
        <v>5215</v>
      </c>
      <c r="G95" s="1067">
        <v>6493</v>
      </c>
      <c r="H95" s="1067">
        <v>7982</v>
      </c>
      <c r="I95" s="1067">
        <v>9820</v>
      </c>
      <c r="J95" s="1067">
        <v>11813</v>
      </c>
      <c r="K95" s="1067">
        <v>14269</v>
      </c>
      <c r="L95" s="1067">
        <v>14605</v>
      </c>
      <c r="M95" s="1067">
        <v>21123</v>
      </c>
      <c r="N95" s="1067">
        <v>79612</v>
      </c>
      <c r="O95" s="1068" t="s">
        <v>1201</v>
      </c>
      <c r="P95" s="1068"/>
      <c r="Q95" s="1068"/>
      <c r="R95" s="1068"/>
      <c r="S95" s="1068"/>
      <c r="T95" s="1052"/>
    </row>
    <row r="96" spans="1:20" x14ac:dyDescent="0.35">
      <c r="A96" s="1048" t="s">
        <v>1211</v>
      </c>
      <c r="B96" s="1049" t="s">
        <v>1212</v>
      </c>
      <c r="C96" s="1069">
        <v>0</v>
      </c>
      <c r="D96" s="1069">
        <v>55</v>
      </c>
      <c r="E96" s="1069">
        <v>55</v>
      </c>
      <c r="F96" s="1069">
        <v>55</v>
      </c>
      <c r="G96" s="1069">
        <v>55</v>
      </c>
      <c r="H96" s="1069">
        <v>55</v>
      </c>
      <c r="I96" s="1069">
        <v>55</v>
      </c>
      <c r="J96" s="1069">
        <v>55</v>
      </c>
      <c r="K96" s="1069">
        <v>55</v>
      </c>
      <c r="L96" s="1069">
        <v>55</v>
      </c>
      <c r="M96" s="1069">
        <v>220</v>
      </c>
      <c r="N96" s="1069">
        <v>495</v>
      </c>
      <c r="O96" s="1070" t="s">
        <v>1201</v>
      </c>
      <c r="P96" s="1070"/>
      <c r="Q96" s="1070"/>
      <c r="R96" s="1070"/>
      <c r="S96" s="1070"/>
      <c r="T96" s="1053"/>
    </row>
    <row r="97" spans="1:20" x14ac:dyDescent="0.35">
      <c r="A97" s="1048" t="s">
        <v>1213</v>
      </c>
      <c r="B97" s="1049" t="s">
        <v>1214</v>
      </c>
      <c r="C97" s="1050">
        <v>0</v>
      </c>
      <c r="D97" s="1050">
        <v>19</v>
      </c>
      <c r="E97" s="1050">
        <v>26</v>
      </c>
      <c r="F97" s="1050">
        <v>27</v>
      </c>
      <c r="G97" s="1050">
        <v>17</v>
      </c>
      <c r="H97" s="1050">
        <v>7</v>
      </c>
      <c r="I97" s="1050">
        <v>3</v>
      </c>
      <c r="J97" s="1050">
        <v>1</v>
      </c>
      <c r="K97" s="1050">
        <v>0</v>
      </c>
      <c r="L97" s="1050">
        <v>0</v>
      </c>
      <c r="M97" s="1050">
        <v>89</v>
      </c>
      <c r="N97" s="1050">
        <v>100</v>
      </c>
      <c r="O97" s="1068" t="s">
        <v>1201</v>
      </c>
      <c r="P97" s="1068"/>
      <c r="Q97" s="1068"/>
      <c r="R97" s="1068"/>
      <c r="S97" s="1068"/>
      <c r="T97" s="1053"/>
    </row>
    <row r="98" spans="1:20" x14ac:dyDescent="0.35">
      <c r="A98" s="1048" t="s">
        <v>1215</v>
      </c>
      <c r="B98" s="1049" t="s">
        <v>1216</v>
      </c>
      <c r="C98" s="1050">
        <v>0</v>
      </c>
      <c r="D98" s="1050">
        <v>15</v>
      </c>
      <c r="E98" s="1050">
        <v>15</v>
      </c>
      <c r="F98" s="1050">
        <v>15</v>
      </c>
      <c r="G98" s="1050">
        <v>10</v>
      </c>
      <c r="H98" s="1050">
        <v>10</v>
      </c>
      <c r="I98" s="1050">
        <v>10</v>
      </c>
      <c r="J98" s="1050">
        <v>10</v>
      </c>
      <c r="K98" s="1050">
        <v>10</v>
      </c>
      <c r="L98" s="1050">
        <v>5</v>
      </c>
      <c r="M98" s="1050">
        <v>55</v>
      </c>
      <c r="N98" s="1050">
        <v>100</v>
      </c>
      <c r="O98" s="1051" t="s">
        <v>1201</v>
      </c>
      <c r="P98" s="1051"/>
      <c r="Q98" s="1051"/>
      <c r="R98" s="1051"/>
      <c r="S98" s="1051"/>
      <c r="T98" s="1053"/>
    </row>
    <row r="99" spans="1:20" ht="36" customHeight="1" x14ac:dyDescent="0.35">
      <c r="A99" s="1048" t="s">
        <v>1217</v>
      </c>
      <c r="B99" s="1049" t="s">
        <v>1218</v>
      </c>
      <c r="C99" s="1071">
        <v>0</v>
      </c>
      <c r="D99" s="1071">
        <v>22</v>
      </c>
      <c r="E99" s="1071">
        <v>96</v>
      </c>
      <c r="F99" s="1071">
        <v>170</v>
      </c>
      <c r="G99" s="1071">
        <v>213</v>
      </c>
      <c r="H99" s="1071">
        <v>160</v>
      </c>
      <c r="I99" s="1071">
        <v>47</v>
      </c>
      <c r="J99" s="1071">
        <v>2</v>
      </c>
      <c r="K99" s="1071">
        <v>0</v>
      </c>
      <c r="L99" s="1071">
        <v>0</v>
      </c>
      <c r="M99" s="1071">
        <v>501</v>
      </c>
      <c r="N99" s="1071">
        <v>710</v>
      </c>
      <c r="O99" s="1050" t="s">
        <v>1201</v>
      </c>
      <c r="P99" s="1050"/>
      <c r="Q99" s="1050"/>
      <c r="R99" s="1050"/>
      <c r="S99" s="1050"/>
      <c r="T99" s="1053"/>
    </row>
    <row r="100" spans="1:20" ht="36" customHeight="1" x14ac:dyDescent="0.35">
      <c r="A100" s="1048" t="s">
        <v>1219</v>
      </c>
      <c r="B100" s="1049" t="s">
        <v>1220</v>
      </c>
      <c r="C100" s="1072"/>
      <c r="D100" s="1072">
        <v>90</v>
      </c>
      <c r="E100" s="1072">
        <v>260</v>
      </c>
      <c r="F100" s="1072">
        <v>427</v>
      </c>
      <c r="G100" s="1072">
        <v>560</v>
      </c>
      <c r="H100" s="1072">
        <v>572</v>
      </c>
      <c r="I100" s="1072">
        <v>534</v>
      </c>
      <c r="J100" s="1072">
        <v>275</v>
      </c>
      <c r="K100" s="1072">
        <v>162</v>
      </c>
      <c r="L100" s="1072">
        <v>70</v>
      </c>
      <c r="M100" s="1072">
        <v>1347</v>
      </c>
      <c r="N100" s="1072">
        <v>2960</v>
      </c>
      <c r="O100" s="1073" t="s">
        <v>1201</v>
      </c>
      <c r="P100" s="1073"/>
      <c r="Q100" s="1073"/>
      <c r="R100" s="1073"/>
      <c r="S100" s="1073"/>
      <c r="T100" s="1053"/>
    </row>
    <row r="101" spans="1:20" x14ac:dyDescent="0.35">
      <c r="A101" s="1048" t="s">
        <v>1221</v>
      </c>
      <c r="B101" s="1049" t="s">
        <v>1222</v>
      </c>
      <c r="C101" s="1050">
        <v>0</v>
      </c>
      <c r="D101" s="1050">
        <v>40</v>
      </c>
      <c r="E101" s="1050">
        <v>60</v>
      </c>
      <c r="F101" s="1050">
        <v>52</v>
      </c>
      <c r="G101" s="1050">
        <v>40</v>
      </c>
      <c r="H101" s="1050">
        <v>27</v>
      </c>
      <c r="I101" s="1050">
        <v>19</v>
      </c>
      <c r="J101" s="1050">
        <v>10</v>
      </c>
      <c r="K101" s="1050">
        <v>2</v>
      </c>
      <c r="L101" s="1050">
        <v>0</v>
      </c>
      <c r="M101" s="1050">
        <v>192</v>
      </c>
      <c r="N101" s="1050">
        <v>250</v>
      </c>
      <c r="O101" s="1051" t="s">
        <v>1201</v>
      </c>
      <c r="P101" s="1051"/>
      <c r="Q101" s="1051"/>
      <c r="R101" s="1051"/>
      <c r="S101" s="1051"/>
      <c r="T101" s="1053"/>
    </row>
    <row r="102" spans="1:20" x14ac:dyDescent="0.35">
      <c r="A102" s="1065" t="s">
        <v>1223</v>
      </c>
      <c r="B102" s="1066" t="s">
        <v>1224</v>
      </c>
      <c r="C102" s="1050">
        <v>0</v>
      </c>
      <c r="D102" s="1050">
        <v>49</v>
      </c>
      <c r="E102" s="1050">
        <v>62</v>
      </c>
      <c r="F102" s="1050">
        <v>62</v>
      </c>
      <c r="G102" s="1050">
        <v>62</v>
      </c>
      <c r="H102" s="1050">
        <v>63</v>
      </c>
      <c r="I102" s="1050">
        <v>63</v>
      </c>
      <c r="J102" s="1050">
        <v>63</v>
      </c>
      <c r="K102" s="1050">
        <v>64</v>
      </c>
      <c r="L102" s="1050">
        <v>12</v>
      </c>
      <c r="M102" s="1050">
        <v>235</v>
      </c>
      <c r="N102" s="1050">
        <v>500</v>
      </c>
      <c r="O102" s="1051" t="s">
        <v>1201</v>
      </c>
      <c r="P102" s="1051"/>
      <c r="Q102" s="1051"/>
      <c r="R102" s="1051"/>
      <c r="S102" s="1051"/>
      <c r="T102" s="1053"/>
    </row>
    <row r="103" spans="1:20" x14ac:dyDescent="0.35">
      <c r="A103" s="1048" t="s">
        <v>1225</v>
      </c>
      <c r="B103" s="1049" t="s">
        <v>1226</v>
      </c>
      <c r="C103" s="1050">
        <v>0</v>
      </c>
      <c r="D103" s="1050">
        <v>0</v>
      </c>
      <c r="E103" s="1050">
        <v>0</v>
      </c>
      <c r="F103" s="1050">
        <v>0</v>
      </c>
      <c r="G103" s="1050">
        <v>-20</v>
      </c>
      <c r="H103" s="1050">
        <v>-28</v>
      </c>
      <c r="I103" s="1050">
        <v>-28</v>
      </c>
      <c r="J103" s="1050">
        <v>-28</v>
      </c>
      <c r="K103" s="1050">
        <v>-28</v>
      </c>
      <c r="L103" s="1050">
        <v>-28</v>
      </c>
      <c r="M103" s="1050">
        <v>-20</v>
      </c>
      <c r="N103" s="1050">
        <v>-160</v>
      </c>
      <c r="O103" s="1051" t="s">
        <v>1201</v>
      </c>
      <c r="P103" s="1051"/>
      <c r="Q103" s="1051"/>
      <c r="R103" s="1051"/>
      <c r="S103" s="1051"/>
      <c r="T103" s="1053"/>
    </row>
    <row r="104" spans="1:20" ht="24" customHeight="1" x14ac:dyDescent="0.35">
      <c r="A104" s="1048" t="s">
        <v>1227</v>
      </c>
      <c r="B104" s="1049" t="s">
        <v>1228</v>
      </c>
      <c r="C104" s="1050">
        <v>0</v>
      </c>
      <c r="D104" s="1050">
        <v>-235</v>
      </c>
      <c r="E104" s="1050">
        <v>-44</v>
      </c>
      <c r="F104" s="1050">
        <v>-22</v>
      </c>
      <c r="G104" s="1050">
        <v>-26</v>
      </c>
      <c r="H104" s="1050">
        <v>-23</v>
      </c>
      <c r="I104" s="1050">
        <v>-19</v>
      </c>
      <c r="J104" s="1050">
        <v>-41</v>
      </c>
      <c r="K104" s="1050">
        <v>-35</v>
      </c>
      <c r="L104" s="1050">
        <v>-39</v>
      </c>
      <c r="M104" s="1050">
        <v>-327</v>
      </c>
      <c r="N104" s="1050">
        <v>-484</v>
      </c>
      <c r="O104" s="1051" t="s">
        <v>1201</v>
      </c>
      <c r="P104" s="1051"/>
      <c r="Q104" s="1051"/>
      <c r="R104" s="1051"/>
      <c r="S104" s="1051"/>
      <c r="T104" s="1053"/>
    </row>
    <row r="105" spans="1:20" x14ac:dyDescent="0.35">
      <c r="A105" s="1048" t="s">
        <v>1229</v>
      </c>
      <c r="B105" s="1049" t="s">
        <v>1230</v>
      </c>
      <c r="C105" s="1050">
        <v>0</v>
      </c>
      <c r="D105" s="1050">
        <v>7</v>
      </c>
      <c r="E105" s="1050">
        <v>8</v>
      </c>
      <c r="F105" s="1050">
        <v>6</v>
      </c>
      <c r="G105" s="1050">
        <v>2</v>
      </c>
      <c r="H105" s="1050">
        <v>1</v>
      </c>
      <c r="I105" s="1050">
        <v>0</v>
      </c>
      <c r="J105" s="1050">
        <v>0</v>
      </c>
      <c r="K105" s="1050">
        <v>0</v>
      </c>
      <c r="L105" s="1050">
        <v>0</v>
      </c>
      <c r="M105" s="1050">
        <v>23</v>
      </c>
      <c r="N105" s="1050">
        <v>24</v>
      </c>
      <c r="O105" s="1051" t="s">
        <v>1201</v>
      </c>
      <c r="P105" s="1051"/>
      <c r="Q105" s="1051"/>
      <c r="R105" s="1051"/>
      <c r="S105" s="1051"/>
      <c r="T105" s="1053"/>
    </row>
    <row r="106" spans="1:20" ht="36" customHeight="1" x14ac:dyDescent="0.35">
      <c r="A106" s="1048" t="s">
        <v>1231</v>
      </c>
      <c r="B106" s="1049" t="s">
        <v>1232</v>
      </c>
      <c r="C106" s="1050">
        <v>0</v>
      </c>
      <c r="D106" s="1050">
        <v>50</v>
      </c>
      <c r="E106" s="1050">
        <v>77</v>
      </c>
      <c r="F106" s="1050">
        <v>87</v>
      </c>
      <c r="G106" s="1050">
        <v>81</v>
      </c>
      <c r="H106" s="1050">
        <v>50</v>
      </c>
      <c r="I106" s="1050">
        <v>30</v>
      </c>
      <c r="J106" s="1050">
        <v>10</v>
      </c>
      <c r="K106" s="1050">
        <v>0</v>
      </c>
      <c r="L106" s="1050">
        <v>0</v>
      </c>
      <c r="M106" s="1050">
        <v>295</v>
      </c>
      <c r="N106" s="1050">
        <v>385</v>
      </c>
      <c r="O106" s="1051" t="s">
        <v>1201</v>
      </c>
      <c r="P106" s="1051"/>
      <c r="Q106" s="1051"/>
      <c r="R106" s="1051"/>
      <c r="S106" s="1051"/>
      <c r="T106" s="1053"/>
    </row>
    <row r="107" spans="1:20" x14ac:dyDescent="0.35">
      <c r="A107" s="1065" t="s">
        <v>1233</v>
      </c>
      <c r="B107" s="1066" t="s">
        <v>1234</v>
      </c>
      <c r="C107" s="1050">
        <v>0</v>
      </c>
      <c r="D107" s="1050">
        <v>3</v>
      </c>
      <c r="E107" s="1050">
        <v>2</v>
      </c>
      <c r="F107" s="1050">
        <v>0</v>
      </c>
      <c r="G107" s="1050">
        <v>0</v>
      </c>
      <c r="H107" s="1050">
        <v>0</v>
      </c>
      <c r="I107" s="1050">
        <v>0</v>
      </c>
      <c r="J107" s="1050">
        <v>0</v>
      </c>
      <c r="K107" s="1050">
        <v>0</v>
      </c>
      <c r="L107" s="1050">
        <v>0</v>
      </c>
      <c r="M107" s="1050">
        <v>5</v>
      </c>
      <c r="N107" s="1050">
        <v>5</v>
      </c>
      <c r="O107" s="1051" t="s">
        <v>1235</v>
      </c>
      <c r="P107" s="1051"/>
      <c r="Q107" s="1051"/>
      <c r="R107" s="1051"/>
      <c r="S107" s="1051"/>
      <c r="T107" s="1053"/>
    </row>
    <row r="108" spans="1:20" x14ac:dyDescent="0.35">
      <c r="A108" s="1065" t="s">
        <v>1236</v>
      </c>
      <c r="B108" s="1066" t="s">
        <v>1237</v>
      </c>
      <c r="C108" s="1050">
        <v>0</v>
      </c>
      <c r="D108" s="1050">
        <v>70</v>
      </c>
      <c r="E108" s="1050">
        <v>80</v>
      </c>
      <c r="F108" s="1050">
        <v>62</v>
      </c>
      <c r="G108" s="1050">
        <v>25</v>
      </c>
      <c r="H108" s="1050">
        <v>13</v>
      </c>
      <c r="I108" s="1050">
        <v>0</v>
      </c>
      <c r="J108" s="1050">
        <v>0</v>
      </c>
      <c r="K108" s="1050">
        <v>0</v>
      </c>
      <c r="L108" s="1050">
        <v>0</v>
      </c>
      <c r="M108" s="1050">
        <v>237</v>
      </c>
      <c r="N108" s="1050">
        <v>250</v>
      </c>
      <c r="O108" s="1051" t="s">
        <v>1235</v>
      </c>
      <c r="P108" s="1051"/>
      <c r="Q108" s="1051"/>
      <c r="R108" s="1051"/>
      <c r="S108" s="1051"/>
      <c r="T108" s="1053"/>
    </row>
    <row r="109" spans="1:20" ht="24" customHeight="1" x14ac:dyDescent="0.35">
      <c r="A109" s="1065" t="s">
        <v>1238</v>
      </c>
      <c r="B109" s="1066" t="s">
        <v>1239</v>
      </c>
      <c r="C109" s="1069">
        <v>0</v>
      </c>
      <c r="D109" s="1069">
        <v>33</v>
      </c>
      <c r="E109" s="1069">
        <v>54</v>
      </c>
      <c r="F109" s="1069">
        <v>37</v>
      </c>
      <c r="G109" s="1069">
        <v>16</v>
      </c>
      <c r="H109" s="1069">
        <v>0</v>
      </c>
      <c r="I109" s="1069">
        <v>0</v>
      </c>
      <c r="J109" s="1069">
        <v>0</v>
      </c>
      <c r="K109" s="1069">
        <v>0</v>
      </c>
      <c r="L109" s="1069">
        <v>0</v>
      </c>
      <c r="M109" s="1069">
        <v>140</v>
      </c>
      <c r="N109" s="1069">
        <v>140</v>
      </c>
      <c r="O109" s="1051" t="s">
        <v>1201</v>
      </c>
      <c r="P109" s="1051"/>
      <c r="Q109" s="1051"/>
      <c r="R109" s="1051"/>
      <c r="S109" s="1051"/>
      <c r="T109" s="1053"/>
    </row>
    <row r="110" spans="1:20" x14ac:dyDescent="0.35">
      <c r="A110" s="1048" t="s">
        <v>1240</v>
      </c>
      <c r="B110" s="1049" t="s">
        <v>1241</v>
      </c>
      <c r="C110" s="1050">
        <v>0</v>
      </c>
      <c r="D110" s="1050">
        <v>40</v>
      </c>
      <c r="E110" s="1050">
        <v>40</v>
      </c>
      <c r="F110" s="1050">
        <v>30</v>
      </c>
      <c r="G110" s="1050">
        <v>10</v>
      </c>
      <c r="H110" s="1050">
        <v>5</v>
      </c>
      <c r="I110" s="1050">
        <v>0</v>
      </c>
      <c r="J110" s="1050">
        <v>0</v>
      </c>
      <c r="K110" s="1050">
        <v>0</v>
      </c>
      <c r="L110" s="1050">
        <v>0</v>
      </c>
      <c r="M110" s="1050">
        <v>120</v>
      </c>
      <c r="N110" s="1050">
        <v>125</v>
      </c>
      <c r="O110" s="1051" t="s">
        <v>1201</v>
      </c>
      <c r="P110" s="1051"/>
      <c r="Q110" s="1051"/>
      <c r="R110" s="1051"/>
      <c r="S110" s="1051"/>
      <c r="T110" s="1053"/>
    </row>
    <row r="111" spans="1:20" x14ac:dyDescent="0.35">
      <c r="A111" s="1065" t="s">
        <v>1242</v>
      </c>
      <c r="B111" s="1049" t="s">
        <v>1243</v>
      </c>
      <c r="C111" s="1050">
        <v>0</v>
      </c>
      <c r="D111" s="1050">
        <v>5</v>
      </c>
      <c r="E111" s="1050">
        <v>8</v>
      </c>
      <c r="F111" s="1050">
        <v>8</v>
      </c>
      <c r="G111" s="1050">
        <v>8</v>
      </c>
      <c r="H111" s="1050">
        <v>4</v>
      </c>
      <c r="I111" s="1050">
        <v>0</v>
      </c>
      <c r="J111" s="1050">
        <v>0</v>
      </c>
      <c r="K111" s="1050">
        <v>0</v>
      </c>
      <c r="L111" s="1050">
        <v>0</v>
      </c>
      <c r="M111" s="1050">
        <v>29</v>
      </c>
      <c r="N111" s="1050">
        <v>33</v>
      </c>
      <c r="O111" s="1051" t="s">
        <v>1201</v>
      </c>
      <c r="P111" s="1051"/>
      <c r="Q111" s="1051"/>
      <c r="R111" s="1051"/>
      <c r="S111" s="1051"/>
      <c r="T111" s="1053"/>
    </row>
    <row r="112" spans="1:20" x14ac:dyDescent="0.35">
      <c r="A112" s="1048" t="s">
        <v>1244</v>
      </c>
      <c r="B112" s="1066" t="s">
        <v>1245</v>
      </c>
      <c r="C112" s="1050">
        <v>0</v>
      </c>
      <c r="D112" s="1050">
        <v>3</v>
      </c>
      <c r="E112" s="1050">
        <v>8</v>
      </c>
      <c r="F112" s="1050">
        <v>8</v>
      </c>
      <c r="G112" s="1050">
        <v>8</v>
      </c>
      <c r="H112" s="1050">
        <v>3</v>
      </c>
      <c r="I112" s="1050">
        <v>0</v>
      </c>
      <c r="J112" s="1050">
        <v>0</v>
      </c>
      <c r="K112" s="1050">
        <v>0</v>
      </c>
      <c r="L112" s="1050">
        <v>0</v>
      </c>
      <c r="M112" s="1050">
        <v>27</v>
      </c>
      <c r="N112" s="1050">
        <v>30</v>
      </c>
      <c r="O112" s="1051" t="s">
        <v>1201</v>
      </c>
      <c r="P112" s="1051"/>
      <c r="Q112" s="1051"/>
      <c r="R112" s="1051"/>
      <c r="S112" s="1051"/>
      <c r="T112" s="1053"/>
    </row>
    <row r="113" spans="1:20" ht="24" customHeight="1" x14ac:dyDescent="0.35">
      <c r="A113" s="1048" t="s">
        <v>1246</v>
      </c>
      <c r="B113" s="1049" t="s">
        <v>1247</v>
      </c>
      <c r="C113" s="1069">
        <v>0</v>
      </c>
      <c r="D113" s="1069">
        <v>165</v>
      </c>
      <c r="E113" s="1069">
        <v>165</v>
      </c>
      <c r="F113" s="1069">
        <v>230</v>
      </c>
      <c r="G113" s="1069">
        <v>340</v>
      </c>
      <c r="H113" s="1069">
        <v>490</v>
      </c>
      <c r="I113" s="1069">
        <v>540</v>
      </c>
      <c r="J113" s="1069">
        <v>640</v>
      </c>
      <c r="K113" s="1069">
        <v>475</v>
      </c>
      <c r="L113" s="1069">
        <v>330</v>
      </c>
      <c r="M113" s="1069">
        <v>900</v>
      </c>
      <c r="N113" s="1069">
        <v>3375</v>
      </c>
      <c r="O113" s="1068" t="s">
        <v>1201</v>
      </c>
      <c r="P113" s="1068"/>
      <c r="Q113" s="1068"/>
      <c r="R113" s="1068"/>
      <c r="S113" s="1068"/>
      <c r="T113" s="1053"/>
    </row>
    <row r="114" spans="1:20" ht="24" customHeight="1" x14ac:dyDescent="0.35">
      <c r="A114" s="1074" t="s">
        <v>1217</v>
      </c>
      <c r="B114" s="1075" t="s">
        <v>1248</v>
      </c>
      <c r="C114" s="1050">
        <v>0</v>
      </c>
      <c r="D114" s="1050">
        <v>195</v>
      </c>
      <c r="E114" s="1050">
        <v>448</v>
      </c>
      <c r="F114" s="1050">
        <v>641</v>
      </c>
      <c r="G114" s="1050">
        <v>716</v>
      </c>
      <c r="H114" s="1050">
        <v>681</v>
      </c>
      <c r="I114" s="1050">
        <v>528</v>
      </c>
      <c r="J114" s="1050">
        <v>421</v>
      </c>
      <c r="K114" s="1050">
        <v>323</v>
      </c>
      <c r="L114" s="1050">
        <v>23</v>
      </c>
      <c r="M114" s="1067">
        <v>2000</v>
      </c>
      <c r="N114" s="1067">
        <v>3976</v>
      </c>
      <c r="O114" s="1068" t="s">
        <v>1201</v>
      </c>
      <c r="P114" s="1068"/>
      <c r="Q114" s="1068"/>
      <c r="R114" s="1068"/>
      <c r="S114" s="1068"/>
      <c r="T114" s="1076"/>
    </row>
    <row r="115" spans="1:20" ht="30" customHeight="1" x14ac:dyDescent="0.35">
      <c r="A115" s="1060" t="s">
        <v>1249</v>
      </c>
      <c r="B115" s="1061" t="s">
        <v>1250</v>
      </c>
      <c r="C115" s="1077">
        <v>0</v>
      </c>
      <c r="D115" s="1077">
        <v>20</v>
      </c>
      <c r="E115" s="1077">
        <v>57</v>
      </c>
      <c r="F115" s="1077">
        <v>96</v>
      </c>
      <c r="G115" s="1077">
        <v>150</v>
      </c>
      <c r="H115" s="1077">
        <v>200</v>
      </c>
      <c r="I115" s="1077">
        <v>185</v>
      </c>
      <c r="J115" s="1077">
        <v>147</v>
      </c>
      <c r="K115" s="1077">
        <v>106</v>
      </c>
      <c r="L115" s="1077">
        <v>39</v>
      </c>
      <c r="M115" s="1077">
        <v>323</v>
      </c>
      <c r="N115" s="1078">
        <v>1000</v>
      </c>
      <c r="O115" s="1079" t="s">
        <v>1251</v>
      </c>
      <c r="P115" s="1109"/>
      <c r="Q115" s="1109"/>
      <c r="R115" s="1109"/>
      <c r="S115" s="1109"/>
      <c r="T115" s="1080" t="s">
        <v>1252</v>
      </c>
    </row>
    <row r="116" spans="1:20" x14ac:dyDescent="0.35">
      <c r="A116" s="1065" t="s">
        <v>1253</v>
      </c>
      <c r="B116" s="1049" t="s">
        <v>1254</v>
      </c>
      <c r="C116" s="1050">
        <v>0</v>
      </c>
      <c r="D116" s="1050">
        <v>15</v>
      </c>
      <c r="E116" s="1050">
        <v>53</v>
      </c>
      <c r="F116" s="1050">
        <v>57</v>
      </c>
      <c r="G116" s="1050">
        <v>48</v>
      </c>
      <c r="H116" s="1050">
        <v>43</v>
      </c>
      <c r="I116" s="1050">
        <v>17</v>
      </c>
      <c r="J116" s="1050">
        <v>2</v>
      </c>
      <c r="K116" s="1050">
        <v>0</v>
      </c>
      <c r="L116" s="1050">
        <v>0</v>
      </c>
      <c r="M116" s="1050">
        <v>173</v>
      </c>
      <c r="N116" s="1050">
        <v>235</v>
      </c>
      <c r="O116" s="1051" t="s">
        <v>1255</v>
      </c>
      <c r="P116" s="1051"/>
      <c r="Q116" s="1051"/>
      <c r="R116" s="1051"/>
      <c r="S116" s="1051"/>
      <c r="T116" s="1052" t="s">
        <v>1256</v>
      </c>
    </row>
    <row r="117" spans="1:20" x14ac:dyDescent="0.35">
      <c r="A117" s="1048" t="s">
        <v>1257</v>
      </c>
      <c r="B117" s="1049" t="s">
        <v>1258</v>
      </c>
      <c r="C117" s="1050">
        <v>0</v>
      </c>
      <c r="D117" s="1050">
        <v>15</v>
      </c>
      <c r="E117" s="1050">
        <v>53</v>
      </c>
      <c r="F117" s="1050">
        <v>57</v>
      </c>
      <c r="G117" s="1050">
        <v>48</v>
      </c>
      <c r="H117" s="1050">
        <v>43</v>
      </c>
      <c r="I117" s="1050">
        <v>17</v>
      </c>
      <c r="J117" s="1050">
        <v>2</v>
      </c>
      <c r="K117" s="1050">
        <v>0</v>
      </c>
      <c r="L117" s="1050">
        <v>0</v>
      </c>
      <c r="M117" s="1050">
        <v>173</v>
      </c>
      <c r="N117" s="1050">
        <v>235</v>
      </c>
      <c r="O117" s="1051" t="s">
        <v>1255</v>
      </c>
      <c r="P117" s="1051"/>
      <c r="Q117" s="1051"/>
      <c r="R117" s="1051"/>
      <c r="S117" s="1051"/>
      <c r="T117" s="1052" t="s">
        <v>1256</v>
      </c>
    </row>
    <row r="118" spans="1:20" x14ac:dyDescent="0.35">
      <c r="A118" s="1065" t="s">
        <v>1259</v>
      </c>
      <c r="B118" s="1066" t="s">
        <v>1260</v>
      </c>
      <c r="C118" s="1050">
        <v>0</v>
      </c>
      <c r="D118" s="1050">
        <v>42</v>
      </c>
      <c r="E118" s="1050">
        <v>18</v>
      </c>
      <c r="F118" s="1050">
        <v>0</v>
      </c>
      <c r="G118" s="1050">
        <v>0</v>
      </c>
      <c r="H118" s="1050">
        <v>0</v>
      </c>
      <c r="I118" s="1050">
        <v>0</v>
      </c>
      <c r="J118" s="1050">
        <v>0</v>
      </c>
      <c r="K118" s="1050">
        <v>0</v>
      </c>
      <c r="L118" s="1050">
        <v>0</v>
      </c>
      <c r="M118" s="1050">
        <v>60</v>
      </c>
      <c r="N118" s="1050">
        <v>60</v>
      </c>
      <c r="O118" s="1051" t="s">
        <v>1251</v>
      </c>
      <c r="P118" s="1051"/>
      <c r="Q118" s="1051"/>
      <c r="R118" s="1051"/>
      <c r="S118" s="1051"/>
      <c r="T118" s="1053" t="s">
        <v>1261</v>
      </c>
    </row>
    <row r="119" spans="1:20" x14ac:dyDescent="0.35">
      <c r="A119" s="1048" t="s">
        <v>1262</v>
      </c>
      <c r="B119" s="1049" t="s">
        <v>1263</v>
      </c>
      <c r="C119" s="1050">
        <v>0</v>
      </c>
      <c r="D119" s="1050">
        <v>2</v>
      </c>
      <c r="E119" s="1050">
        <v>13</v>
      </c>
      <c r="F119" s="1050">
        <v>26</v>
      </c>
      <c r="G119" s="1050">
        <v>30</v>
      </c>
      <c r="H119" s="1050">
        <v>24</v>
      </c>
      <c r="I119" s="1050">
        <v>0</v>
      </c>
      <c r="J119" s="1050">
        <v>0</v>
      </c>
      <c r="K119" s="1050">
        <v>0</v>
      </c>
      <c r="L119" s="1050">
        <v>0</v>
      </c>
      <c r="M119" s="1050">
        <v>71</v>
      </c>
      <c r="N119" s="1050">
        <v>95</v>
      </c>
      <c r="O119" s="1051" t="s">
        <v>1251</v>
      </c>
      <c r="P119" s="1051"/>
      <c r="Q119" s="1051"/>
      <c r="R119" s="1051"/>
      <c r="S119" s="1051"/>
      <c r="T119" s="1052" t="s">
        <v>1264</v>
      </c>
    </row>
    <row r="120" spans="1:20" ht="36" customHeight="1" x14ac:dyDescent="0.35">
      <c r="A120" s="1048" t="s">
        <v>1265</v>
      </c>
      <c r="B120" s="1049" t="s">
        <v>1266</v>
      </c>
      <c r="C120" s="1050">
        <v>0</v>
      </c>
      <c r="D120" s="1050">
        <v>3</v>
      </c>
      <c r="E120" s="1050">
        <v>19</v>
      </c>
      <c r="F120" s="1050">
        <v>67</v>
      </c>
      <c r="G120" s="1050">
        <v>86</v>
      </c>
      <c r="H120" s="1050">
        <v>59</v>
      </c>
      <c r="I120" s="1050">
        <v>35</v>
      </c>
      <c r="J120" s="1050">
        <v>19</v>
      </c>
      <c r="K120" s="1050">
        <v>6</v>
      </c>
      <c r="L120" s="1050">
        <v>0</v>
      </c>
      <c r="M120" s="1050">
        <v>175</v>
      </c>
      <c r="N120" s="1050">
        <v>294</v>
      </c>
      <c r="O120" s="1051" t="s">
        <v>1251</v>
      </c>
      <c r="P120" s="1051"/>
      <c r="Q120" s="1051"/>
      <c r="R120" s="1051"/>
      <c r="S120" s="1051"/>
      <c r="T120" s="1076" t="s">
        <v>1267</v>
      </c>
    </row>
    <row r="121" spans="1:20" x14ac:dyDescent="0.35">
      <c r="A121" s="1048" t="s">
        <v>1268</v>
      </c>
      <c r="B121" s="1049" t="s">
        <v>1269</v>
      </c>
      <c r="C121" s="1050">
        <v>0</v>
      </c>
      <c r="D121" s="1050">
        <v>65</v>
      </c>
      <c r="E121" s="1050">
        <v>150</v>
      </c>
      <c r="F121" s="1050">
        <v>290</v>
      </c>
      <c r="G121" s="1050">
        <v>290</v>
      </c>
      <c r="H121" s="1050">
        <v>290</v>
      </c>
      <c r="I121" s="1050">
        <v>285</v>
      </c>
      <c r="J121" s="1050">
        <v>250</v>
      </c>
      <c r="K121" s="1050">
        <v>220</v>
      </c>
      <c r="L121" s="1050">
        <v>160</v>
      </c>
      <c r="M121" s="1050">
        <v>795</v>
      </c>
      <c r="N121" s="1067">
        <v>2000</v>
      </c>
      <c r="O121" s="1051" t="s">
        <v>1251</v>
      </c>
      <c r="P121" s="1051"/>
      <c r="Q121" s="1051"/>
      <c r="R121" s="1051"/>
      <c r="S121" s="1051"/>
      <c r="T121" s="1053"/>
    </row>
    <row r="122" spans="1:20" x14ac:dyDescent="0.35">
      <c r="A122" s="1048" t="s">
        <v>1270</v>
      </c>
      <c r="B122" s="1049" t="s">
        <v>1271</v>
      </c>
      <c r="C122" s="1050">
        <v>0</v>
      </c>
      <c r="D122" s="1050">
        <v>5</v>
      </c>
      <c r="E122" s="1050">
        <v>20</v>
      </c>
      <c r="F122" s="1050">
        <v>65</v>
      </c>
      <c r="G122" s="1050">
        <v>105</v>
      </c>
      <c r="H122" s="1050">
        <v>140</v>
      </c>
      <c r="I122" s="1050">
        <v>175</v>
      </c>
      <c r="J122" s="1050">
        <v>210</v>
      </c>
      <c r="K122" s="1050">
        <v>150</v>
      </c>
      <c r="L122" s="1050">
        <v>35</v>
      </c>
      <c r="M122" s="1050">
        <v>195</v>
      </c>
      <c r="N122" s="1050">
        <v>905</v>
      </c>
      <c r="O122" s="1081" t="s">
        <v>1251</v>
      </c>
      <c r="P122" s="1081"/>
      <c r="Q122" s="1081"/>
      <c r="R122" s="1081"/>
      <c r="S122" s="1081"/>
      <c r="T122" s="1082"/>
    </row>
    <row r="123" spans="1:20" x14ac:dyDescent="0.35">
      <c r="A123" s="1048" t="s">
        <v>1272</v>
      </c>
      <c r="B123" s="1049" t="s">
        <v>1273</v>
      </c>
      <c r="C123" s="1050">
        <v>0</v>
      </c>
      <c r="D123" s="1050">
        <v>10</v>
      </c>
      <c r="E123" s="1050">
        <v>150</v>
      </c>
      <c r="F123" s="1050">
        <v>300</v>
      </c>
      <c r="G123" s="1050">
        <v>590</v>
      </c>
      <c r="H123" s="1050">
        <v>460</v>
      </c>
      <c r="I123" s="1050">
        <v>295</v>
      </c>
      <c r="J123" s="1050">
        <v>195</v>
      </c>
      <c r="K123" s="1050">
        <v>0</v>
      </c>
      <c r="L123" s="1050">
        <v>0</v>
      </c>
      <c r="M123" s="1067">
        <v>1050</v>
      </c>
      <c r="N123" s="1067">
        <v>2000</v>
      </c>
      <c r="O123" s="1051" t="s">
        <v>1251</v>
      </c>
      <c r="P123" s="1051"/>
      <c r="Q123" s="1051"/>
      <c r="R123" s="1051"/>
      <c r="S123" s="1051"/>
      <c r="T123" s="1053"/>
    </row>
    <row r="124" spans="1:20" x14ac:dyDescent="0.35">
      <c r="A124" s="1048" t="s">
        <v>1274</v>
      </c>
      <c r="B124" s="1049" t="s">
        <v>1275</v>
      </c>
      <c r="C124" s="1050"/>
      <c r="D124" s="1050"/>
      <c r="E124" s="1050"/>
      <c r="F124" s="1050"/>
      <c r="G124" s="1050"/>
      <c r="H124" s="1050"/>
      <c r="I124" s="1050"/>
      <c r="J124" s="1050"/>
      <c r="K124" s="1050"/>
      <c r="L124" s="1050"/>
      <c r="M124" s="1050"/>
      <c r="N124" s="1050"/>
      <c r="O124" s="1051"/>
      <c r="P124" s="1051"/>
      <c r="Q124" s="1051"/>
      <c r="R124" s="1051"/>
      <c r="S124" s="1051"/>
      <c r="T124" s="1053"/>
    </row>
    <row r="125" spans="1:20" ht="24" customHeight="1" x14ac:dyDescent="0.35">
      <c r="A125" s="1065" t="s">
        <v>1276</v>
      </c>
      <c r="B125" s="1066" t="s">
        <v>1277</v>
      </c>
      <c r="C125" s="1069">
        <v>0</v>
      </c>
      <c r="D125" s="1069">
        <v>72</v>
      </c>
      <c r="E125" s="1069">
        <v>123</v>
      </c>
      <c r="F125" s="1069">
        <v>122</v>
      </c>
      <c r="G125" s="1069">
        <v>115</v>
      </c>
      <c r="H125" s="1069">
        <v>55</v>
      </c>
      <c r="I125" s="1069">
        <v>55</v>
      </c>
      <c r="J125" s="1069">
        <v>33</v>
      </c>
      <c r="K125" s="1069">
        <v>0</v>
      </c>
      <c r="L125" s="1069">
        <v>0</v>
      </c>
      <c r="M125" s="1069">
        <v>432</v>
      </c>
      <c r="N125" s="1069">
        <v>575</v>
      </c>
      <c r="O125" s="1050" t="s">
        <v>1251</v>
      </c>
      <c r="P125" s="1050"/>
      <c r="Q125" s="1050"/>
      <c r="R125" s="1050"/>
      <c r="S125" s="1050"/>
      <c r="T125" s="1053"/>
    </row>
    <row r="126" spans="1:20" x14ac:dyDescent="0.35">
      <c r="A126" s="1048" t="s">
        <v>1278</v>
      </c>
      <c r="B126" s="1049" t="s">
        <v>1279</v>
      </c>
      <c r="C126" s="1050">
        <v>0</v>
      </c>
      <c r="D126" s="1050">
        <v>1</v>
      </c>
      <c r="E126" s="1050">
        <v>2</v>
      </c>
      <c r="F126" s="1050">
        <v>2</v>
      </c>
      <c r="G126" s="1050">
        <v>2</v>
      </c>
      <c r="H126" s="1050">
        <v>2</v>
      </c>
      <c r="I126" s="1050">
        <v>2</v>
      </c>
      <c r="J126" s="1050">
        <v>2</v>
      </c>
      <c r="K126" s="1050">
        <v>2</v>
      </c>
      <c r="L126" s="1050">
        <v>1</v>
      </c>
      <c r="M126" s="1050">
        <v>7</v>
      </c>
      <c r="N126" s="1050">
        <v>16</v>
      </c>
      <c r="O126" s="1051" t="s">
        <v>1251</v>
      </c>
      <c r="P126" s="1051"/>
      <c r="Q126" s="1051"/>
      <c r="R126" s="1051"/>
      <c r="S126" s="1051"/>
      <c r="T126" s="1053"/>
    </row>
    <row r="127" spans="1:20" x14ac:dyDescent="0.35">
      <c r="A127" s="1048" t="s">
        <v>1280</v>
      </c>
      <c r="B127" s="1049" t="s">
        <v>1281</v>
      </c>
      <c r="C127" s="1050">
        <v>0</v>
      </c>
      <c r="D127" s="1050">
        <v>49</v>
      </c>
      <c r="E127" s="1050">
        <v>190</v>
      </c>
      <c r="F127" s="1050">
        <v>379</v>
      </c>
      <c r="G127" s="1050">
        <v>531</v>
      </c>
      <c r="H127" s="1050">
        <v>619</v>
      </c>
      <c r="I127" s="1050">
        <v>580</v>
      </c>
      <c r="J127" s="1050">
        <v>387</v>
      </c>
      <c r="K127" s="1050">
        <v>196</v>
      </c>
      <c r="L127" s="1050">
        <v>69</v>
      </c>
      <c r="M127" s="1067">
        <v>1149</v>
      </c>
      <c r="N127" s="1067">
        <v>3000</v>
      </c>
      <c r="O127" s="1051" t="s">
        <v>1251</v>
      </c>
      <c r="P127" s="1051"/>
      <c r="Q127" s="1051"/>
      <c r="R127" s="1051"/>
      <c r="S127" s="1051"/>
      <c r="T127" s="1053"/>
    </row>
    <row r="128" spans="1:20" x14ac:dyDescent="0.35">
      <c r="A128" s="1065" t="s">
        <v>1282</v>
      </c>
      <c r="B128" s="1066" t="s">
        <v>1283</v>
      </c>
      <c r="C128" s="1050">
        <v>0</v>
      </c>
      <c r="D128" s="1050">
        <v>22</v>
      </c>
      <c r="E128" s="1050">
        <v>22</v>
      </c>
      <c r="F128" s="1050">
        <v>6</v>
      </c>
      <c r="G128" s="1050">
        <v>0</v>
      </c>
      <c r="H128" s="1050">
        <v>0</v>
      </c>
      <c r="I128" s="1050">
        <v>0</v>
      </c>
      <c r="J128" s="1050">
        <v>0</v>
      </c>
      <c r="K128" s="1050">
        <v>0</v>
      </c>
      <c r="L128" s="1050">
        <v>0</v>
      </c>
      <c r="M128" s="1050">
        <v>50</v>
      </c>
      <c r="N128" s="1050">
        <v>50</v>
      </c>
      <c r="O128" s="1051" t="s">
        <v>1251</v>
      </c>
      <c r="P128" s="1051"/>
      <c r="Q128" s="1051"/>
      <c r="R128" s="1051"/>
      <c r="S128" s="1051"/>
      <c r="T128" s="1052"/>
    </row>
    <row r="129" spans="1:20" x14ac:dyDescent="0.35">
      <c r="A129" s="1048" t="s">
        <v>1284</v>
      </c>
      <c r="B129" s="1049" t="s">
        <v>1285</v>
      </c>
      <c r="C129" s="1050">
        <v>0</v>
      </c>
      <c r="D129" s="1050">
        <v>30</v>
      </c>
      <c r="E129" s="1050">
        <v>30</v>
      </c>
      <c r="F129" s="1050">
        <v>40</v>
      </c>
      <c r="G129" s="1050">
        <v>15</v>
      </c>
      <c r="H129" s="1050">
        <v>5</v>
      </c>
      <c r="I129" s="1050">
        <v>5</v>
      </c>
      <c r="J129" s="1050">
        <v>0</v>
      </c>
      <c r="K129" s="1050">
        <v>0</v>
      </c>
      <c r="L129" s="1050">
        <v>0</v>
      </c>
      <c r="M129" s="1050">
        <v>115</v>
      </c>
      <c r="N129" s="1050">
        <v>125</v>
      </c>
      <c r="O129" s="1051" t="s">
        <v>1251</v>
      </c>
      <c r="P129" s="1051"/>
      <c r="Q129" s="1051"/>
      <c r="R129" s="1051"/>
      <c r="S129" s="1051"/>
      <c r="T129" s="1053"/>
    </row>
    <row r="130" spans="1:20" x14ac:dyDescent="0.35">
      <c r="A130" s="1048" t="s">
        <v>1286</v>
      </c>
      <c r="B130" s="1049" t="s">
        <v>1287</v>
      </c>
      <c r="C130" s="1050">
        <v>0</v>
      </c>
      <c r="D130" s="1050">
        <v>10</v>
      </c>
      <c r="E130" s="1050">
        <v>230</v>
      </c>
      <c r="F130" s="1050">
        <v>660</v>
      </c>
      <c r="G130" s="1050">
        <v>945</v>
      </c>
      <c r="H130" s="1050">
        <v>605</v>
      </c>
      <c r="I130" s="1050">
        <v>100</v>
      </c>
      <c r="J130" s="1050">
        <v>0</v>
      </c>
      <c r="K130" s="1050">
        <v>0</v>
      </c>
      <c r="L130" s="1050">
        <v>0</v>
      </c>
      <c r="M130" s="1067">
        <v>1845</v>
      </c>
      <c r="N130" s="1067">
        <v>2550</v>
      </c>
      <c r="O130" s="1051" t="s">
        <v>1251</v>
      </c>
      <c r="P130" s="1051"/>
      <c r="Q130" s="1051"/>
      <c r="R130" s="1051"/>
      <c r="S130" s="1051"/>
      <c r="T130" s="1053"/>
    </row>
    <row r="131" spans="1:20" x14ac:dyDescent="0.35">
      <c r="A131" s="1048" t="s">
        <v>1288</v>
      </c>
      <c r="B131" s="1049" t="s">
        <v>1289</v>
      </c>
      <c r="C131" s="1050">
        <v>0</v>
      </c>
      <c r="D131" s="1050">
        <v>10</v>
      </c>
      <c r="E131" s="1050">
        <v>45</v>
      </c>
      <c r="F131" s="1050">
        <v>70</v>
      </c>
      <c r="G131" s="1050">
        <v>100</v>
      </c>
      <c r="H131" s="1050">
        <v>100</v>
      </c>
      <c r="I131" s="1050">
        <v>100</v>
      </c>
      <c r="J131" s="1050">
        <v>100</v>
      </c>
      <c r="K131" s="1050">
        <v>100</v>
      </c>
      <c r="L131" s="1050">
        <v>100</v>
      </c>
      <c r="M131" s="1050">
        <v>225</v>
      </c>
      <c r="N131" s="1050">
        <v>725</v>
      </c>
      <c r="O131" s="1051" t="s">
        <v>1251</v>
      </c>
      <c r="P131" s="1051"/>
      <c r="Q131" s="1051"/>
      <c r="R131" s="1051"/>
      <c r="S131" s="1051"/>
      <c r="T131" s="1053"/>
    </row>
    <row r="132" spans="1:20" x14ac:dyDescent="0.35">
      <c r="A132" s="1065" t="s">
        <v>1290</v>
      </c>
      <c r="B132" s="1066" t="s">
        <v>1291</v>
      </c>
      <c r="C132" s="1050">
        <v>0</v>
      </c>
      <c r="D132" s="1050">
        <v>14</v>
      </c>
      <c r="E132" s="1050">
        <v>11</v>
      </c>
      <c r="F132" s="1050">
        <v>0</v>
      </c>
      <c r="G132" s="1050">
        <v>0</v>
      </c>
      <c r="H132" s="1050">
        <v>0</v>
      </c>
      <c r="I132" s="1050">
        <v>0</v>
      </c>
      <c r="J132" s="1050">
        <v>0</v>
      </c>
      <c r="K132" s="1050">
        <v>0</v>
      </c>
      <c r="L132" s="1050">
        <v>0</v>
      </c>
      <c r="M132" s="1050">
        <v>25</v>
      </c>
      <c r="N132" s="1050">
        <v>25</v>
      </c>
      <c r="O132" s="1051" t="s">
        <v>1255</v>
      </c>
      <c r="P132" s="1051"/>
      <c r="Q132" s="1051"/>
      <c r="R132" s="1051"/>
      <c r="S132" s="1051"/>
      <c r="T132" s="1052"/>
    </row>
    <row r="133" spans="1:20" x14ac:dyDescent="0.35">
      <c r="A133" s="1065" t="s">
        <v>1292</v>
      </c>
      <c r="B133" s="1066" t="s">
        <v>1293</v>
      </c>
      <c r="C133" s="1050">
        <v>0</v>
      </c>
      <c r="D133" s="1050">
        <v>84</v>
      </c>
      <c r="E133" s="1050">
        <v>320</v>
      </c>
      <c r="F133" s="1050">
        <v>638</v>
      </c>
      <c r="G133" s="1050">
        <v>928</v>
      </c>
      <c r="H133" s="1050">
        <v>940</v>
      </c>
      <c r="I133" s="1050">
        <v>720</v>
      </c>
      <c r="J133" s="1050">
        <v>300</v>
      </c>
      <c r="K133" s="1050">
        <v>120</v>
      </c>
      <c r="L133" s="1050">
        <v>0</v>
      </c>
      <c r="M133" s="1067">
        <v>1970</v>
      </c>
      <c r="N133" s="1067">
        <v>4050</v>
      </c>
      <c r="O133" s="1051" t="s">
        <v>1255</v>
      </c>
      <c r="P133" s="1051"/>
      <c r="Q133" s="1051"/>
      <c r="R133" s="1051"/>
      <c r="S133" s="1051"/>
      <c r="T133" s="1053"/>
    </row>
    <row r="134" spans="1:20" x14ac:dyDescent="0.35">
      <c r="A134" s="1048" t="s">
        <v>1294</v>
      </c>
      <c r="B134" s="1049" t="s">
        <v>1295</v>
      </c>
      <c r="C134" s="1050">
        <v>0</v>
      </c>
      <c r="D134" s="1050">
        <v>40</v>
      </c>
      <c r="E134" s="1050">
        <v>200</v>
      </c>
      <c r="F134" s="1050">
        <v>400</v>
      </c>
      <c r="G134" s="1050">
        <v>660</v>
      </c>
      <c r="H134" s="1050">
        <v>640</v>
      </c>
      <c r="I134" s="1050">
        <v>515</v>
      </c>
      <c r="J134" s="1050">
        <v>240</v>
      </c>
      <c r="K134" s="1050">
        <v>105</v>
      </c>
      <c r="L134" s="1050">
        <v>0</v>
      </c>
      <c r="M134" s="1067">
        <v>1300</v>
      </c>
      <c r="N134" s="1067">
        <v>2800</v>
      </c>
      <c r="O134" s="1051" t="s">
        <v>1255</v>
      </c>
      <c r="P134" s="1051"/>
      <c r="Q134" s="1051"/>
      <c r="R134" s="1051"/>
      <c r="S134" s="1051"/>
      <c r="T134" s="1053"/>
    </row>
    <row r="135" spans="1:20" x14ac:dyDescent="0.35">
      <c r="A135" s="1048" t="s">
        <v>1296</v>
      </c>
      <c r="B135" s="1049" t="s">
        <v>1297</v>
      </c>
      <c r="C135" s="1083">
        <v>0</v>
      </c>
      <c r="D135" s="1083">
        <v>138</v>
      </c>
      <c r="E135" s="1083">
        <v>566</v>
      </c>
      <c r="F135" s="1083">
        <v>994</v>
      </c>
      <c r="G135" s="1084">
        <v>1328</v>
      </c>
      <c r="H135" s="1084">
        <v>1791</v>
      </c>
      <c r="I135" s="1084">
        <v>2350</v>
      </c>
      <c r="J135" s="1084">
        <v>2928</v>
      </c>
      <c r="K135" s="1084">
        <v>3548</v>
      </c>
      <c r="L135" s="1084">
        <v>4162</v>
      </c>
      <c r="M135" s="1084">
        <v>3026</v>
      </c>
      <c r="N135" s="1084">
        <v>17805</v>
      </c>
      <c r="O135" s="1085" t="s">
        <v>54</v>
      </c>
      <c r="P135" s="1085"/>
      <c r="Q135" s="1085"/>
      <c r="R135" s="1085"/>
      <c r="S135" s="1085"/>
      <c r="T135" s="1086"/>
    </row>
    <row r="136" spans="1:20" x14ac:dyDescent="0.35">
      <c r="A136" s="1048" t="s">
        <v>1298</v>
      </c>
      <c r="B136" s="1049" t="s">
        <v>1299</v>
      </c>
      <c r="C136" s="1083">
        <v>0</v>
      </c>
      <c r="D136" s="1083">
        <v>0</v>
      </c>
      <c r="E136" s="1083">
        <v>235</v>
      </c>
      <c r="F136" s="1083">
        <v>317</v>
      </c>
      <c r="G136" s="1083">
        <v>304</v>
      </c>
      <c r="H136" s="1083">
        <v>314</v>
      </c>
      <c r="I136" s="1083">
        <v>324</v>
      </c>
      <c r="J136" s="1083">
        <v>335</v>
      </c>
      <c r="K136" s="1083">
        <v>346</v>
      </c>
      <c r="L136" s="1083">
        <v>359</v>
      </c>
      <c r="M136" s="1083">
        <v>856</v>
      </c>
      <c r="N136" s="1084">
        <v>2534</v>
      </c>
      <c r="O136" s="1085" t="s">
        <v>54</v>
      </c>
      <c r="P136" s="1085"/>
      <c r="Q136" s="1085"/>
      <c r="R136" s="1085"/>
      <c r="S136" s="1085"/>
      <c r="T136" s="1053"/>
    </row>
    <row r="137" spans="1:20" ht="24" customHeight="1" x14ac:dyDescent="0.35">
      <c r="A137" s="1048" t="s">
        <v>1300</v>
      </c>
      <c r="B137" s="1049" t="s">
        <v>1301</v>
      </c>
      <c r="C137" s="1087"/>
      <c r="D137" s="1087">
        <v>333</v>
      </c>
      <c r="E137" s="1087">
        <v>314</v>
      </c>
      <c r="F137" s="1087">
        <v>314</v>
      </c>
      <c r="G137" s="1087">
        <v>-4530</v>
      </c>
      <c r="H137" s="1087">
        <v>-9118</v>
      </c>
      <c r="I137" s="1087">
        <v>-18184</v>
      </c>
      <c r="J137" s="1087">
        <v>-20493</v>
      </c>
      <c r="K137" s="1087">
        <v>-23289</v>
      </c>
      <c r="L137" s="1087">
        <v>-24298</v>
      </c>
      <c r="M137" s="1087">
        <v>-569</v>
      </c>
      <c r="N137" s="1087">
        <v>-95951</v>
      </c>
      <c r="O137" s="1088" t="s">
        <v>55</v>
      </c>
      <c r="P137" s="1088"/>
      <c r="Q137" s="1088"/>
      <c r="R137" s="1088"/>
      <c r="S137" s="1088"/>
      <c r="T137" s="1089"/>
    </row>
    <row r="138" spans="1:20" ht="36" customHeight="1" x14ac:dyDescent="0.35">
      <c r="A138" s="1048" t="s">
        <v>1296</v>
      </c>
      <c r="B138" s="1049" t="s">
        <v>1302</v>
      </c>
      <c r="C138" s="1090">
        <v>0</v>
      </c>
      <c r="D138" s="1090">
        <v>-2447</v>
      </c>
      <c r="E138" s="1090">
        <v>-3716</v>
      </c>
      <c r="F138" s="1090">
        <v>-19171</v>
      </c>
      <c r="G138" s="1090">
        <v>-7014</v>
      </c>
      <c r="H138" s="1090">
        <v>-7706</v>
      </c>
      <c r="I138" s="1090">
        <v>-8497</v>
      </c>
      <c r="J138" s="1090">
        <v>-9360</v>
      </c>
      <c r="K138" s="1090">
        <v>-10602</v>
      </c>
      <c r="L138" s="1090">
        <v>-11603</v>
      </c>
      <c r="M138" s="1090">
        <v>-32348</v>
      </c>
      <c r="N138" s="1090">
        <v>-80116</v>
      </c>
      <c r="O138" s="1088" t="s">
        <v>55</v>
      </c>
      <c r="P138" s="1088"/>
      <c r="Q138" s="1088"/>
      <c r="R138" s="1088"/>
      <c r="S138" s="1088"/>
      <c r="T138" s="1053"/>
    </row>
    <row r="139" spans="1:20" x14ac:dyDescent="0.35">
      <c r="A139" s="1048" t="s">
        <v>1303</v>
      </c>
      <c r="B139" s="1049" t="s">
        <v>1304</v>
      </c>
      <c r="C139" s="1087">
        <v>0</v>
      </c>
      <c r="D139" s="1087">
        <v>53</v>
      </c>
      <c r="E139" s="1087">
        <v>1991</v>
      </c>
      <c r="F139" s="1087">
        <v>3308</v>
      </c>
      <c r="G139" s="1087">
        <v>3545</v>
      </c>
      <c r="H139" s="1087">
        <v>4537</v>
      </c>
      <c r="I139" s="1087">
        <v>4476</v>
      </c>
      <c r="J139" s="1087">
        <v>3947</v>
      </c>
      <c r="K139" s="1087">
        <v>1781</v>
      </c>
      <c r="L139" s="1087">
        <v>1462</v>
      </c>
      <c r="M139" s="1087">
        <v>8897</v>
      </c>
      <c r="N139" s="1087">
        <v>25100</v>
      </c>
      <c r="O139" s="1088" t="s">
        <v>55</v>
      </c>
      <c r="P139" s="1088"/>
      <c r="Q139" s="1088"/>
      <c r="R139" s="1088"/>
      <c r="S139" s="1088"/>
      <c r="T139" s="1053"/>
    </row>
    <row r="140" spans="1:20" x14ac:dyDescent="0.35">
      <c r="A140" s="1048" t="s">
        <v>1305</v>
      </c>
      <c r="B140" s="1049" t="s">
        <v>1306</v>
      </c>
      <c r="C140" s="1091">
        <v>0</v>
      </c>
      <c r="D140" s="1091">
        <v>0</v>
      </c>
      <c r="E140" s="1091">
        <v>0</v>
      </c>
      <c r="F140" s="1091">
        <v>0</v>
      </c>
      <c r="G140" s="1091">
        <v>0</v>
      </c>
      <c r="H140" s="1092">
        <v>-16290</v>
      </c>
      <c r="I140" s="1092">
        <v>-25656</v>
      </c>
      <c r="J140" s="1092">
        <v>-23394</v>
      </c>
      <c r="K140" s="1092">
        <v>-27561</v>
      </c>
      <c r="L140" s="1092">
        <v>-29250</v>
      </c>
      <c r="M140" s="1091">
        <v>0</v>
      </c>
      <c r="N140" s="1092">
        <v>-122151</v>
      </c>
      <c r="O140" s="1088" t="s">
        <v>55</v>
      </c>
      <c r="P140" s="1088"/>
      <c r="Q140" s="1088"/>
      <c r="R140" s="1088"/>
      <c r="S140" s="1088"/>
      <c r="T140" s="1053"/>
    </row>
    <row r="141" spans="1:20" ht="36" customHeight="1" x14ac:dyDescent="0.35">
      <c r="A141" s="1048" t="s">
        <v>1307</v>
      </c>
      <c r="B141" s="1049" t="s">
        <v>1308</v>
      </c>
      <c r="C141" s="1087">
        <v>0</v>
      </c>
      <c r="D141" s="1087">
        <v>-70</v>
      </c>
      <c r="E141" s="1087">
        <v>300</v>
      </c>
      <c r="F141" s="1087">
        <v>862</v>
      </c>
      <c r="G141" s="1087">
        <v>577</v>
      </c>
      <c r="H141" s="1087">
        <v>464</v>
      </c>
      <c r="I141" s="1087">
        <v>549</v>
      </c>
      <c r="J141" s="1087">
        <v>501</v>
      </c>
      <c r="K141" s="1087">
        <v>591</v>
      </c>
      <c r="L141" s="1087">
        <v>630</v>
      </c>
      <c r="M141" s="1087">
        <v>1669</v>
      </c>
      <c r="N141" s="1087">
        <v>4404</v>
      </c>
      <c r="O141" s="1088" t="s">
        <v>55</v>
      </c>
      <c r="P141" s="1088"/>
      <c r="Q141" s="1088"/>
      <c r="R141" s="1088"/>
      <c r="S141" s="1088"/>
      <c r="T141" s="1053"/>
    </row>
    <row r="142" spans="1:20" x14ac:dyDescent="0.35">
      <c r="A142" s="1048" t="s">
        <v>1309</v>
      </c>
      <c r="B142" s="1049" t="s">
        <v>1310</v>
      </c>
      <c r="C142" s="1091">
        <v>0</v>
      </c>
      <c r="D142" s="1091">
        <v>0</v>
      </c>
      <c r="E142" s="1091">
        <v>195</v>
      </c>
      <c r="F142" s="1091">
        <v>230</v>
      </c>
      <c r="G142" s="1091">
        <v>248</v>
      </c>
      <c r="H142" s="1091">
        <v>266</v>
      </c>
      <c r="I142" s="1091">
        <v>311</v>
      </c>
      <c r="J142" s="1091">
        <v>281</v>
      </c>
      <c r="K142" s="1091">
        <v>327</v>
      </c>
      <c r="L142" s="1091">
        <v>347</v>
      </c>
      <c r="M142" s="1091">
        <v>673</v>
      </c>
      <c r="N142" s="1092">
        <v>2205</v>
      </c>
      <c r="O142" s="1088" t="s">
        <v>55</v>
      </c>
      <c r="P142" s="1088"/>
      <c r="Q142" s="1088"/>
      <c r="R142" s="1088"/>
      <c r="S142" s="1088"/>
      <c r="T142" s="1053"/>
    </row>
    <row r="143" spans="1:20" x14ac:dyDescent="0.35">
      <c r="A143" s="1065" t="s">
        <v>1311</v>
      </c>
      <c r="B143" s="1066" t="s">
        <v>1312</v>
      </c>
      <c r="C143" s="1093">
        <v>0</v>
      </c>
      <c r="D143" s="1093">
        <v>70</v>
      </c>
      <c r="E143" s="1093">
        <v>132</v>
      </c>
      <c r="F143" s="1093">
        <v>51</v>
      </c>
      <c r="G143" s="1093">
        <v>20</v>
      </c>
      <c r="H143" s="1093">
        <v>8</v>
      </c>
      <c r="I143" s="1093">
        <v>0</v>
      </c>
      <c r="J143" s="1093">
        <v>0</v>
      </c>
      <c r="K143" s="1093">
        <v>0</v>
      </c>
      <c r="L143" s="1093">
        <v>0</v>
      </c>
      <c r="M143" s="1093">
        <v>273</v>
      </c>
      <c r="N143" s="1093">
        <v>281</v>
      </c>
      <c r="O143" s="1094" t="s">
        <v>1313</v>
      </c>
      <c r="P143" s="1094"/>
      <c r="Q143" s="1094"/>
      <c r="R143" s="1094"/>
      <c r="S143" s="1094"/>
      <c r="T143" s="1053" t="s">
        <v>1314</v>
      </c>
    </row>
    <row r="144" spans="1:20" x14ac:dyDescent="0.35">
      <c r="A144" s="1065" t="s">
        <v>1315</v>
      </c>
      <c r="B144" s="1066" t="s">
        <v>1316</v>
      </c>
      <c r="C144" s="1093">
        <v>0</v>
      </c>
      <c r="D144" s="1093">
        <v>465</v>
      </c>
      <c r="E144" s="1095">
        <v>2420</v>
      </c>
      <c r="F144" s="1095">
        <v>4755</v>
      </c>
      <c r="G144" s="1095">
        <v>5980</v>
      </c>
      <c r="H144" s="1095">
        <v>4694</v>
      </c>
      <c r="I144" s="1095">
        <v>1573</v>
      </c>
      <c r="J144" s="1093">
        <v>93</v>
      </c>
      <c r="K144" s="1093">
        <v>0</v>
      </c>
      <c r="L144" s="1093">
        <v>0</v>
      </c>
      <c r="M144" s="1095">
        <v>13620</v>
      </c>
      <c r="N144" s="1095">
        <v>19980</v>
      </c>
      <c r="O144" s="1094" t="s">
        <v>1313</v>
      </c>
      <c r="P144" s="1094"/>
      <c r="Q144" s="1094"/>
      <c r="R144" s="1094"/>
      <c r="S144" s="1094"/>
      <c r="T144" s="1053" t="s">
        <v>1317</v>
      </c>
    </row>
    <row r="145" spans="1:20" x14ac:dyDescent="0.35">
      <c r="A145" s="1048" t="s">
        <v>1318</v>
      </c>
      <c r="B145" s="1049" t="s">
        <v>1319</v>
      </c>
      <c r="C145" s="1093">
        <v>0</v>
      </c>
      <c r="D145" s="1093">
        <v>20</v>
      </c>
      <c r="E145" s="1093">
        <v>65</v>
      </c>
      <c r="F145" s="1093">
        <v>110</v>
      </c>
      <c r="G145" s="1093">
        <v>135</v>
      </c>
      <c r="H145" s="1093">
        <v>180</v>
      </c>
      <c r="I145" s="1093">
        <v>230</v>
      </c>
      <c r="J145" s="1093">
        <v>180</v>
      </c>
      <c r="K145" s="1093">
        <v>60</v>
      </c>
      <c r="L145" s="1093">
        <v>10</v>
      </c>
      <c r="M145" s="1093">
        <v>330</v>
      </c>
      <c r="N145" s="1093">
        <v>990</v>
      </c>
      <c r="O145" s="1094" t="s">
        <v>1313</v>
      </c>
      <c r="P145" s="1094"/>
      <c r="Q145" s="1094"/>
      <c r="R145" s="1094"/>
      <c r="S145" s="1094"/>
      <c r="T145" s="1076" t="s">
        <v>1320</v>
      </c>
    </row>
    <row r="146" spans="1:20" x14ac:dyDescent="0.35">
      <c r="A146" s="1048" t="s">
        <v>1321</v>
      </c>
      <c r="B146" s="1049" t="s">
        <v>1322</v>
      </c>
      <c r="C146" s="1093">
        <v>0</v>
      </c>
      <c r="D146" s="1095">
        <v>20892</v>
      </c>
      <c r="E146" s="1095">
        <v>11288</v>
      </c>
      <c r="F146" s="1095">
        <v>9651</v>
      </c>
      <c r="G146" s="1095">
        <v>-8548</v>
      </c>
      <c r="H146" s="1093">
        <v>-463</v>
      </c>
      <c r="I146" s="1093">
        <v>0</v>
      </c>
      <c r="J146" s="1093">
        <v>0</v>
      </c>
      <c r="K146" s="1093">
        <v>0</v>
      </c>
      <c r="L146" s="1093">
        <v>0</v>
      </c>
      <c r="M146" s="1095">
        <v>33283</v>
      </c>
      <c r="N146" s="1095">
        <v>32820</v>
      </c>
      <c r="O146" s="1096" t="s">
        <v>1313</v>
      </c>
      <c r="P146" s="1096"/>
      <c r="Q146" s="1096"/>
      <c r="R146" s="1096"/>
      <c r="S146" s="1096"/>
      <c r="T146" s="1053"/>
    </row>
    <row r="147" spans="1:20" x14ac:dyDescent="0.35">
      <c r="A147" s="1048" t="s">
        <v>1323</v>
      </c>
      <c r="B147" s="1049" t="s">
        <v>1324</v>
      </c>
      <c r="C147" s="1093">
        <v>0</v>
      </c>
      <c r="D147" s="1093">
        <v>24</v>
      </c>
      <c r="E147" s="1093">
        <v>65</v>
      </c>
      <c r="F147" s="1093">
        <v>112</v>
      </c>
      <c r="G147" s="1093">
        <v>130</v>
      </c>
      <c r="H147" s="1093">
        <v>98</v>
      </c>
      <c r="I147" s="1093">
        <v>56</v>
      </c>
      <c r="J147" s="1093">
        <v>15</v>
      </c>
      <c r="K147" s="1093">
        <v>0</v>
      </c>
      <c r="L147" s="1093">
        <v>0</v>
      </c>
      <c r="M147" s="1093">
        <v>331</v>
      </c>
      <c r="N147" s="1093">
        <v>500</v>
      </c>
      <c r="O147" s="1096" t="s">
        <v>1313</v>
      </c>
      <c r="P147" s="1096"/>
      <c r="Q147" s="1096"/>
      <c r="R147" s="1096"/>
      <c r="S147" s="1096"/>
      <c r="T147" s="1053"/>
    </row>
    <row r="148" spans="1:20" x14ac:dyDescent="0.35">
      <c r="A148" s="1097" t="s">
        <v>1325</v>
      </c>
      <c r="B148" s="1098" t="s">
        <v>1326</v>
      </c>
      <c r="C148" s="1093">
        <v>0</v>
      </c>
      <c r="D148" s="1093">
        <v>50</v>
      </c>
      <c r="E148" s="1093">
        <v>500</v>
      </c>
      <c r="F148" s="1093">
        <v>920</v>
      </c>
      <c r="G148" s="1095">
        <v>1310</v>
      </c>
      <c r="H148" s="1095">
        <v>1680</v>
      </c>
      <c r="I148" s="1095">
        <v>1780</v>
      </c>
      <c r="J148" s="1095">
        <v>1640</v>
      </c>
      <c r="K148" s="1095">
        <v>1090</v>
      </c>
      <c r="L148" s="1093">
        <v>630</v>
      </c>
      <c r="M148" s="1095">
        <v>2780</v>
      </c>
      <c r="N148" s="1095">
        <v>9600</v>
      </c>
      <c r="O148" s="1096" t="s">
        <v>1313</v>
      </c>
      <c r="P148" s="1096"/>
      <c r="Q148" s="1096"/>
      <c r="R148" s="1096"/>
      <c r="S148" s="1096"/>
      <c r="T148" s="1099"/>
    </row>
    <row r="149" spans="1:20" x14ac:dyDescent="0.35">
      <c r="A149" s="1048" t="s">
        <v>1327</v>
      </c>
      <c r="B149" s="1049" t="s">
        <v>1328</v>
      </c>
      <c r="C149" s="1093">
        <v>0</v>
      </c>
      <c r="D149" s="1093">
        <v>30</v>
      </c>
      <c r="E149" s="1093">
        <v>90</v>
      </c>
      <c r="F149" s="1093">
        <v>90</v>
      </c>
      <c r="G149" s="1093">
        <v>85</v>
      </c>
      <c r="H149" s="1093">
        <v>70</v>
      </c>
      <c r="I149" s="1093">
        <v>65</v>
      </c>
      <c r="J149" s="1093">
        <v>65</v>
      </c>
      <c r="K149" s="1093">
        <v>35</v>
      </c>
      <c r="L149" s="1093">
        <v>15</v>
      </c>
      <c r="M149" s="1093">
        <v>295</v>
      </c>
      <c r="N149" s="1093">
        <v>545</v>
      </c>
      <c r="O149" s="1096" t="s">
        <v>1313</v>
      </c>
      <c r="P149" s="1096"/>
      <c r="Q149" s="1096"/>
      <c r="R149" s="1096"/>
      <c r="S149" s="1096"/>
      <c r="T149" s="1053"/>
    </row>
    <row r="150" spans="1:20" x14ac:dyDescent="0.35">
      <c r="A150" s="1048" t="s">
        <v>1329</v>
      </c>
      <c r="B150" s="1049" t="s">
        <v>1330</v>
      </c>
      <c r="C150" s="1093">
        <v>0</v>
      </c>
      <c r="D150" s="1093">
        <v>185</v>
      </c>
      <c r="E150" s="1093">
        <v>394</v>
      </c>
      <c r="F150" s="1093">
        <v>639</v>
      </c>
      <c r="G150" s="1093">
        <v>722</v>
      </c>
      <c r="H150" s="1093">
        <v>595</v>
      </c>
      <c r="I150" s="1093">
        <v>346</v>
      </c>
      <c r="J150" s="1093">
        <v>101</v>
      </c>
      <c r="K150" s="1093">
        <v>18</v>
      </c>
      <c r="L150" s="1093">
        <v>0</v>
      </c>
      <c r="M150" s="1095">
        <v>1940</v>
      </c>
      <c r="N150" s="1095">
        <v>3000</v>
      </c>
      <c r="O150" s="1094" t="s">
        <v>1313</v>
      </c>
      <c r="P150" s="1094"/>
      <c r="Q150" s="1094"/>
      <c r="R150" s="1094"/>
      <c r="S150" s="1094"/>
      <c r="T150" s="1053"/>
    </row>
    <row r="151" spans="1:20" x14ac:dyDescent="0.35">
      <c r="A151" s="1048" t="s">
        <v>1331</v>
      </c>
      <c r="B151" s="1049" t="s">
        <v>1332</v>
      </c>
      <c r="C151" s="1093">
        <v>0</v>
      </c>
      <c r="D151" s="1093">
        <v>8</v>
      </c>
      <c r="E151" s="1093">
        <v>26</v>
      </c>
      <c r="F151" s="1093">
        <v>41</v>
      </c>
      <c r="G151" s="1093">
        <v>38</v>
      </c>
      <c r="H151" s="1093">
        <v>22</v>
      </c>
      <c r="I151" s="1093">
        <v>11</v>
      </c>
      <c r="J151" s="1093">
        <v>4</v>
      </c>
      <c r="K151" s="1093">
        <v>0</v>
      </c>
      <c r="L151" s="1093">
        <v>0</v>
      </c>
      <c r="M151" s="1093">
        <v>113</v>
      </c>
      <c r="N151" s="1093">
        <v>150</v>
      </c>
      <c r="O151" s="1094" t="s">
        <v>1313</v>
      </c>
      <c r="P151" s="1094"/>
      <c r="Q151" s="1094"/>
      <c r="R151" s="1094"/>
      <c r="S151" s="1094"/>
      <c r="T151" s="1053"/>
    </row>
    <row r="152" spans="1:20" ht="24" customHeight="1" x14ac:dyDescent="0.35">
      <c r="A152" s="1065" t="s">
        <v>1333</v>
      </c>
      <c r="B152" s="1066" t="s">
        <v>1334</v>
      </c>
      <c r="C152" s="1100">
        <v>0</v>
      </c>
      <c r="D152" s="1101">
        <v>77</v>
      </c>
      <c r="E152" s="1101">
        <v>232</v>
      </c>
      <c r="F152" s="1101">
        <v>341</v>
      </c>
      <c r="G152" s="1101">
        <v>496</v>
      </c>
      <c r="H152" s="1101">
        <v>310</v>
      </c>
      <c r="I152" s="1101">
        <v>47</v>
      </c>
      <c r="J152" s="1101">
        <v>31</v>
      </c>
      <c r="K152" s="1101">
        <v>15</v>
      </c>
      <c r="L152" s="1101">
        <v>1</v>
      </c>
      <c r="M152" s="1102">
        <v>1146</v>
      </c>
      <c r="N152" s="1102">
        <v>1550</v>
      </c>
      <c r="O152" s="1103" t="s">
        <v>1335</v>
      </c>
      <c r="P152" s="1110"/>
      <c r="Q152" s="1110"/>
      <c r="R152" s="1110"/>
      <c r="S152" s="1110"/>
      <c r="T152" s="1053" t="s">
        <v>1336</v>
      </c>
    </row>
    <row r="153" spans="1:20" ht="30" customHeight="1" x14ac:dyDescent="0.35">
      <c r="A153" s="1048" t="s">
        <v>1337</v>
      </c>
      <c r="B153" s="1049" t="s">
        <v>1338</v>
      </c>
      <c r="C153" s="1104">
        <v>0</v>
      </c>
      <c r="D153" s="1104">
        <v>264</v>
      </c>
      <c r="E153" s="1104">
        <v>715</v>
      </c>
      <c r="F153" s="1104">
        <v>1393</v>
      </c>
      <c r="G153" s="1104">
        <v>2492</v>
      </c>
      <c r="H153" s="1104">
        <v>3364</v>
      </c>
      <c r="I153" s="1104">
        <v>3209</v>
      </c>
      <c r="J153" s="1104">
        <v>2750</v>
      </c>
      <c r="K153" s="1104">
        <v>1783</v>
      </c>
      <c r="L153" s="1104">
        <v>744</v>
      </c>
      <c r="M153" s="1105">
        <v>4864</v>
      </c>
      <c r="N153" s="1105">
        <v>16714</v>
      </c>
      <c r="O153" s="1111" t="s">
        <v>52</v>
      </c>
      <c r="P153" s="1111"/>
      <c r="Q153" s="1111"/>
      <c r="R153" s="1111"/>
      <c r="S153" s="1111"/>
      <c r="T153" s="1112" t="s">
        <v>1339</v>
      </c>
    </row>
    <row r="154" spans="1:20" x14ac:dyDescent="0.35">
      <c r="A154" s="1048" t="s">
        <v>1340</v>
      </c>
      <c r="B154" s="1049" t="s">
        <v>1341</v>
      </c>
      <c r="C154" s="1113">
        <v>0</v>
      </c>
      <c r="D154" s="1113">
        <v>0</v>
      </c>
      <c r="E154" s="1113">
        <v>50</v>
      </c>
      <c r="F154" s="1113">
        <v>270</v>
      </c>
      <c r="G154" s="1113">
        <v>680</v>
      </c>
      <c r="H154" s="1113">
        <v>850</v>
      </c>
      <c r="I154" s="1113">
        <v>730</v>
      </c>
      <c r="J154" s="1113">
        <v>485</v>
      </c>
      <c r="K154" s="1113">
        <v>285</v>
      </c>
      <c r="L154" s="1113">
        <v>145</v>
      </c>
      <c r="M154" s="1114">
        <v>1000</v>
      </c>
      <c r="N154" s="1114">
        <v>3495</v>
      </c>
      <c r="O154" s="1115" t="s">
        <v>52</v>
      </c>
      <c r="P154" s="1115"/>
      <c r="Q154" s="1115"/>
      <c r="R154" s="1115"/>
      <c r="S154" s="1115"/>
      <c r="T154" s="1116" t="s">
        <v>1342</v>
      </c>
    </row>
    <row r="155" spans="1:20" x14ac:dyDescent="0.35">
      <c r="A155" s="1048" t="s">
        <v>1343</v>
      </c>
      <c r="B155" s="1049" t="s">
        <v>1344</v>
      </c>
      <c r="C155" s="1113">
        <v>0</v>
      </c>
      <c r="D155" s="1113">
        <v>5</v>
      </c>
      <c r="E155" s="1113">
        <v>5</v>
      </c>
      <c r="F155" s="1113">
        <v>10</v>
      </c>
      <c r="G155" s="1113">
        <v>25</v>
      </c>
      <c r="H155" s="1113">
        <v>70</v>
      </c>
      <c r="I155" s="1113">
        <v>175</v>
      </c>
      <c r="J155" s="1113">
        <v>385</v>
      </c>
      <c r="K155" s="1113">
        <v>460</v>
      </c>
      <c r="L155" s="1113">
        <v>325</v>
      </c>
      <c r="M155" s="1113">
        <v>45</v>
      </c>
      <c r="N155" s="1114">
        <v>1460</v>
      </c>
      <c r="O155" s="1117" t="s">
        <v>52</v>
      </c>
      <c r="P155" s="1117"/>
      <c r="Q155" s="1117"/>
      <c r="R155" s="1117"/>
      <c r="S155" s="1117"/>
      <c r="T155" s="1116" t="s">
        <v>1345</v>
      </c>
    </row>
    <row r="156" spans="1:20" x14ac:dyDescent="0.35">
      <c r="A156" s="1065" t="s">
        <v>1346</v>
      </c>
      <c r="B156" s="1066" t="s">
        <v>1347</v>
      </c>
      <c r="C156" s="1113">
        <v>0</v>
      </c>
      <c r="D156" s="1113">
        <v>6</v>
      </c>
      <c r="E156" s="1113">
        <v>8</v>
      </c>
      <c r="F156" s="1113">
        <v>1</v>
      </c>
      <c r="G156" s="1113">
        <v>0</v>
      </c>
      <c r="H156" s="1113">
        <v>0</v>
      </c>
      <c r="I156" s="1113">
        <v>0</v>
      </c>
      <c r="J156" s="1113">
        <v>0</v>
      </c>
      <c r="K156" s="1113">
        <v>0</v>
      </c>
      <c r="L156" s="1113">
        <v>0</v>
      </c>
      <c r="M156" s="1113">
        <v>15</v>
      </c>
      <c r="N156" s="1113">
        <v>15</v>
      </c>
      <c r="O156" s="1117" t="s">
        <v>52</v>
      </c>
      <c r="P156" s="1117"/>
      <c r="Q156" s="1117"/>
      <c r="R156" s="1117"/>
      <c r="S156" s="1117"/>
      <c r="T156" s="1116" t="s">
        <v>1348</v>
      </c>
    </row>
    <row r="157" spans="1:20" ht="24" customHeight="1" x14ac:dyDescent="0.35">
      <c r="A157" s="1048" t="s">
        <v>1349</v>
      </c>
      <c r="B157" s="1049" t="s">
        <v>1350</v>
      </c>
      <c r="C157" s="1113">
        <v>0</v>
      </c>
      <c r="D157" s="1113">
        <v>5</v>
      </c>
      <c r="E157" s="1113">
        <v>41</v>
      </c>
      <c r="F157" s="1113">
        <v>116</v>
      </c>
      <c r="G157" s="1113">
        <v>284</v>
      </c>
      <c r="H157" s="1113">
        <v>417</v>
      </c>
      <c r="I157" s="1113">
        <v>459</v>
      </c>
      <c r="J157" s="1113">
        <v>355</v>
      </c>
      <c r="K157" s="1113">
        <v>210</v>
      </c>
      <c r="L157" s="1113">
        <v>90</v>
      </c>
      <c r="M157" s="1113">
        <v>446</v>
      </c>
      <c r="N157" s="1114">
        <v>1977</v>
      </c>
      <c r="O157" s="1118" t="s">
        <v>52</v>
      </c>
      <c r="P157" s="1118"/>
      <c r="Q157" s="1118"/>
      <c r="R157" s="1118"/>
      <c r="S157" s="1118"/>
      <c r="T157" s="1119" t="s">
        <v>1351</v>
      </c>
    </row>
    <row r="158" spans="1:20" ht="24" customHeight="1" x14ac:dyDescent="0.35">
      <c r="A158" s="1048" t="s">
        <v>1352</v>
      </c>
      <c r="B158" s="1049" t="s">
        <v>1353</v>
      </c>
      <c r="C158" s="1113">
        <v>0</v>
      </c>
      <c r="D158" s="1113">
        <v>20</v>
      </c>
      <c r="E158" s="1113">
        <v>100</v>
      </c>
      <c r="F158" s="1113">
        <v>460</v>
      </c>
      <c r="G158" s="1114">
        <v>1070</v>
      </c>
      <c r="H158" s="1114">
        <v>1430</v>
      </c>
      <c r="I158" s="1114">
        <v>1110</v>
      </c>
      <c r="J158" s="1113">
        <v>660</v>
      </c>
      <c r="K158" s="1113">
        <v>300</v>
      </c>
      <c r="L158" s="1113">
        <v>100</v>
      </c>
      <c r="M158" s="1114">
        <v>1650</v>
      </c>
      <c r="N158" s="1114">
        <v>5250</v>
      </c>
      <c r="O158" s="1117" t="s">
        <v>52</v>
      </c>
      <c r="P158" s="1117"/>
      <c r="Q158" s="1117"/>
      <c r="R158" s="1117"/>
      <c r="S158" s="1117"/>
      <c r="T158" s="1116" t="s">
        <v>1354</v>
      </c>
    </row>
    <row r="159" spans="1:20" x14ac:dyDescent="0.35">
      <c r="A159" s="1048" t="s">
        <v>1355</v>
      </c>
      <c r="B159" s="1049" t="s">
        <v>1356</v>
      </c>
      <c r="C159" s="1131">
        <v>0</v>
      </c>
      <c r="D159" s="1131">
        <v>56</v>
      </c>
      <c r="E159" s="1131">
        <v>141</v>
      </c>
      <c r="F159" s="1131">
        <v>230</v>
      </c>
      <c r="G159" s="1131">
        <v>343</v>
      </c>
      <c r="H159" s="1131">
        <v>470</v>
      </c>
      <c r="I159" s="1131">
        <v>620</v>
      </c>
      <c r="J159" s="1131">
        <v>802</v>
      </c>
      <c r="K159" s="1131">
        <v>1024</v>
      </c>
      <c r="L159" s="1131">
        <v>1330</v>
      </c>
      <c r="M159" s="1131">
        <v>769</v>
      </c>
      <c r="N159" s="1131">
        <v>5015</v>
      </c>
      <c r="O159" s="1115" t="s">
        <v>52</v>
      </c>
      <c r="P159" s="1115"/>
      <c r="Q159" s="1115"/>
      <c r="R159" s="1115"/>
      <c r="S159" s="1115"/>
      <c r="T159" s="1053"/>
    </row>
    <row r="160" spans="1:20" x14ac:dyDescent="0.35">
      <c r="A160" s="1048" t="s">
        <v>1357</v>
      </c>
      <c r="B160" s="1049" t="s">
        <v>1358</v>
      </c>
      <c r="C160" s="1113"/>
      <c r="D160" s="1113"/>
      <c r="E160" s="1113"/>
      <c r="F160" s="1113"/>
      <c r="G160" s="1113"/>
      <c r="H160" s="1113"/>
      <c r="I160" s="1113"/>
      <c r="J160" s="1113"/>
      <c r="K160" s="1113"/>
      <c r="L160" s="1113"/>
      <c r="M160" s="1113"/>
      <c r="N160" s="1114"/>
      <c r="O160" s="1118"/>
      <c r="P160" s="1118"/>
      <c r="Q160" s="1118"/>
      <c r="R160" s="1118"/>
      <c r="S160" s="1118"/>
      <c r="T160" s="1053"/>
    </row>
    <row r="161" spans="1:21" x14ac:dyDescent="0.35">
      <c r="A161" s="1048" t="s">
        <v>1359</v>
      </c>
      <c r="B161" s="1049" t="s">
        <v>1360</v>
      </c>
      <c r="C161" s="1113"/>
      <c r="D161" s="1113"/>
      <c r="E161" s="1113"/>
      <c r="F161" s="1113"/>
      <c r="G161" s="1113"/>
      <c r="H161" s="1113"/>
      <c r="I161" s="1113"/>
      <c r="J161" s="1113"/>
      <c r="K161" s="1113"/>
      <c r="L161" s="1113"/>
      <c r="M161" s="1113"/>
      <c r="N161" s="1114"/>
      <c r="O161" s="1132"/>
      <c r="P161" s="1132"/>
      <c r="Q161" s="1132"/>
      <c r="R161" s="1132"/>
      <c r="S161" s="1132"/>
      <c r="T161" s="1133"/>
    </row>
    <row r="162" spans="1:21" x14ac:dyDescent="0.35">
      <c r="A162" s="1048" t="s">
        <v>1361</v>
      </c>
      <c r="B162" s="1049" t="s">
        <v>1362</v>
      </c>
      <c r="C162" s="1113">
        <v>0</v>
      </c>
      <c r="D162" s="1113">
        <v>20</v>
      </c>
      <c r="E162" s="1113">
        <v>70</v>
      </c>
      <c r="F162" s="1113">
        <v>130</v>
      </c>
      <c r="G162" s="1113">
        <v>155</v>
      </c>
      <c r="H162" s="1113">
        <v>155</v>
      </c>
      <c r="I162" s="1113">
        <v>155</v>
      </c>
      <c r="J162" s="1113">
        <v>135</v>
      </c>
      <c r="K162" s="1113">
        <v>80</v>
      </c>
      <c r="L162" s="1113">
        <v>20</v>
      </c>
      <c r="M162" s="1113">
        <v>375</v>
      </c>
      <c r="N162" s="1113">
        <v>920</v>
      </c>
      <c r="O162" s="1117" t="s">
        <v>52</v>
      </c>
      <c r="P162" s="1117"/>
      <c r="Q162" s="1117"/>
      <c r="R162" s="1117"/>
      <c r="S162" s="1117"/>
      <c r="T162" s="1053"/>
    </row>
    <row r="163" spans="1:21" x14ac:dyDescent="0.35">
      <c r="A163" s="1065" t="s">
        <v>1363</v>
      </c>
      <c r="B163" s="1066" t="s">
        <v>1364</v>
      </c>
      <c r="C163" s="1113">
        <v>0</v>
      </c>
      <c r="D163" s="1113">
        <v>15</v>
      </c>
      <c r="E163" s="1113">
        <v>12</v>
      </c>
      <c r="F163" s="1113">
        <v>8</v>
      </c>
      <c r="G163" s="1113">
        <v>4</v>
      </c>
      <c r="H163" s="1113">
        <v>0</v>
      </c>
      <c r="I163" s="1113">
        <v>0</v>
      </c>
      <c r="J163" s="1113">
        <v>0</v>
      </c>
      <c r="K163" s="1113">
        <v>0</v>
      </c>
      <c r="L163" s="1113">
        <v>0</v>
      </c>
      <c r="M163" s="1113">
        <v>39</v>
      </c>
      <c r="N163" s="1113">
        <v>39</v>
      </c>
      <c r="O163" s="1117" t="s">
        <v>52</v>
      </c>
      <c r="P163" s="1117"/>
      <c r="Q163" s="1117"/>
      <c r="R163" s="1117"/>
      <c r="S163" s="1117"/>
      <c r="T163" s="1053"/>
    </row>
    <row r="164" spans="1:21" x14ac:dyDescent="0.35">
      <c r="A164" s="1048" t="s">
        <v>1365</v>
      </c>
      <c r="B164" s="1049" t="s">
        <v>1366</v>
      </c>
      <c r="C164" s="1134">
        <v>0</v>
      </c>
      <c r="D164" s="1134">
        <v>25</v>
      </c>
      <c r="E164" s="1134">
        <v>100</v>
      </c>
      <c r="F164" s="1134">
        <v>125</v>
      </c>
      <c r="G164" s="1134">
        <v>100</v>
      </c>
      <c r="H164" s="1134">
        <v>75</v>
      </c>
      <c r="I164" s="1134">
        <v>30</v>
      </c>
      <c r="J164" s="1134">
        <v>20</v>
      </c>
      <c r="K164" s="1134">
        <v>0</v>
      </c>
      <c r="L164" s="1134">
        <v>0</v>
      </c>
      <c r="M164" s="1134">
        <v>350</v>
      </c>
      <c r="N164" s="1134">
        <v>475</v>
      </c>
      <c r="O164" s="1135" t="s">
        <v>52</v>
      </c>
      <c r="P164" s="1135"/>
      <c r="Q164" s="1135"/>
      <c r="R164" s="1135"/>
      <c r="S164" s="1135"/>
      <c r="T164" s="1053"/>
    </row>
    <row r="165" spans="1:21" x14ac:dyDescent="0.35">
      <c r="A165" s="42"/>
      <c r="B165" s="17"/>
      <c r="C165" s="58"/>
      <c r="D165" s="58"/>
      <c r="E165" s="58"/>
      <c r="F165" s="58"/>
      <c r="G165" s="58"/>
      <c r="H165" s="58"/>
      <c r="I165" s="58"/>
      <c r="J165" s="58"/>
      <c r="K165" s="58"/>
      <c r="L165" s="58"/>
      <c r="M165" s="58"/>
      <c r="N165" s="58"/>
      <c r="O165" s="42"/>
      <c r="P165" s="42"/>
      <c r="Q165" s="42"/>
      <c r="R165" s="42"/>
      <c r="S165" s="42"/>
      <c r="T165" s="17"/>
    </row>
    <row r="167" spans="1:21" x14ac:dyDescent="0.35">
      <c r="A167" s="43" t="s">
        <v>1374</v>
      </c>
    </row>
    <row r="168" spans="1:21" x14ac:dyDescent="0.35">
      <c r="A168" s="1136"/>
      <c r="B168" s="1136"/>
      <c r="C168" s="1120"/>
      <c r="D168" s="1120">
        <v>2022</v>
      </c>
      <c r="E168" s="1120">
        <v>2023</v>
      </c>
      <c r="F168" s="1120">
        <v>2024</v>
      </c>
      <c r="G168" s="1120">
        <v>2025</v>
      </c>
      <c r="H168" s="1120">
        <v>2026</v>
      </c>
      <c r="I168" s="1120">
        <v>2027</v>
      </c>
      <c r="J168" s="1120">
        <v>2028</v>
      </c>
      <c r="K168" s="1120">
        <v>2029</v>
      </c>
      <c r="L168" s="1120">
        <v>2030</v>
      </c>
      <c r="M168" s="1121">
        <v>2031</v>
      </c>
      <c r="N168" s="1122" t="s">
        <v>1367</v>
      </c>
      <c r="O168" s="1122" t="s">
        <v>1368</v>
      </c>
      <c r="P168" s="1107"/>
      <c r="Q168" s="1107"/>
      <c r="R168" s="1107"/>
      <c r="S168" s="1107"/>
      <c r="U168" s="49"/>
    </row>
    <row r="169" spans="1:21" x14ac:dyDescent="0.35">
      <c r="A169" s="1137" t="s">
        <v>1369</v>
      </c>
      <c r="B169" s="1137"/>
      <c r="C169" s="1143"/>
      <c r="D169" s="1143">
        <f t="shared" ref="D169:O169" si="9">D78/1000</f>
        <v>0</v>
      </c>
      <c r="E169" s="1143">
        <f t="shared" si="9"/>
        <v>6.8000000000000005E-2</v>
      </c>
      <c r="F169" s="1143">
        <f t="shared" si="9"/>
        <v>1.363</v>
      </c>
      <c r="G169" s="1143">
        <f t="shared" si="9"/>
        <v>2.4329999999999998</v>
      </c>
      <c r="H169" s="1143">
        <f t="shared" si="9"/>
        <v>2.8029999999999999</v>
      </c>
      <c r="I169" s="1143">
        <f t="shared" si="9"/>
        <v>1.7410000000000001</v>
      </c>
      <c r="J169" s="1143">
        <f t="shared" si="9"/>
        <v>0.56999999999999995</v>
      </c>
      <c r="K169" s="1143">
        <f t="shared" si="9"/>
        <v>3.5000000000000003E-2</v>
      </c>
      <c r="L169" s="1143">
        <f t="shared" si="9"/>
        <v>0</v>
      </c>
      <c r="M169" s="1143">
        <f t="shared" si="9"/>
        <v>0</v>
      </c>
      <c r="N169" s="1143">
        <f t="shared" si="9"/>
        <v>6.6669999999999998</v>
      </c>
      <c r="O169" s="1143">
        <f t="shared" si="9"/>
        <v>9.0129999999999999</v>
      </c>
      <c r="P169" s="1143"/>
      <c r="Q169" s="1143"/>
      <c r="R169" s="1143"/>
      <c r="S169" s="1143"/>
      <c r="U169" s="49"/>
    </row>
    <row r="170" spans="1:21" x14ac:dyDescent="0.35">
      <c r="A170" s="1137" t="s">
        <v>1370</v>
      </c>
      <c r="B170" s="1137"/>
      <c r="C170" s="1143"/>
      <c r="D170" s="1143">
        <f t="shared" ref="D170:O170" si="10">(D77+D70)/1000</f>
        <v>0</v>
      </c>
      <c r="E170" s="1143">
        <f t="shared" si="10"/>
        <v>0.81899999999999995</v>
      </c>
      <c r="F170" s="1143">
        <f t="shared" si="10"/>
        <v>2.4780000000000002</v>
      </c>
      <c r="G170" s="1143">
        <f t="shared" si="10"/>
        <v>4.0720000000000001</v>
      </c>
      <c r="H170" s="1143">
        <f t="shared" si="10"/>
        <v>5.4480000000000004</v>
      </c>
      <c r="I170" s="1143">
        <f t="shared" si="10"/>
        <v>4.8289999999999997</v>
      </c>
      <c r="J170" s="1143">
        <f t="shared" si="10"/>
        <v>3.2949999999999999</v>
      </c>
      <c r="K170" s="1143">
        <f t="shared" si="10"/>
        <v>1.98</v>
      </c>
      <c r="L170" s="1143">
        <f t="shared" si="10"/>
        <v>1.01</v>
      </c>
      <c r="M170" s="1143">
        <f t="shared" si="10"/>
        <v>0.40400000000000003</v>
      </c>
      <c r="N170" s="1143">
        <f t="shared" si="10"/>
        <v>12.817</v>
      </c>
      <c r="O170" s="1143">
        <f t="shared" si="10"/>
        <v>24.335000000000001</v>
      </c>
      <c r="P170" s="1143"/>
      <c r="Q170" s="1143"/>
      <c r="R170" s="1143"/>
      <c r="S170" s="1143"/>
      <c r="U170" s="49"/>
    </row>
    <row r="171" spans="1:21" x14ac:dyDescent="0.35">
      <c r="A171" s="1137" t="s">
        <v>1371</v>
      </c>
      <c r="B171" s="1137"/>
      <c r="C171" s="1143"/>
      <c r="D171" s="1143">
        <f t="shared" ref="D171:O171" si="11">(D69+D76)/1000</f>
        <v>0</v>
      </c>
      <c r="E171" s="1143">
        <f t="shared" si="11"/>
        <v>4.5430000000000001</v>
      </c>
      <c r="F171" s="1143">
        <f t="shared" si="11"/>
        <v>5.6079999999999997</v>
      </c>
      <c r="G171" s="1143">
        <f t="shared" si="11"/>
        <v>8.16</v>
      </c>
      <c r="H171" s="1143">
        <f t="shared" si="11"/>
        <v>10.069000000000001</v>
      </c>
      <c r="I171" s="1143">
        <f t="shared" si="11"/>
        <v>12.026999999999999</v>
      </c>
      <c r="J171" s="1143">
        <f t="shared" si="11"/>
        <v>13.826000000000001</v>
      </c>
      <c r="K171" s="1143">
        <f t="shared" si="11"/>
        <v>15.862</v>
      </c>
      <c r="L171" s="1143">
        <f t="shared" si="11"/>
        <v>17.890999999999998</v>
      </c>
      <c r="M171" s="1143">
        <f t="shared" si="11"/>
        <v>17.481000000000002</v>
      </c>
      <c r="N171" s="1143">
        <f t="shared" si="11"/>
        <v>28.38</v>
      </c>
      <c r="O171" s="1143">
        <f t="shared" si="11"/>
        <v>105.467</v>
      </c>
      <c r="P171" s="1143"/>
      <c r="Q171" s="1143"/>
      <c r="R171" s="1143"/>
      <c r="S171" s="1143"/>
      <c r="U171" s="49"/>
    </row>
    <row r="172" spans="1:21" x14ac:dyDescent="0.35">
      <c r="A172" s="1138" t="s">
        <v>52</v>
      </c>
      <c r="B172" s="1138"/>
      <c r="C172" s="1143"/>
      <c r="D172" s="1143">
        <f t="shared" ref="D172:O172" si="12">(D79+D74)/1000</f>
        <v>0</v>
      </c>
      <c r="E172" s="1143">
        <f t="shared" si="12"/>
        <v>1.2969999999999999</v>
      </c>
      <c r="F172" s="1143">
        <f t="shared" si="12"/>
        <v>3.8479999999999999</v>
      </c>
      <c r="G172" s="1143">
        <f t="shared" si="12"/>
        <v>6.4420000000000002</v>
      </c>
      <c r="H172" s="1143">
        <f t="shared" si="12"/>
        <v>9.532</v>
      </c>
      <c r="I172" s="1143">
        <f t="shared" si="12"/>
        <v>11.882</v>
      </c>
      <c r="J172" s="1143">
        <f t="shared" si="12"/>
        <v>11.727</v>
      </c>
      <c r="K172" s="1143">
        <f t="shared" si="12"/>
        <v>10.569000000000001</v>
      </c>
      <c r="L172" s="1143">
        <f t="shared" si="12"/>
        <v>8.8879999999999999</v>
      </c>
      <c r="M172" s="1143">
        <f t="shared" si="12"/>
        <v>7.1890000000000001</v>
      </c>
      <c r="N172" s="1143">
        <f t="shared" si="12"/>
        <v>21.117000000000001</v>
      </c>
      <c r="O172" s="1143">
        <f t="shared" si="12"/>
        <v>71.372</v>
      </c>
      <c r="P172" s="1143"/>
      <c r="Q172" s="1143"/>
      <c r="R172" s="1143"/>
      <c r="S172" s="1143"/>
      <c r="U172" s="49"/>
    </row>
    <row r="173" spans="1:21" x14ac:dyDescent="0.35">
      <c r="A173" s="1139" t="s">
        <v>527</v>
      </c>
      <c r="B173" s="1139"/>
      <c r="C173" s="1143"/>
      <c r="D173" s="1143"/>
      <c r="E173" s="1143"/>
      <c r="F173" s="1143"/>
      <c r="G173" s="1143"/>
      <c r="H173" s="1143"/>
      <c r="I173" s="1143"/>
      <c r="J173" s="1143"/>
      <c r="K173" s="1143"/>
      <c r="L173" s="1143"/>
      <c r="M173" s="1143"/>
      <c r="N173" s="1143"/>
      <c r="O173" s="1143"/>
      <c r="P173" s="1143"/>
      <c r="Q173" s="1143"/>
      <c r="R173" s="1143"/>
      <c r="S173" s="1143"/>
      <c r="U173" s="49"/>
    </row>
    <row r="174" spans="1:21" x14ac:dyDescent="0.35">
      <c r="A174" s="1140" t="s">
        <v>54</v>
      </c>
      <c r="B174" s="1140"/>
      <c r="C174" s="1143"/>
      <c r="D174" s="1143">
        <f t="shared" ref="D174:O174" si="13">D71/1000</f>
        <v>0</v>
      </c>
      <c r="E174" s="1143">
        <f t="shared" si="13"/>
        <v>0.11</v>
      </c>
      <c r="F174" s="1143">
        <f t="shared" si="13"/>
        <v>0.73899999999999999</v>
      </c>
      <c r="G174" s="1143">
        <f t="shared" si="13"/>
        <v>1.1950000000000001</v>
      </c>
      <c r="H174" s="1143">
        <f t="shared" si="13"/>
        <v>1.4970000000000001</v>
      </c>
      <c r="I174" s="1143">
        <f t="shared" si="13"/>
        <v>1.91</v>
      </c>
      <c r="J174" s="1143">
        <f t="shared" si="13"/>
        <v>2.4049999999999998</v>
      </c>
      <c r="K174" s="1143">
        <f t="shared" si="13"/>
        <v>2.9220000000000002</v>
      </c>
      <c r="L174" s="1143">
        <f t="shared" si="13"/>
        <v>3.4630000000000001</v>
      </c>
      <c r="M174" s="1143">
        <f t="shared" si="13"/>
        <v>4.0069999999999997</v>
      </c>
      <c r="N174" s="1143">
        <f t="shared" si="13"/>
        <v>3.5409999999999999</v>
      </c>
      <c r="O174" s="1143">
        <f t="shared" si="13"/>
        <v>18.248000000000001</v>
      </c>
      <c r="P174" s="1143"/>
      <c r="Q174" s="1143"/>
      <c r="R174" s="1143"/>
      <c r="S174" s="1143"/>
      <c r="U174" s="49"/>
    </row>
    <row r="175" spans="1:21" x14ac:dyDescent="0.35">
      <c r="A175" s="1140" t="s">
        <v>1372</v>
      </c>
      <c r="B175" s="1140"/>
      <c r="C175" s="1143"/>
      <c r="D175" s="1143">
        <f t="shared" ref="D175:O175" si="14">D72/1000</f>
        <v>0</v>
      </c>
      <c r="E175" s="1143">
        <f t="shared" si="14"/>
        <v>-0.41499999999999998</v>
      </c>
      <c r="F175" s="1143">
        <f t="shared" si="14"/>
        <v>2.7679999999999998</v>
      </c>
      <c r="G175" s="1143">
        <f t="shared" si="14"/>
        <v>-12.473000000000001</v>
      </c>
      <c r="H175" s="1143">
        <f t="shared" si="14"/>
        <v>-5.3739999999999997</v>
      </c>
      <c r="I175" s="1143">
        <f t="shared" si="14"/>
        <v>-25.515000000000001</v>
      </c>
      <c r="J175" s="1143">
        <f t="shared" si="14"/>
        <v>-43.975000000000001</v>
      </c>
      <c r="K175" s="1143">
        <f t="shared" si="14"/>
        <v>-46.426000000000002</v>
      </c>
      <c r="L175" s="1143">
        <f t="shared" si="14"/>
        <v>-56.228000000000002</v>
      </c>
      <c r="M175" s="1143">
        <f t="shared" si="14"/>
        <v>-60.581000000000003</v>
      </c>
      <c r="N175" s="1143">
        <f t="shared" si="14"/>
        <v>-15.494</v>
      </c>
      <c r="O175" s="1143">
        <f t="shared" si="14"/>
        <v>-248.21899999999999</v>
      </c>
      <c r="P175" s="1143"/>
      <c r="Q175" s="1143"/>
      <c r="R175" s="1143"/>
      <c r="S175" s="1143"/>
      <c r="U175" s="49"/>
    </row>
    <row r="176" spans="1:21" x14ac:dyDescent="0.35">
      <c r="A176" s="1141" t="s">
        <v>57</v>
      </c>
      <c r="B176" s="1141"/>
      <c r="C176" s="1143"/>
      <c r="D176" s="1143">
        <f t="shared" ref="D176:O176" si="15">(D80+D73)/1000</f>
        <v>-0.622</v>
      </c>
      <c r="E176" s="1143">
        <f t="shared" si="15"/>
        <v>21.89</v>
      </c>
      <c r="F176" s="1143">
        <f t="shared" si="15"/>
        <v>15.439</v>
      </c>
      <c r="G176" s="1143">
        <f t="shared" si="15"/>
        <v>16.966999999999999</v>
      </c>
      <c r="H176" s="1143">
        <f t="shared" si="15"/>
        <v>0.72799999999999998</v>
      </c>
      <c r="I176" s="1143">
        <f t="shared" si="15"/>
        <v>7.657</v>
      </c>
      <c r="J176" s="1143">
        <f t="shared" si="15"/>
        <v>4.5590000000000002</v>
      </c>
      <c r="K176" s="1143">
        <f t="shared" si="15"/>
        <v>2.4649999999999999</v>
      </c>
      <c r="L176" s="1143">
        <f t="shared" si="15"/>
        <v>1.444</v>
      </c>
      <c r="M176" s="1143">
        <f t="shared" si="15"/>
        <v>0.77300000000000002</v>
      </c>
      <c r="N176" s="1143">
        <f t="shared" si="15"/>
        <v>54.402000000000001</v>
      </c>
      <c r="O176" s="1143">
        <f t="shared" si="15"/>
        <v>71.3</v>
      </c>
      <c r="P176" s="1143"/>
      <c r="Q176" s="1143"/>
      <c r="R176" s="1143"/>
      <c r="S176" s="1143"/>
      <c r="U176" s="49"/>
    </row>
    <row r="177" spans="1:21" x14ac:dyDescent="0.35">
      <c r="A177" s="1142" t="s">
        <v>1428</v>
      </c>
      <c r="B177" s="1142"/>
      <c r="C177" s="1143"/>
      <c r="D177" s="1130">
        <f t="shared" ref="D177:O177" si="16">D84/1000</f>
        <v>0</v>
      </c>
      <c r="E177" s="1130">
        <f t="shared" si="16"/>
        <v>-3.1549999999999998</v>
      </c>
      <c r="F177" s="1130">
        <f t="shared" si="16"/>
        <v>-2.2309999999999999</v>
      </c>
      <c r="G177" s="1130">
        <f t="shared" si="16"/>
        <v>-1.6080000000000001</v>
      </c>
      <c r="H177" s="1130">
        <f t="shared" si="16"/>
        <v>-0.77</v>
      </c>
      <c r="I177" s="1130">
        <f t="shared" si="16"/>
        <v>-0.98299999999999998</v>
      </c>
      <c r="J177" s="1130">
        <f t="shared" si="16"/>
        <v>-1.2110000000000001</v>
      </c>
      <c r="K177" s="1130">
        <f t="shared" si="16"/>
        <v>-1.4710000000000001</v>
      </c>
      <c r="L177" s="1130">
        <f t="shared" si="16"/>
        <v>-1.81</v>
      </c>
      <c r="M177" s="1130">
        <f t="shared" si="16"/>
        <v>-2.3250000000000002</v>
      </c>
      <c r="N177" s="1130">
        <f t="shared" si="16"/>
        <v>-7.7670000000000003</v>
      </c>
      <c r="O177" s="1130">
        <f t="shared" si="16"/>
        <v>-15.566000000000001</v>
      </c>
      <c r="P177" s="1130"/>
      <c r="Q177" s="1130"/>
      <c r="R177" s="1130"/>
      <c r="S177" s="1130"/>
      <c r="U177" s="49"/>
    </row>
    <row r="178" spans="1:21" x14ac:dyDescent="0.35">
      <c r="A178" s="1142" t="s">
        <v>239</v>
      </c>
      <c r="B178" s="1142"/>
      <c r="C178" s="1143"/>
      <c r="D178" s="1130">
        <f t="shared" ref="D178:O178" si="17">D85/1000</f>
        <v>0</v>
      </c>
      <c r="E178" s="1130">
        <f t="shared" si="17"/>
        <v>0.45200000000000001</v>
      </c>
      <c r="F178" s="1130">
        <f t="shared" si="17"/>
        <v>-8.67</v>
      </c>
      <c r="G178" s="1130">
        <f t="shared" si="17"/>
        <v>-4.5270000000000001</v>
      </c>
      <c r="H178" s="1130">
        <f t="shared" si="17"/>
        <v>-0.70499999999999996</v>
      </c>
      <c r="I178" s="1130">
        <f t="shared" si="17"/>
        <v>15.813000000000001</v>
      </c>
      <c r="J178" s="1130">
        <f t="shared" si="17"/>
        <v>20.372</v>
      </c>
      <c r="K178" s="1130">
        <f t="shared" si="17"/>
        <v>24.847000000000001</v>
      </c>
      <c r="L178" s="1130">
        <f t="shared" si="17"/>
        <v>28.113</v>
      </c>
      <c r="M178" s="1130">
        <f t="shared" si="17"/>
        <v>24.777000000000001</v>
      </c>
      <c r="N178" s="1130">
        <f t="shared" si="17"/>
        <v>-13.451000000000001</v>
      </c>
      <c r="O178" s="1130">
        <f t="shared" si="17"/>
        <v>100.468</v>
      </c>
      <c r="P178" s="1130"/>
      <c r="Q178" s="1130"/>
      <c r="R178" s="1130"/>
      <c r="S178" s="1130"/>
      <c r="U178" s="49"/>
    </row>
    <row r="179" spans="1:21" x14ac:dyDescent="0.35">
      <c r="A179" s="1142" t="s">
        <v>106</v>
      </c>
      <c r="B179" s="1142"/>
      <c r="C179" s="1143"/>
      <c r="D179" s="1130">
        <f t="shared" ref="D179:O179" si="18">D83/1000</f>
        <v>0</v>
      </c>
      <c r="E179" s="1130">
        <f t="shared" si="18"/>
        <v>35.317</v>
      </c>
      <c r="F179" s="1130">
        <f t="shared" si="18"/>
        <v>36.033000000000001</v>
      </c>
      <c r="G179" s="1130">
        <f t="shared" si="18"/>
        <v>21.076000000000001</v>
      </c>
      <c r="H179" s="1130">
        <f t="shared" si="18"/>
        <v>13.346</v>
      </c>
      <c r="I179" s="1130">
        <f t="shared" si="18"/>
        <v>27.507999999999999</v>
      </c>
      <c r="J179" s="1130">
        <f t="shared" si="18"/>
        <v>35.85</v>
      </c>
      <c r="K179" s="1130">
        <f t="shared" si="18"/>
        <v>18.64</v>
      </c>
      <c r="L179" s="1130">
        <f t="shared" si="18"/>
        <v>8.3940000000000001</v>
      </c>
      <c r="M179" s="1130">
        <f t="shared" si="18"/>
        <v>7.9820000000000002</v>
      </c>
      <c r="N179" s="1130">
        <f t="shared" si="18"/>
        <v>105.76900000000001</v>
      </c>
      <c r="O179" s="1130">
        <f t="shared" si="18"/>
        <v>204.14400000000001</v>
      </c>
      <c r="P179" s="1130"/>
      <c r="Q179" s="1130"/>
      <c r="R179" s="1130"/>
      <c r="S179" s="1130"/>
      <c r="U179" s="49"/>
    </row>
    <row r="182" spans="1:21" x14ac:dyDescent="0.35">
      <c r="A182" s="43" t="s">
        <v>1373</v>
      </c>
    </row>
    <row r="183" spans="1:21" x14ac:dyDescent="0.35">
      <c r="A183" s="1136"/>
      <c r="B183" s="1136"/>
      <c r="C183" s="1136"/>
      <c r="D183" s="1136" t="s">
        <v>183</v>
      </c>
      <c r="E183" s="1136" t="s">
        <v>184</v>
      </c>
      <c r="F183" s="1136" t="s">
        <v>185</v>
      </c>
      <c r="G183" s="1136" t="s">
        <v>186</v>
      </c>
      <c r="H183" s="1136" t="s">
        <v>187</v>
      </c>
      <c r="I183" s="1136" t="s">
        <v>188</v>
      </c>
      <c r="J183" s="1136" t="s">
        <v>189</v>
      </c>
      <c r="K183" s="1136" t="s">
        <v>190</v>
      </c>
      <c r="L183" s="1136" t="s">
        <v>191</v>
      </c>
      <c r="M183" s="1136" t="s">
        <v>175</v>
      </c>
      <c r="N183" s="1136" t="s">
        <v>176</v>
      </c>
      <c r="O183" s="1136" t="s">
        <v>177</v>
      </c>
      <c r="P183" s="1136" t="s">
        <v>764</v>
      </c>
      <c r="Q183" s="1136" t="s">
        <v>765</v>
      </c>
      <c r="R183" s="1136" t="s">
        <v>766</v>
      </c>
      <c r="S183" s="1136" t="s">
        <v>1156</v>
      </c>
      <c r="U183" s="49"/>
    </row>
    <row r="184" spans="1:21" x14ac:dyDescent="0.35">
      <c r="A184" s="1137" t="s">
        <v>1369</v>
      </c>
      <c r="B184" s="1137"/>
      <c r="C184" s="1144"/>
      <c r="D184" s="1144">
        <f t="shared" ref="D184:D191" si="19">D169</f>
        <v>0</v>
      </c>
      <c r="E184" s="1144">
        <f>D184</f>
        <v>0</v>
      </c>
      <c r="F184" s="1144">
        <f t="shared" ref="F184:F191" si="20">E169</f>
        <v>6.8000000000000005E-2</v>
      </c>
      <c r="G184" s="1144">
        <f>F184</f>
        <v>6.8000000000000005E-2</v>
      </c>
      <c r="H184" s="1144">
        <f>G184</f>
        <v>6.8000000000000005E-2</v>
      </c>
      <c r="I184" s="1144">
        <f>H184</f>
        <v>6.8000000000000005E-2</v>
      </c>
      <c r="J184" s="1144">
        <f t="shared" ref="J184:J191" si="21">F169</f>
        <v>1.363</v>
      </c>
      <c r="K184" s="1144">
        <f t="shared" ref="K184:M191" si="22">J184</f>
        <v>1.363</v>
      </c>
      <c r="L184" s="1144">
        <f t="shared" si="22"/>
        <v>1.363</v>
      </c>
      <c r="M184" s="1144">
        <f>L184</f>
        <v>1.363</v>
      </c>
      <c r="N184" s="1144">
        <f>G169</f>
        <v>2.4329999999999998</v>
      </c>
      <c r="O184" s="1144">
        <f>N184</f>
        <v>2.4329999999999998</v>
      </c>
      <c r="P184" s="1144">
        <f t="shared" ref="P184:Q184" si="23">O184</f>
        <v>2.4329999999999998</v>
      </c>
      <c r="Q184" s="1144">
        <f t="shared" si="23"/>
        <v>2.4329999999999998</v>
      </c>
      <c r="R184" s="1144">
        <f>H169</f>
        <v>2.8029999999999999</v>
      </c>
      <c r="S184" s="1144">
        <f>R184</f>
        <v>2.8029999999999999</v>
      </c>
      <c r="U184" s="49"/>
    </row>
    <row r="185" spans="1:21" x14ac:dyDescent="0.35">
      <c r="A185" s="1137" t="s">
        <v>1370</v>
      </c>
      <c r="B185" s="1137"/>
      <c r="C185" s="1144"/>
      <c r="D185" s="1144">
        <f t="shared" si="19"/>
        <v>0</v>
      </c>
      <c r="E185" s="1144">
        <f t="shared" ref="E185:E191" si="24">D185</f>
        <v>0</v>
      </c>
      <c r="F185" s="1144">
        <f t="shared" si="20"/>
        <v>0.81899999999999995</v>
      </c>
      <c r="G185" s="1144">
        <f t="shared" ref="G185:I191" si="25">F185</f>
        <v>0.81899999999999995</v>
      </c>
      <c r="H185" s="1144">
        <f t="shared" si="25"/>
        <v>0.81899999999999995</v>
      </c>
      <c r="I185" s="1144">
        <f t="shared" si="25"/>
        <v>0.81899999999999995</v>
      </c>
      <c r="J185" s="1144">
        <f>F170</f>
        <v>2.4780000000000002</v>
      </c>
      <c r="K185" s="1144">
        <f t="shared" si="22"/>
        <v>2.4780000000000002</v>
      </c>
      <c r="L185" s="1144">
        <f t="shared" si="22"/>
        <v>2.4780000000000002</v>
      </c>
      <c r="M185" s="1144">
        <f>L185</f>
        <v>2.4780000000000002</v>
      </c>
      <c r="N185" s="1144">
        <f>G170</f>
        <v>4.0720000000000001</v>
      </c>
      <c r="O185" s="1144">
        <f>N185</f>
        <v>4.0720000000000001</v>
      </c>
      <c r="P185" s="1144">
        <f t="shared" ref="P185:Q194" si="26">O185</f>
        <v>4.0720000000000001</v>
      </c>
      <c r="Q185" s="1144">
        <f t="shared" si="26"/>
        <v>4.0720000000000001</v>
      </c>
      <c r="R185" s="1144">
        <f>H170</f>
        <v>5.4480000000000004</v>
      </c>
      <c r="S185" s="1144">
        <f t="shared" ref="S185:S194" si="27">R185</f>
        <v>5.4480000000000004</v>
      </c>
      <c r="U185" s="49"/>
    </row>
    <row r="186" spans="1:21" x14ac:dyDescent="0.35">
      <c r="A186" s="1137" t="s">
        <v>1371</v>
      </c>
      <c r="B186" s="1137"/>
      <c r="C186" s="1144"/>
      <c r="D186" s="1144">
        <f t="shared" si="19"/>
        <v>0</v>
      </c>
      <c r="E186" s="1144">
        <f t="shared" si="24"/>
        <v>0</v>
      </c>
      <c r="F186" s="1144">
        <f t="shared" si="20"/>
        <v>4.5430000000000001</v>
      </c>
      <c r="G186" s="1144">
        <f t="shared" si="25"/>
        <v>4.5430000000000001</v>
      </c>
      <c r="H186" s="1144">
        <f t="shared" si="25"/>
        <v>4.5430000000000001</v>
      </c>
      <c r="I186" s="1144">
        <f t="shared" si="25"/>
        <v>4.5430000000000001</v>
      </c>
      <c r="J186" s="1144">
        <f t="shared" si="21"/>
        <v>5.6079999999999997</v>
      </c>
      <c r="K186" s="1144">
        <f t="shared" si="22"/>
        <v>5.6079999999999997</v>
      </c>
      <c r="L186" s="1144">
        <f t="shared" si="22"/>
        <v>5.6079999999999997</v>
      </c>
      <c r="M186" s="1144">
        <f t="shared" si="22"/>
        <v>5.6079999999999997</v>
      </c>
      <c r="N186" s="1144">
        <f>G171</f>
        <v>8.16</v>
      </c>
      <c r="O186" s="1144">
        <f t="shared" ref="O186:O191" si="28">N186</f>
        <v>8.16</v>
      </c>
      <c r="P186" s="1144">
        <f t="shared" si="26"/>
        <v>8.16</v>
      </c>
      <c r="Q186" s="1144">
        <f t="shared" si="26"/>
        <v>8.16</v>
      </c>
      <c r="R186" s="1144">
        <f t="shared" ref="R186:R194" si="29">H171</f>
        <v>10.069000000000001</v>
      </c>
      <c r="S186" s="1144">
        <f t="shared" si="27"/>
        <v>10.069000000000001</v>
      </c>
      <c r="U186" s="49"/>
    </row>
    <row r="187" spans="1:21" x14ac:dyDescent="0.35">
      <c r="A187" s="1138" t="s">
        <v>52</v>
      </c>
      <c r="B187" s="1138"/>
      <c r="C187" s="1144"/>
      <c r="D187" s="1144">
        <f t="shared" si="19"/>
        <v>0</v>
      </c>
      <c r="E187" s="1144">
        <f t="shared" si="24"/>
        <v>0</v>
      </c>
      <c r="F187" s="1144">
        <f t="shared" si="20"/>
        <v>1.2969999999999999</v>
      </c>
      <c r="G187" s="1144">
        <f t="shared" si="25"/>
        <v>1.2969999999999999</v>
      </c>
      <c r="H187" s="1144">
        <f t="shared" si="25"/>
        <v>1.2969999999999999</v>
      </c>
      <c r="I187" s="1144">
        <f t="shared" si="25"/>
        <v>1.2969999999999999</v>
      </c>
      <c r="J187" s="1144">
        <f t="shared" si="21"/>
        <v>3.8479999999999999</v>
      </c>
      <c r="K187" s="1144">
        <f t="shared" si="22"/>
        <v>3.8479999999999999</v>
      </c>
      <c r="L187" s="1144">
        <f t="shared" si="22"/>
        <v>3.8479999999999999</v>
      </c>
      <c r="M187" s="1144">
        <f t="shared" si="22"/>
        <v>3.8479999999999999</v>
      </c>
      <c r="N187" s="1144">
        <f t="shared" ref="N187:N191" si="30">G172</f>
        <v>6.4420000000000002</v>
      </c>
      <c r="O187" s="1144">
        <f t="shared" si="28"/>
        <v>6.4420000000000002</v>
      </c>
      <c r="P187" s="1144">
        <f t="shared" si="26"/>
        <v>6.4420000000000002</v>
      </c>
      <c r="Q187" s="1144">
        <f t="shared" si="26"/>
        <v>6.4420000000000002</v>
      </c>
      <c r="R187" s="1144">
        <f t="shared" si="29"/>
        <v>9.532</v>
      </c>
      <c r="S187" s="1144">
        <f t="shared" si="27"/>
        <v>9.532</v>
      </c>
      <c r="U187" s="49"/>
    </row>
    <row r="188" spans="1:21" x14ac:dyDescent="0.35">
      <c r="A188" s="1139" t="s">
        <v>527</v>
      </c>
      <c r="B188" s="1139"/>
      <c r="C188" s="1144"/>
      <c r="D188" s="1144">
        <f t="shared" si="19"/>
        <v>0</v>
      </c>
      <c r="E188" s="1144">
        <f t="shared" si="24"/>
        <v>0</v>
      </c>
      <c r="F188" s="1144">
        <f t="shared" si="20"/>
        <v>0</v>
      </c>
      <c r="G188" s="1144">
        <f t="shared" si="25"/>
        <v>0</v>
      </c>
      <c r="H188" s="1144">
        <f t="shared" si="25"/>
        <v>0</v>
      </c>
      <c r="I188" s="1144">
        <f t="shared" si="25"/>
        <v>0</v>
      </c>
      <c r="J188" s="1144">
        <f t="shared" si="21"/>
        <v>0</v>
      </c>
      <c r="K188" s="1144">
        <f t="shared" si="22"/>
        <v>0</v>
      </c>
      <c r="L188" s="1144">
        <f t="shared" si="22"/>
        <v>0</v>
      </c>
      <c r="M188" s="1144">
        <f t="shared" si="22"/>
        <v>0</v>
      </c>
      <c r="N188" s="1144">
        <f t="shared" si="30"/>
        <v>0</v>
      </c>
      <c r="O188" s="1144">
        <f t="shared" si="28"/>
        <v>0</v>
      </c>
      <c r="P188" s="1144">
        <f t="shared" si="26"/>
        <v>0</v>
      </c>
      <c r="Q188" s="1144">
        <f t="shared" si="26"/>
        <v>0</v>
      </c>
      <c r="R188" s="1144">
        <f t="shared" si="29"/>
        <v>0</v>
      </c>
      <c r="S188" s="1144">
        <f t="shared" si="27"/>
        <v>0</v>
      </c>
      <c r="U188" s="49"/>
    </row>
    <row r="189" spans="1:21" x14ac:dyDescent="0.35">
      <c r="A189" s="1140" t="s">
        <v>54</v>
      </c>
      <c r="B189" s="1140"/>
      <c r="C189" s="1144"/>
      <c r="D189" s="1144">
        <f t="shared" si="19"/>
        <v>0</v>
      </c>
      <c r="E189" s="1144">
        <f t="shared" si="24"/>
        <v>0</v>
      </c>
      <c r="F189" s="1144">
        <f t="shared" si="20"/>
        <v>0.11</v>
      </c>
      <c r="G189" s="1144">
        <f t="shared" si="25"/>
        <v>0.11</v>
      </c>
      <c r="H189" s="1144">
        <f t="shared" si="25"/>
        <v>0.11</v>
      </c>
      <c r="I189" s="1144">
        <f t="shared" si="25"/>
        <v>0.11</v>
      </c>
      <c r="J189" s="1144">
        <f t="shared" si="21"/>
        <v>0.73899999999999999</v>
      </c>
      <c r="K189" s="1144">
        <f t="shared" si="22"/>
        <v>0.73899999999999999</v>
      </c>
      <c r="L189" s="1144">
        <f t="shared" si="22"/>
        <v>0.73899999999999999</v>
      </c>
      <c r="M189" s="1144">
        <f t="shared" si="22"/>
        <v>0.73899999999999999</v>
      </c>
      <c r="N189" s="1144">
        <f t="shared" si="30"/>
        <v>1.1950000000000001</v>
      </c>
      <c r="O189" s="1144">
        <f t="shared" si="28"/>
        <v>1.1950000000000001</v>
      </c>
      <c r="P189" s="1144">
        <f t="shared" si="26"/>
        <v>1.1950000000000001</v>
      </c>
      <c r="Q189" s="1144">
        <f t="shared" si="26"/>
        <v>1.1950000000000001</v>
      </c>
      <c r="R189" s="1144">
        <f t="shared" si="29"/>
        <v>1.4970000000000001</v>
      </c>
      <c r="S189" s="1144">
        <f t="shared" si="27"/>
        <v>1.4970000000000001</v>
      </c>
      <c r="U189" s="49"/>
    </row>
    <row r="190" spans="1:21" x14ac:dyDescent="0.35">
      <c r="A190" s="1140" t="s">
        <v>1372</v>
      </c>
      <c r="B190" s="1140"/>
      <c r="C190" s="1144"/>
      <c r="D190" s="1144">
        <f t="shared" si="19"/>
        <v>0</v>
      </c>
      <c r="E190" s="1144">
        <f t="shared" si="24"/>
        <v>0</v>
      </c>
      <c r="F190" s="1144">
        <f t="shared" si="20"/>
        <v>-0.41499999999999998</v>
      </c>
      <c r="G190" s="1144">
        <f t="shared" si="25"/>
        <v>-0.41499999999999998</v>
      </c>
      <c r="H190" s="1144">
        <f t="shared" si="25"/>
        <v>-0.41499999999999998</v>
      </c>
      <c r="I190" s="1144">
        <f t="shared" si="25"/>
        <v>-0.41499999999999998</v>
      </c>
      <c r="J190" s="1144">
        <f t="shared" si="21"/>
        <v>2.7679999999999998</v>
      </c>
      <c r="K190" s="1144">
        <f t="shared" si="22"/>
        <v>2.7679999999999998</v>
      </c>
      <c r="L190" s="1144">
        <f t="shared" si="22"/>
        <v>2.7679999999999998</v>
      </c>
      <c r="M190" s="1144">
        <f t="shared" si="22"/>
        <v>2.7679999999999998</v>
      </c>
      <c r="N190" s="1144">
        <f t="shared" si="30"/>
        <v>-12.473000000000001</v>
      </c>
      <c r="O190" s="1144">
        <f t="shared" si="28"/>
        <v>-12.473000000000001</v>
      </c>
      <c r="P190" s="1144">
        <f t="shared" si="26"/>
        <v>-12.473000000000001</v>
      </c>
      <c r="Q190" s="1144">
        <f t="shared" si="26"/>
        <v>-12.473000000000001</v>
      </c>
      <c r="R190" s="1144">
        <f t="shared" si="29"/>
        <v>-5.3739999999999997</v>
      </c>
      <c r="S190" s="1144">
        <f t="shared" si="27"/>
        <v>-5.3739999999999997</v>
      </c>
      <c r="U190" s="49"/>
    </row>
    <row r="191" spans="1:21" x14ac:dyDescent="0.35">
      <c r="A191" s="1141" t="s">
        <v>57</v>
      </c>
      <c r="B191" s="1141"/>
      <c r="C191" s="1144"/>
      <c r="D191" s="1144">
        <f t="shared" si="19"/>
        <v>-0.622</v>
      </c>
      <c r="E191" s="1144">
        <f t="shared" si="24"/>
        <v>-0.622</v>
      </c>
      <c r="F191" s="1144">
        <f t="shared" si="20"/>
        <v>21.89</v>
      </c>
      <c r="G191" s="1144">
        <f t="shared" si="25"/>
        <v>21.89</v>
      </c>
      <c r="H191" s="1144">
        <f t="shared" si="25"/>
        <v>21.89</v>
      </c>
      <c r="I191" s="1144">
        <f t="shared" si="25"/>
        <v>21.89</v>
      </c>
      <c r="J191" s="1144">
        <f t="shared" si="21"/>
        <v>15.439</v>
      </c>
      <c r="K191" s="1144">
        <f t="shared" si="22"/>
        <v>15.439</v>
      </c>
      <c r="L191" s="1144">
        <f t="shared" si="22"/>
        <v>15.439</v>
      </c>
      <c r="M191" s="1144">
        <f t="shared" si="22"/>
        <v>15.439</v>
      </c>
      <c r="N191" s="1144">
        <f t="shared" si="30"/>
        <v>16.966999999999999</v>
      </c>
      <c r="O191" s="1144">
        <f t="shared" si="28"/>
        <v>16.966999999999999</v>
      </c>
      <c r="P191" s="1144">
        <f t="shared" si="26"/>
        <v>16.966999999999999</v>
      </c>
      <c r="Q191" s="1144">
        <f t="shared" si="26"/>
        <v>16.966999999999999</v>
      </c>
      <c r="R191" s="1144">
        <f t="shared" si="29"/>
        <v>0.72799999999999998</v>
      </c>
      <c r="S191" s="1144">
        <f t="shared" si="27"/>
        <v>0.72799999999999998</v>
      </c>
      <c r="U191" s="49"/>
    </row>
    <row r="192" spans="1:21" x14ac:dyDescent="0.35">
      <c r="A192" s="1142" t="s">
        <v>485</v>
      </c>
      <c r="B192" s="1142"/>
      <c r="C192" s="1144"/>
      <c r="D192" s="1130">
        <f t="shared" ref="D192:D194" si="31">D177</f>
        <v>0</v>
      </c>
      <c r="E192" s="1130">
        <f t="shared" ref="E192:E194" si="32">D192</f>
        <v>0</v>
      </c>
      <c r="F192" s="1130">
        <f t="shared" ref="F192:F194" si="33">E177</f>
        <v>-3.1549999999999998</v>
      </c>
      <c r="G192" s="1130">
        <f t="shared" ref="G192:G194" si="34">F192</f>
        <v>-3.1549999999999998</v>
      </c>
      <c r="H192" s="1130">
        <f t="shared" ref="H192:H194" si="35">G192</f>
        <v>-3.1549999999999998</v>
      </c>
      <c r="I192" s="1130">
        <f t="shared" ref="I192:I194" si="36">H192</f>
        <v>-3.1549999999999998</v>
      </c>
      <c r="J192" s="1130">
        <f t="shared" ref="J192:J194" si="37">F177</f>
        <v>-2.2309999999999999</v>
      </c>
      <c r="K192" s="1130">
        <f t="shared" ref="K192:K194" si="38">J192</f>
        <v>-2.2309999999999999</v>
      </c>
      <c r="L192" s="1130">
        <f t="shared" ref="L192:L194" si="39">K192</f>
        <v>-2.2309999999999999</v>
      </c>
      <c r="M192" s="1130">
        <f t="shared" ref="M192:M194" si="40">L192</f>
        <v>-2.2309999999999999</v>
      </c>
      <c r="N192" s="1130">
        <f t="shared" ref="N192:N194" si="41">G177</f>
        <v>-1.6080000000000001</v>
      </c>
      <c r="O192" s="1130">
        <f t="shared" ref="O192:O194" si="42">N192</f>
        <v>-1.6080000000000001</v>
      </c>
      <c r="P192" s="1130">
        <f t="shared" si="26"/>
        <v>-1.6080000000000001</v>
      </c>
      <c r="Q192" s="1130">
        <f t="shared" si="26"/>
        <v>-1.6080000000000001</v>
      </c>
      <c r="R192" s="1144">
        <f t="shared" si="29"/>
        <v>-0.77</v>
      </c>
      <c r="S192" s="1144">
        <f t="shared" si="27"/>
        <v>-0.77</v>
      </c>
      <c r="U192" s="49"/>
    </row>
    <row r="193" spans="1:21" x14ac:dyDescent="0.35">
      <c r="A193" s="1142" t="s">
        <v>483</v>
      </c>
      <c r="B193" s="1142"/>
      <c r="C193" s="1144"/>
      <c r="D193" s="1130">
        <f t="shared" si="31"/>
        <v>0</v>
      </c>
      <c r="E193" s="1130">
        <f t="shared" si="32"/>
        <v>0</v>
      </c>
      <c r="F193" s="1130">
        <f t="shared" si="33"/>
        <v>0.45200000000000001</v>
      </c>
      <c r="G193" s="1130">
        <f t="shared" si="34"/>
        <v>0.45200000000000001</v>
      </c>
      <c r="H193" s="1130">
        <f t="shared" si="35"/>
        <v>0.45200000000000001</v>
      </c>
      <c r="I193" s="1130">
        <f t="shared" si="36"/>
        <v>0.45200000000000001</v>
      </c>
      <c r="J193" s="1130">
        <f t="shared" si="37"/>
        <v>-8.67</v>
      </c>
      <c r="K193" s="1130">
        <f t="shared" si="38"/>
        <v>-8.67</v>
      </c>
      <c r="L193" s="1130">
        <f t="shared" si="39"/>
        <v>-8.67</v>
      </c>
      <c r="M193" s="1130">
        <f t="shared" si="40"/>
        <v>-8.67</v>
      </c>
      <c r="N193" s="1130">
        <f t="shared" si="41"/>
        <v>-4.5270000000000001</v>
      </c>
      <c r="O193" s="1130">
        <f t="shared" si="42"/>
        <v>-4.5270000000000001</v>
      </c>
      <c r="P193" s="1130">
        <f t="shared" si="26"/>
        <v>-4.5270000000000001</v>
      </c>
      <c r="Q193" s="1130">
        <f t="shared" si="26"/>
        <v>-4.5270000000000001</v>
      </c>
      <c r="R193" s="1144">
        <f t="shared" si="29"/>
        <v>-0.70499999999999996</v>
      </c>
      <c r="S193" s="1144">
        <f t="shared" si="27"/>
        <v>-0.70499999999999996</v>
      </c>
      <c r="U193" s="49"/>
    </row>
    <row r="194" spans="1:21" x14ac:dyDescent="0.35">
      <c r="A194" s="1142" t="s">
        <v>106</v>
      </c>
      <c r="B194" s="1142"/>
      <c r="C194" s="1144"/>
      <c r="D194" s="1130">
        <f t="shared" si="31"/>
        <v>0</v>
      </c>
      <c r="E194" s="1130">
        <f t="shared" si="32"/>
        <v>0</v>
      </c>
      <c r="F194" s="1130">
        <f t="shared" si="33"/>
        <v>35.317</v>
      </c>
      <c r="G194" s="1130">
        <f t="shared" si="34"/>
        <v>35.317</v>
      </c>
      <c r="H194" s="1130">
        <f t="shared" si="35"/>
        <v>35.317</v>
      </c>
      <c r="I194" s="1130">
        <f t="shared" si="36"/>
        <v>35.317</v>
      </c>
      <c r="J194" s="1130">
        <f t="shared" si="37"/>
        <v>36.033000000000001</v>
      </c>
      <c r="K194" s="1130">
        <f t="shared" si="38"/>
        <v>36.033000000000001</v>
      </c>
      <c r="L194" s="1130">
        <f t="shared" si="39"/>
        <v>36.033000000000001</v>
      </c>
      <c r="M194" s="1130">
        <f t="shared" si="40"/>
        <v>36.033000000000001</v>
      </c>
      <c r="N194" s="1130">
        <f t="shared" si="41"/>
        <v>21.076000000000001</v>
      </c>
      <c r="O194" s="1130">
        <f t="shared" si="42"/>
        <v>21.076000000000001</v>
      </c>
      <c r="P194" s="1130">
        <f t="shared" si="26"/>
        <v>21.076000000000001</v>
      </c>
      <c r="Q194" s="1130">
        <f t="shared" si="26"/>
        <v>21.076000000000001</v>
      </c>
      <c r="R194" s="1144">
        <f t="shared" si="29"/>
        <v>13.346</v>
      </c>
      <c r="S194" s="1144">
        <f t="shared" si="27"/>
        <v>13.346</v>
      </c>
      <c r="U194" s="49"/>
    </row>
    <row r="197" spans="1:21" x14ac:dyDescent="0.35">
      <c r="A197" s="43" t="s">
        <v>1375</v>
      </c>
    </row>
    <row r="198" spans="1:21" x14ac:dyDescent="0.35">
      <c r="A198" s="1138" t="s">
        <v>52</v>
      </c>
      <c r="D198" s="1145">
        <v>0</v>
      </c>
      <c r="E198" s="1145">
        <v>0</v>
      </c>
      <c r="F198" s="1145">
        <v>2.3250000000000002</v>
      </c>
      <c r="G198" s="1145">
        <v>2.3250000000000002</v>
      </c>
      <c r="H198" s="1145">
        <v>2.3250000000000002</v>
      </c>
      <c r="I198" s="1145">
        <v>2.3250000000000002</v>
      </c>
      <c r="J198" s="1145">
        <v>5.5830000000000002</v>
      </c>
      <c r="K198" s="1145">
        <v>5.5830000000000002</v>
      </c>
      <c r="L198" s="1145">
        <v>5.5830000000000002</v>
      </c>
      <c r="M198" s="1145">
        <v>5.5830000000000002</v>
      </c>
      <c r="N198" s="1145">
        <v>8.0220000000000002</v>
      </c>
      <c r="O198" s="1145">
        <v>8.0220000000000002</v>
      </c>
      <c r="P198" s="1145"/>
      <c r="Q198" s="1145"/>
      <c r="R198" s="1145"/>
      <c r="S198" s="1145"/>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31"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9" t="s">
        <v>553</v>
      </c>
    </row>
    <row r="2" spans="1:6" ht="20.9" customHeight="1" x14ac:dyDescent="0.4">
      <c r="A2" s="1150" t="s">
        <v>554</v>
      </c>
      <c r="B2" s="1150" t="s">
        <v>555</v>
      </c>
      <c r="C2" s="1150" t="s">
        <v>556</v>
      </c>
      <c r="D2" s="1150" t="s">
        <v>557</v>
      </c>
    </row>
    <row r="3" spans="1:6" x14ac:dyDescent="0.35">
      <c r="A3" s="1151" t="s">
        <v>558</v>
      </c>
      <c r="B3" s="735">
        <f>SUM(B4:B7)</f>
        <v>325</v>
      </c>
      <c r="E3" s="1428" t="s">
        <v>559</v>
      </c>
      <c r="F3" s="1428"/>
    </row>
    <row r="4" spans="1:6" x14ac:dyDescent="0.35">
      <c r="A4" s="807" t="s">
        <v>560</v>
      </c>
      <c r="B4" s="735">
        <v>284</v>
      </c>
      <c r="E4" s="512" t="s">
        <v>51</v>
      </c>
      <c r="F4" s="512" t="s">
        <v>561</v>
      </c>
    </row>
    <row r="5" spans="1:6" x14ac:dyDescent="0.35">
      <c r="A5" s="807" t="s">
        <v>413</v>
      </c>
      <c r="B5" s="735">
        <v>20</v>
      </c>
      <c r="E5" s="239" t="s">
        <v>150</v>
      </c>
      <c r="F5" s="239">
        <f>SUM(B11:B16)</f>
        <v>82</v>
      </c>
    </row>
    <row r="6" spans="1:6" x14ac:dyDescent="0.35">
      <c r="A6" s="807" t="s">
        <v>420</v>
      </c>
      <c r="B6" s="735">
        <v>15</v>
      </c>
      <c r="E6" s="239" t="s">
        <v>49</v>
      </c>
      <c r="F6" s="239">
        <f>B23</f>
        <v>3</v>
      </c>
    </row>
    <row r="7" spans="1:6" x14ac:dyDescent="0.35">
      <c r="A7" s="807" t="s">
        <v>421</v>
      </c>
      <c r="B7" s="735">
        <v>6</v>
      </c>
      <c r="E7" s="239" t="s">
        <v>342</v>
      </c>
      <c r="F7" s="239">
        <f>B27-B28</f>
        <v>29</v>
      </c>
    </row>
    <row r="8" spans="1:6" x14ac:dyDescent="0.35">
      <c r="A8" s="512" t="s">
        <v>562</v>
      </c>
      <c r="B8" s="735">
        <v>121</v>
      </c>
      <c r="E8" s="239" t="s">
        <v>359</v>
      </c>
      <c r="F8" s="239">
        <f>B42</f>
        <v>2</v>
      </c>
    </row>
    <row r="9" spans="1:6" x14ac:dyDescent="0.35">
      <c r="A9" s="1152" t="s">
        <v>563</v>
      </c>
      <c r="B9" s="735">
        <v>166</v>
      </c>
      <c r="E9" s="239" t="s">
        <v>564</v>
      </c>
      <c r="F9" s="239">
        <f>B18+B20+B21</f>
        <v>34</v>
      </c>
    </row>
    <row r="10" spans="1:6" x14ac:dyDescent="0.35">
      <c r="A10" s="1149" t="s">
        <v>565</v>
      </c>
      <c r="B10" s="735">
        <v>82</v>
      </c>
      <c r="E10" s="512" t="s">
        <v>566</v>
      </c>
      <c r="F10" s="512" t="s">
        <v>567</v>
      </c>
    </row>
    <row r="11" spans="1:6" x14ac:dyDescent="0.35">
      <c r="A11" s="807" t="s">
        <v>568</v>
      </c>
      <c r="B11" s="735">
        <v>54</v>
      </c>
      <c r="E11" s="239" t="s">
        <v>315</v>
      </c>
      <c r="F11" s="239">
        <f>B4</f>
        <v>284</v>
      </c>
    </row>
    <row r="12" spans="1:6" x14ac:dyDescent="0.35">
      <c r="A12" s="807" t="s">
        <v>569</v>
      </c>
      <c r="B12" s="735">
        <v>20</v>
      </c>
      <c r="E12" s="239" t="s">
        <v>570</v>
      </c>
      <c r="F12" s="239">
        <f>B5</f>
        <v>20</v>
      </c>
    </row>
    <row r="13" spans="1:6" x14ac:dyDescent="0.35">
      <c r="A13" s="807" t="s">
        <v>571</v>
      </c>
      <c r="B13" s="735">
        <v>4</v>
      </c>
      <c r="E13" s="239" t="s">
        <v>420</v>
      </c>
      <c r="F13" s="239">
        <f>B6</f>
        <v>15</v>
      </c>
    </row>
    <row r="14" spans="1:6" ht="27.65" customHeight="1" x14ac:dyDescent="0.35">
      <c r="A14" s="807" t="s">
        <v>572</v>
      </c>
      <c r="B14" s="735">
        <v>2</v>
      </c>
      <c r="E14" s="279" t="s">
        <v>421</v>
      </c>
      <c r="F14" s="239">
        <f>B7</f>
        <v>6</v>
      </c>
    </row>
    <row r="15" spans="1:6" ht="27.65" customHeight="1" x14ac:dyDescent="0.35">
      <c r="A15" s="807" t="s">
        <v>573</v>
      </c>
      <c r="B15" s="735">
        <v>1</v>
      </c>
      <c r="E15" s="279" t="s">
        <v>574</v>
      </c>
      <c r="F15" s="239">
        <f>B28</f>
        <v>15</v>
      </c>
    </row>
    <row r="16" spans="1:6" x14ac:dyDescent="0.35">
      <c r="A16" s="807" t="s">
        <v>575</v>
      </c>
      <c r="B16" s="735">
        <v>1</v>
      </c>
      <c r="E16" s="239" t="s">
        <v>576</v>
      </c>
      <c r="F16" s="239">
        <f>B37</f>
        <v>12</v>
      </c>
    </row>
    <row r="17" spans="1:6" x14ac:dyDescent="0.35">
      <c r="A17" s="512" t="s">
        <v>577</v>
      </c>
      <c r="B17" s="735">
        <v>72</v>
      </c>
      <c r="E17" s="239" t="s">
        <v>578</v>
      </c>
      <c r="F17" s="239">
        <f>B38</f>
        <v>10</v>
      </c>
    </row>
    <row r="18" spans="1:6" x14ac:dyDescent="0.35">
      <c r="A18" s="807" t="s">
        <v>579</v>
      </c>
      <c r="B18" s="735">
        <v>22</v>
      </c>
      <c r="C18" s="239" t="s">
        <v>580</v>
      </c>
    </row>
    <row r="19" spans="1:6" x14ac:dyDescent="0.35">
      <c r="A19" s="807" t="s">
        <v>581</v>
      </c>
      <c r="B19" s="735">
        <v>20</v>
      </c>
      <c r="C19" s="239" t="s">
        <v>109</v>
      </c>
    </row>
    <row r="20" spans="1:6" x14ac:dyDescent="0.35">
      <c r="A20" s="807" t="s">
        <v>582</v>
      </c>
      <c r="B20" s="735">
        <v>8</v>
      </c>
      <c r="C20" s="239" t="s">
        <v>580</v>
      </c>
    </row>
    <row r="21" spans="1:6" x14ac:dyDescent="0.35">
      <c r="A21" s="807" t="s">
        <v>583</v>
      </c>
      <c r="B21" s="735">
        <v>4</v>
      </c>
      <c r="C21" s="239" t="s">
        <v>51</v>
      </c>
    </row>
    <row r="22" spans="1:6" x14ac:dyDescent="0.35">
      <c r="A22" s="807" t="s">
        <v>584</v>
      </c>
      <c r="B22" s="735">
        <v>4</v>
      </c>
      <c r="C22" s="239" t="s">
        <v>109</v>
      </c>
    </row>
    <row r="23" spans="1:6" x14ac:dyDescent="0.35">
      <c r="A23" s="807" t="s">
        <v>585</v>
      </c>
      <c r="B23" s="735">
        <v>3</v>
      </c>
      <c r="C23" s="239" t="s">
        <v>586</v>
      </c>
    </row>
    <row r="24" spans="1:6" x14ac:dyDescent="0.35">
      <c r="A24" s="807" t="s">
        <v>587</v>
      </c>
      <c r="B24" s="735">
        <v>3</v>
      </c>
      <c r="C24" s="239" t="s">
        <v>588</v>
      </c>
    </row>
    <row r="25" spans="1:6" x14ac:dyDescent="0.35">
      <c r="A25" s="1153" t="s">
        <v>589</v>
      </c>
      <c r="B25" s="735">
        <v>3</v>
      </c>
      <c r="C25" s="239" t="s">
        <v>55</v>
      </c>
    </row>
    <row r="26" spans="1:6" x14ac:dyDescent="0.35">
      <c r="A26" s="807" t="s">
        <v>590</v>
      </c>
      <c r="B26" s="735">
        <v>4</v>
      </c>
      <c r="C26" s="239" t="s">
        <v>591</v>
      </c>
    </row>
    <row r="27" spans="1:6" x14ac:dyDescent="0.35">
      <c r="A27" s="512" t="s">
        <v>342</v>
      </c>
      <c r="B27" s="735">
        <v>44</v>
      </c>
    </row>
    <row r="28" spans="1:6" x14ac:dyDescent="0.35">
      <c r="A28" s="1146" t="s">
        <v>574</v>
      </c>
      <c r="B28" s="1147">
        <v>15</v>
      </c>
    </row>
    <row r="29" spans="1:6" x14ac:dyDescent="0.35">
      <c r="A29" s="807" t="s">
        <v>592</v>
      </c>
      <c r="B29" s="735">
        <v>14</v>
      </c>
    </row>
    <row r="30" spans="1:6" x14ac:dyDescent="0.35">
      <c r="A30" s="807" t="s">
        <v>593</v>
      </c>
      <c r="B30" s="735">
        <v>10</v>
      </c>
    </row>
    <row r="31" spans="1:6" x14ac:dyDescent="0.35">
      <c r="A31" s="807" t="s">
        <v>594</v>
      </c>
      <c r="B31" s="735">
        <v>2</v>
      </c>
    </row>
    <row r="32" spans="1:6" x14ac:dyDescent="0.35">
      <c r="A32" s="807" t="s">
        <v>595</v>
      </c>
      <c r="B32" s="735">
        <v>2</v>
      </c>
    </row>
    <row r="33" spans="1:6" x14ac:dyDescent="0.35">
      <c r="A33" s="807" t="s">
        <v>596</v>
      </c>
      <c r="B33" s="735">
        <v>1</v>
      </c>
    </row>
    <row r="34" spans="1:6" x14ac:dyDescent="0.35">
      <c r="A34" s="512" t="s">
        <v>597</v>
      </c>
      <c r="B34" s="735">
        <v>88</v>
      </c>
    </row>
    <row r="35" spans="1:6" x14ac:dyDescent="0.35">
      <c r="A35" s="1153" t="s">
        <v>598</v>
      </c>
      <c r="B35" s="735">
        <v>26</v>
      </c>
    </row>
    <row r="36" spans="1:6" x14ac:dyDescent="0.35">
      <c r="A36" s="807" t="s">
        <v>599</v>
      </c>
      <c r="B36" s="735">
        <v>25</v>
      </c>
    </row>
    <row r="37" spans="1:6" x14ac:dyDescent="0.35">
      <c r="A37" s="807" t="s">
        <v>576</v>
      </c>
      <c r="B37" s="735">
        <v>12</v>
      </c>
      <c r="C37" s="239" t="s">
        <v>600</v>
      </c>
      <c r="E37" s="239" t="s">
        <v>601</v>
      </c>
      <c r="F37" s="239" t="s">
        <v>602</v>
      </c>
    </row>
    <row r="38" spans="1:6" x14ac:dyDescent="0.35">
      <c r="A38" s="807" t="s">
        <v>578</v>
      </c>
      <c r="B38" s="735">
        <v>10</v>
      </c>
      <c r="C38" s="239" t="s">
        <v>600</v>
      </c>
      <c r="E38" s="239" t="s">
        <v>603</v>
      </c>
      <c r="F38" s="239" t="s">
        <v>604</v>
      </c>
    </row>
    <row r="39" spans="1:6" x14ac:dyDescent="0.35">
      <c r="A39" s="807" t="s">
        <v>605</v>
      </c>
      <c r="B39" s="735">
        <v>7</v>
      </c>
      <c r="C39" s="239" t="s">
        <v>591</v>
      </c>
      <c r="E39" s="239" t="s">
        <v>606</v>
      </c>
      <c r="F39" s="239" t="s">
        <v>607</v>
      </c>
    </row>
    <row r="40" spans="1:6" x14ac:dyDescent="0.35">
      <c r="A40" s="807" t="s">
        <v>608</v>
      </c>
      <c r="B40" s="735">
        <v>5</v>
      </c>
      <c r="C40" s="239" t="s">
        <v>109</v>
      </c>
      <c r="E40" s="239" t="s">
        <v>609</v>
      </c>
    </row>
    <row r="41" spans="1:6" x14ac:dyDescent="0.35">
      <c r="A41" s="807" t="s">
        <v>610</v>
      </c>
      <c r="B41" s="735">
        <v>2</v>
      </c>
      <c r="C41" s="239" t="s">
        <v>591</v>
      </c>
      <c r="E41" s="239" t="s">
        <v>611</v>
      </c>
    </row>
    <row r="42" spans="1:6" x14ac:dyDescent="0.35">
      <c r="A42" s="807" t="s">
        <v>612</v>
      </c>
      <c r="B42" s="735">
        <v>2</v>
      </c>
      <c r="C42" s="239" t="s">
        <v>580</v>
      </c>
      <c r="E42" s="1148" t="s">
        <v>613</v>
      </c>
    </row>
    <row r="43" spans="1:6" x14ac:dyDescent="0.35">
      <c r="A43" s="807" t="s">
        <v>614</v>
      </c>
      <c r="B43" s="735">
        <v>0</v>
      </c>
      <c r="E43" s="239" t="s">
        <v>615</v>
      </c>
    </row>
    <row r="44" spans="1:6" x14ac:dyDescent="0.35">
      <c r="A44" s="512" t="s">
        <v>616</v>
      </c>
      <c r="B44" s="735">
        <v>40</v>
      </c>
    </row>
    <row r="45" spans="1:6" x14ac:dyDescent="0.35">
      <c r="A45" s="1153" t="s">
        <v>617</v>
      </c>
      <c r="B45" s="1154">
        <v>21</v>
      </c>
    </row>
    <row r="46" spans="1:6" x14ac:dyDescent="0.35">
      <c r="A46" s="807" t="s">
        <v>618</v>
      </c>
      <c r="B46" s="735">
        <v>6</v>
      </c>
    </row>
    <row r="47" spans="1:6" x14ac:dyDescent="0.35">
      <c r="A47" s="1153" t="s">
        <v>619</v>
      </c>
      <c r="B47" s="1154">
        <v>4</v>
      </c>
    </row>
    <row r="48" spans="1:6" x14ac:dyDescent="0.35">
      <c r="A48" s="807" t="s">
        <v>620</v>
      </c>
      <c r="B48" s="735">
        <v>4</v>
      </c>
    </row>
    <row r="49" spans="1:2" x14ac:dyDescent="0.35">
      <c r="A49" s="1153" t="s">
        <v>621</v>
      </c>
      <c r="B49" s="1154">
        <v>3</v>
      </c>
    </row>
    <row r="50" spans="1:2" x14ac:dyDescent="0.35">
      <c r="A50" s="807" t="s">
        <v>622</v>
      </c>
      <c r="B50" s="735">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H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829</v>
      </c>
      <c r="I1" s="1429"/>
      <c r="J1" s="1429"/>
      <c r="K1" s="1429"/>
    </row>
    <row r="2" spans="1:62" ht="13.4" customHeight="1" x14ac:dyDescent="0.35">
      <c r="A2" s="1167"/>
      <c r="O2" s="1193" t="s">
        <v>794</v>
      </c>
      <c r="P2" s="1435" t="s">
        <v>623</v>
      </c>
      <c r="Q2" s="1435"/>
      <c r="R2" s="1435"/>
      <c r="S2" s="1435"/>
      <c r="T2" s="1196"/>
      <c r="U2" s="1196"/>
      <c r="V2" s="1196"/>
      <c r="W2" s="1196"/>
      <c r="X2" s="1196"/>
      <c r="Y2" s="1430" t="s">
        <v>624</v>
      </c>
      <c r="Z2" s="1431"/>
      <c r="AA2" s="1431"/>
      <c r="AB2" s="1431"/>
      <c r="AC2" s="1431"/>
      <c r="AD2" s="1431"/>
      <c r="AE2" s="1196"/>
      <c r="AF2" s="1196"/>
      <c r="AG2" s="1432" t="s">
        <v>625</v>
      </c>
      <c r="AH2" s="1431"/>
      <c r="AI2" s="1431"/>
      <c r="AJ2" s="1434" t="s">
        <v>626</v>
      </c>
      <c r="AK2" s="1434"/>
      <c r="AL2" s="1434"/>
      <c r="AM2" s="1434"/>
      <c r="AN2" s="1434"/>
      <c r="AO2" s="1434"/>
      <c r="AP2" s="1434"/>
      <c r="AQ2" s="1434"/>
      <c r="AR2" s="1434"/>
      <c r="AS2" s="1434"/>
      <c r="AT2" s="1197"/>
      <c r="AU2" s="1433" t="s">
        <v>384</v>
      </c>
      <c r="AV2" s="1433"/>
      <c r="AW2" s="1433"/>
      <c r="AX2" s="1433"/>
      <c r="AY2" s="1433"/>
      <c r="AZ2" s="1433"/>
      <c r="BA2" s="1433"/>
      <c r="BB2" s="1178"/>
      <c r="BC2" s="1178"/>
      <c r="BD2" s="1178"/>
      <c r="BE2" s="1178"/>
      <c r="BF2" s="1178"/>
      <c r="BG2" s="1178"/>
      <c r="BH2" s="1178"/>
      <c r="BI2" s="1178"/>
      <c r="BJ2" s="1184" t="s">
        <v>627</v>
      </c>
    </row>
    <row r="3" spans="1:62" ht="43.4" customHeight="1" x14ac:dyDescent="0.35">
      <c r="A3" s="1168"/>
      <c r="B3" s="1168"/>
      <c r="C3" s="1168"/>
      <c r="D3" s="1168"/>
      <c r="E3" s="1168"/>
      <c r="F3" s="1168"/>
      <c r="G3" s="1168"/>
      <c r="H3" s="1168"/>
      <c r="I3" s="1168"/>
      <c r="J3" s="1168"/>
      <c r="K3" s="1168"/>
      <c r="L3" s="1168"/>
      <c r="M3" s="1168"/>
      <c r="N3" s="1168"/>
      <c r="O3" s="1194" t="s">
        <v>628</v>
      </c>
      <c r="P3" s="1177" t="s">
        <v>629</v>
      </c>
      <c r="Q3" s="1177" t="s">
        <v>630</v>
      </c>
      <c r="R3" s="1177" t="s">
        <v>631</v>
      </c>
      <c r="S3" s="1177" t="s">
        <v>632</v>
      </c>
      <c r="T3" s="1177" t="s">
        <v>633</v>
      </c>
      <c r="U3" s="1177" t="s">
        <v>634</v>
      </c>
      <c r="V3" s="1177" t="s">
        <v>635</v>
      </c>
      <c r="W3" s="1177" t="s">
        <v>636</v>
      </c>
      <c r="X3" s="1177" t="s">
        <v>637</v>
      </c>
      <c r="Y3" s="1177" t="s">
        <v>638</v>
      </c>
      <c r="Z3" s="1177"/>
      <c r="AA3" s="1177"/>
      <c r="AB3" s="1177"/>
      <c r="AC3" s="1177" t="s">
        <v>639</v>
      </c>
      <c r="AD3" s="1177" t="s">
        <v>640</v>
      </c>
      <c r="AE3" s="1177" t="s">
        <v>641</v>
      </c>
      <c r="AF3" s="1177" t="s">
        <v>642</v>
      </c>
      <c r="AG3" s="1177" t="s">
        <v>643</v>
      </c>
      <c r="AH3" s="1177" t="s">
        <v>644</v>
      </c>
      <c r="AI3" s="1177" t="s">
        <v>645</v>
      </c>
      <c r="AJ3" s="1177" t="s">
        <v>646</v>
      </c>
      <c r="AK3" s="1177" t="s">
        <v>647</v>
      </c>
      <c r="AL3" s="1177" t="s">
        <v>648</v>
      </c>
      <c r="AM3" s="1177" t="s">
        <v>649</v>
      </c>
      <c r="AN3" s="1177" t="s">
        <v>650</v>
      </c>
      <c r="AO3" s="1177" t="s">
        <v>651</v>
      </c>
      <c r="AP3" s="1177" t="s">
        <v>652</v>
      </c>
      <c r="AQ3" s="1190" t="s">
        <v>653</v>
      </c>
      <c r="AR3" s="1177" t="s">
        <v>654</v>
      </c>
      <c r="AS3" s="1177" t="s">
        <v>655</v>
      </c>
      <c r="AT3" s="1177" t="s">
        <v>656</v>
      </c>
      <c r="AU3" s="1177" t="s">
        <v>657</v>
      </c>
      <c r="AV3" s="1177" t="s">
        <v>658</v>
      </c>
      <c r="AW3" s="1177" t="s">
        <v>659</v>
      </c>
      <c r="AX3" s="1177" t="s">
        <v>660</v>
      </c>
      <c r="AY3" s="1177" t="s">
        <v>661</v>
      </c>
      <c r="AZ3" s="1177" t="s">
        <v>662</v>
      </c>
      <c r="BA3" s="1177" t="s">
        <v>639</v>
      </c>
      <c r="BB3" s="1185" t="s">
        <v>663</v>
      </c>
      <c r="BC3" s="1185" t="s">
        <v>664</v>
      </c>
      <c r="BD3" s="1185" t="s">
        <v>665</v>
      </c>
      <c r="BE3" s="1185" t="s">
        <v>666</v>
      </c>
      <c r="BF3" s="1185" t="s">
        <v>667</v>
      </c>
      <c r="BG3" s="1185" t="s">
        <v>668</v>
      </c>
      <c r="BH3" s="1185" t="s">
        <v>669</v>
      </c>
      <c r="BI3" s="1185" t="s">
        <v>670</v>
      </c>
      <c r="BJ3" s="1179" t="s">
        <v>671</v>
      </c>
    </row>
    <row r="4" spans="1:62" ht="63" customHeight="1" x14ac:dyDescent="0.35">
      <c r="A4" s="1188" t="s">
        <v>672</v>
      </c>
      <c r="B4" s="1167" t="s">
        <v>56</v>
      </c>
      <c r="C4" s="1167" t="s">
        <v>673</v>
      </c>
      <c r="D4" s="1167" t="s">
        <v>543</v>
      </c>
      <c r="E4" s="1167" t="s">
        <v>674</v>
      </c>
      <c r="F4" s="1167" t="s">
        <v>675</v>
      </c>
      <c r="G4" s="1167" t="s">
        <v>676</v>
      </c>
      <c r="H4" s="1167" t="s">
        <v>131</v>
      </c>
      <c r="I4" s="1174" t="s">
        <v>347</v>
      </c>
      <c r="J4" s="1174" t="s">
        <v>150</v>
      </c>
      <c r="K4" s="1174" t="s">
        <v>677</v>
      </c>
      <c r="L4" s="1172" t="s">
        <v>159</v>
      </c>
      <c r="M4" s="1167" t="s">
        <v>109</v>
      </c>
      <c r="N4" s="1167" t="s">
        <v>678</v>
      </c>
      <c r="O4" s="1195" t="s">
        <v>679</v>
      </c>
      <c r="P4" s="1185" t="s">
        <v>680</v>
      </c>
      <c r="Q4" s="1185" t="s">
        <v>681</v>
      </c>
      <c r="R4" s="1185" t="s">
        <v>682</v>
      </c>
      <c r="S4" s="1185" t="s">
        <v>683</v>
      </c>
      <c r="T4" s="1185" t="s">
        <v>684</v>
      </c>
      <c r="U4" s="1185" t="s">
        <v>685</v>
      </c>
      <c r="V4" s="1185" t="s">
        <v>686</v>
      </c>
      <c r="W4" s="1185" t="s">
        <v>687</v>
      </c>
      <c r="X4" s="1185" t="s">
        <v>688</v>
      </c>
      <c r="Y4" s="1185" t="s">
        <v>689</v>
      </c>
      <c r="Z4" s="1185" t="s">
        <v>690</v>
      </c>
      <c r="AA4" s="1185" t="s">
        <v>691</v>
      </c>
      <c r="AB4" s="1185" t="s">
        <v>692</v>
      </c>
      <c r="AC4" s="1185" t="s">
        <v>693</v>
      </c>
      <c r="AD4" s="1185" t="s">
        <v>694</v>
      </c>
      <c r="AE4" s="1185" t="s">
        <v>695</v>
      </c>
      <c r="AF4" s="1185" t="s">
        <v>696</v>
      </c>
      <c r="AG4" s="1185" t="s">
        <v>210</v>
      </c>
      <c r="AH4" s="1185" t="s">
        <v>211</v>
      </c>
      <c r="AI4" s="1185" t="s">
        <v>697</v>
      </c>
      <c r="AJ4" s="1185" t="s">
        <v>698</v>
      </c>
      <c r="AK4" s="1185" t="s">
        <v>699</v>
      </c>
      <c r="AL4" s="1185" t="s">
        <v>700</v>
      </c>
      <c r="AM4" s="1185" t="s">
        <v>701</v>
      </c>
      <c r="AN4" s="1185" t="s">
        <v>702</v>
      </c>
      <c r="AO4" s="1185" t="s">
        <v>703</v>
      </c>
      <c r="AP4" s="1185" t="s">
        <v>704</v>
      </c>
      <c r="AQ4" s="1186" t="s">
        <v>705</v>
      </c>
      <c r="AR4" s="1185" t="s">
        <v>706</v>
      </c>
      <c r="AS4" s="1185" t="s">
        <v>707</v>
      </c>
      <c r="AT4" s="1185" t="s">
        <v>708</v>
      </c>
      <c r="AU4" s="1185" t="s">
        <v>709</v>
      </c>
      <c r="AV4" s="1185" t="s">
        <v>710</v>
      </c>
      <c r="AW4" s="1185" t="s">
        <v>711</v>
      </c>
      <c r="AX4" s="1185" t="s">
        <v>712</v>
      </c>
      <c r="AY4" s="1185" t="s">
        <v>713</v>
      </c>
      <c r="AZ4" s="1185" t="s">
        <v>714</v>
      </c>
      <c r="BA4" s="1185"/>
      <c r="BB4" s="1185" t="s">
        <v>425</v>
      </c>
      <c r="BC4" s="1185" t="s">
        <v>715</v>
      </c>
      <c r="BD4" s="1185" t="s">
        <v>716</v>
      </c>
      <c r="BE4" s="1185" t="s">
        <v>717</v>
      </c>
      <c r="BF4" s="1185" t="s">
        <v>718</v>
      </c>
      <c r="BG4" s="1185" t="s">
        <v>719</v>
      </c>
      <c r="BH4" s="1185" t="s">
        <v>720</v>
      </c>
      <c r="BI4" s="1185" t="s">
        <v>721</v>
      </c>
      <c r="BJ4" s="1187" t="s">
        <v>722</v>
      </c>
    </row>
    <row r="5" spans="1:62" x14ac:dyDescent="0.35">
      <c r="A5" s="1169">
        <v>2021</v>
      </c>
      <c r="B5" s="1171">
        <f>Q5</f>
        <v>394.202</v>
      </c>
      <c r="C5" s="1171">
        <f>SUM(Y5:AB5)</f>
        <v>195.7</v>
      </c>
      <c r="D5" s="1171">
        <f>T5</f>
        <v>18.823</v>
      </c>
      <c r="E5" s="1171">
        <f>SUM(P5:S5)-B5</f>
        <v>0.77600000000001046</v>
      </c>
      <c r="F5" s="1171">
        <f>SUM(T5:AF5)-C5-L5-D5 - 28</f>
        <v>19.722000000000016</v>
      </c>
      <c r="G5" s="1171">
        <f>SUM(BB5:BI5)-BC5</f>
        <v>81.642999999999986</v>
      </c>
      <c r="H5" s="1171">
        <f>SUM(AG5:AI5)</f>
        <v>7.798</v>
      </c>
      <c r="I5" s="1171">
        <f>AJ5</f>
        <v>283.95749999999998</v>
      </c>
      <c r="J5" s="1171">
        <f>AL5</f>
        <v>12.347</v>
      </c>
      <c r="K5" s="1171">
        <f>SUM(AM5:AT5)</f>
        <v>29.628</v>
      </c>
      <c r="L5" s="1175">
        <f>103/4</f>
        <v>25.75</v>
      </c>
      <c r="M5" s="1171">
        <f t="shared" ref="M5:M16" si="0">SUM(AU5:BA5)</f>
        <v>31.939</v>
      </c>
      <c r="N5" s="1171">
        <f>AK5</f>
        <v>3.4</v>
      </c>
      <c r="O5" s="1198">
        <v>50</v>
      </c>
      <c r="P5" s="1192">
        <v>0.55000000000000004</v>
      </c>
      <c r="Q5" s="1155">
        <v>394.202</v>
      </c>
      <c r="R5" s="1200">
        <v>0.14599999999999999</v>
      </c>
      <c r="S5" s="1200">
        <v>0.08</v>
      </c>
      <c r="T5" s="1200">
        <v>18.823</v>
      </c>
      <c r="U5" s="1155">
        <v>19</v>
      </c>
      <c r="V5" s="1200">
        <v>11.481999999999999</v>
      </c>
      <c r="W5" s="759">
        <v>1.5580000000000001</v>
      </c>
      <c r="X5" s="759">
        <v>0.74</v>
      </c>
      <c r="Y5" s="1155">
        <v>0.2</v>
      </c>
      <c r="Z5" s="1155">
        <v>43.1</v>
      </c>
      <c r="AA5" s="1155">
        <v>33.9</v>
      </c>
      <c r="AB5" s="1155">
        <v>118.5</v>
      </c>
      <c r="AC5" s="1155">
        <v>28</v>
      </c>
      <c r="AD5" s="759">
        <v>-2.0379999999999998</v>
      </c>
      <c r="AE5" s="1155">
        <v>14.31</v>
      </c>
      <c r="AF5" s="1200">
        <v>0.42</v>
      </c>
      <c r="AG5" s="1200">
        <v>7.7279999999999998</v>
      </c>
      <c r="AH5" s="1155">
        <v>7.0000000000000007E-2</v>
      </c>
      <c r="AI5" s="1155">
        <v>0</v>
      </c>
      <c r="AJ5" s="1155">
        <v>283.95749999999998</v>
      </c>
      <c r="AK5" s="1191">
        <v>3.4</v>
      </c>
      <c r="AL5" s="1191">
        <v>12.347</v>
      </c>
      <c r="AM5" s="1201">
        <v>0.28599999999999998</v>
      </c>
      <c r="AN5" s="1191">
        <v>2</v>
      </c>
      <c r="AO5" s="1155">
        <v>0.81</v>
      </c>
      <c r="AP5" s="1191">
        <v>0.52100000000000002</v>
      </c>
      <c r="AQ5" s="1202">
        <v>10</v>
      </c>
      <c r="AR5" s="1191">
        <v>2.7</v>
      </c>
      <c r="AS5" s="1191">
        <v>0.751</v>
      </c>
      <c r="AT5" s="1155">
        <v>12.56</v>
      </c>
      <c r="AU5" s="1155">
        <v>0</v>
      </c>
      <c r="AV5" s="1191">
        <v>1.415</v>
      </c>
      <c r="AW5" s="1191">
        <v>10.51</v>
      </c>
      <c r="AX5" s="1191">
        <v>2.6</v>
      </c>
      <c r="AY5" s="1155">
        <v>-0.33</v>
      </c>
      <c r="AZ5" s="1191">
        <v>17.744</v>
      </c>
      <c r="BA5" s="1155">
        <v>0</v>
      </c>
      <c r="BB5" s="1191">
        <v>4.0999999999999996</v>
      </c>
      <c r="BC5" s="1191">
        <v>7.25</v>
      </c>
      <c r="BD5" s="1191">
        <v>48.4</v>
      </c>
      <c r="BE5" s="1200">
        <v>0.83</v>
      </c>
      <c r="BF5" s="759">
        <v>4.5110000000000001</v>
      </c>
      <c r="BG5" s="1155">
        <v>3.0739999999999998</v>
      </c>
      <c r="BH5" s="1156">
        <v>-0.28399999999999997</v>
      </c>
      <c r="BI5" s="1191">
        <v>21.012</v>
      </c>
      <c r="BJ5" s="1180">
        <v>1.1599999999999999</v>
      </c>
    </row>
    <row r="6" spans="1:62" x14ac:dyDescent="0.35">
      <c r="A6" s="1169">
        <v>2022</v>
      </c>
      <c r="B6" s="1171">
        <f t="shared" ref="B6:B15" si="1">Q6</f>
        <v>17.465</v>
      </c>
      <c r="C6" s="1171">
        <f t="shared" ref="C6:C15" si="2">SUM(Y6:AB6)</f>
        <v>10.1</v>
      </c>
      <c r="D6" s="1171">
        <f t="shared" ref="D6:D15" si="3">T6</f>
        <v>2.5950000000000002</v>
      </c>
      <c r="E6" s="1171">
        <f t="shared" ref="E6:E15" si="4">SUM(P6:S6)-B6</f>
        <v>19.719000000000005</v>
      </c>
      <c r="F6" s="1171">
        <f>SUM(T6:AF6)-C6-L6-D6</f>
        <v>52.756999999999998</v>
      </c>
      <c r="G6" s="1171">
        <f t="shared" ref="G6:G16" si="5">SUM(BB6:BI6)-BC6</f>
        <v>110.24799999999999</v>
      </c>
      <c r="H6" s="1171">
        <f t="shared" ref="H6:H15" si="6">SUM(AG6:AI6)</f>
        <v>7.9489999999999998</v>
      </c>
      <c r="I6" s="1171">
        <f t="shared" ref="I6:I15" si="7">AJ6</f>
        <v>77.092500000000001</v>
      </c>
      <c r="J6" s="1171">
        <f t="shared" ref="J6:J15" si="8">AL6</f>
        <v>46.79</v>
      </c>
      <c r="K6" s="1171">
        <f t="shared" ref="K6:K16" si="9">SUM(AM6:AT6)</f>
        <v>35.671000000000006</v>
      </c>
      <c r="L6" s="1175">
        <v>0</v>
      </c>
      <c r="M6" s="1171">
        <f t="shared" si="0"/>
        <v>56.412999999999997</v>
      </c>
      <c r="N6" s="1171">
        <f t="shared" ref="N6:N15" si="10">AK6</f>
        <v>5.0999999999999996</v>
      </c>
      <c r="O6" s="1198">
        <v>55</v>
      </c>
      <c r="P6" s="1192">
        <v>15.61</v>
      </c>
      <c r="Q6" s="1155">
        <v>17.465</v>
      </c>
      <c r="R6" s="1200">
        <v>0.317</v>
      </c>
      <c r="S6" s="1200">
        <v>3.7919999999999998</v>
      </c>
      <c r="T6" s="1155">
        <v>2.5950000000000002</v>
      </c>
      <c r="U6" s="1191">
        <v>14.5</v>
      </c>
      <c r="V6" s="1155">
        <v>25.070999999999998</v>
      </c>
      <c r="W6" s="759">
        <v>1.952</v>
      </c>
      <c r="X6" s="759">
        <v>0.61399999999999999</v>
      </c>
      <c r="Y6" s="1191">
        <v>0</v>
      </c>
      <c r="Z6" s="1191">
        <v>2.2999999999999998</v>
      </c>
      <c r="AA6" s="1191">
        <v>1.6</v>
      </c>
      <c r="AB6" s="1191">
        <v>6.2</v>
      </c>
      <c r="AC6" s="1155">
        <v>0</v>
      </c>
      <c r="AD6" s="1155">
        <v>1.31</v>
      </c>
      <c r="AE6" s="1155">
        <v>8.61</v>
      </c>
      <c r="AF6" s="1155">
        <v>0.7</v>
      </c>
      <c r="AG6" s="1200">
        <v>7.782</v>
      </c>
      <c r="AH6" s="1155">
        <v>0.12</v>
      </c>
      <c r="AI6" s="1155">
        <v>4.7E-2</v>
      </c>
      <c r="AJ6" s="1155">
        <v>77.092500000000001</v>
      </c>
      <c r="AK6" s="1191">
        <v>5.0999999999999996</v>
      </c>
      <c r="AL6" s="1191">
        <v>46.79</v>
      </c>
      <c r="AM6" s="1156">
        <v>0.30499999999999999</v>
      </c>
      <c r="AN6" s="1191">
        <v>4.3</v>
      </c>
      <c r="AO6" s="759">
        <v>1.1000000000000001</v>
      </c>
      <c r="AP6" s="1191">
        <v>1.575</v>
      </c>
      <c r="AQ6" s="1202">
        <v>10</v>
      </c>
      <c r="AR6" s="1191">
        <v>4.5</v>
      </c>
      <c r="AS6" s="1191">
        <v>1.9810000000000001</v>
      </c>
      <c r="AT6" s="1155">
        <v>11.91</v>
      </c>
      <c r="AU6" s="1155">
        <v>0</v>
      </c>
      <c r="AV6" s="1191">
        <v>3.927</v>
      </c>
      <c r="AW6" s="1191">
        <v>4.2880000000000003</v>
      </c>
      <c r="AX6" s="1191">
        <v>3.7</v>
      </c>
      <c r="AY6" s="1155">
        <v>-1.34</v>
      </c>
      <c r="AZ6" s="1191">
        <v>45.838000000000001</v>
      </c>
      <c r="BA6" s="1155">
        <v>0</v>
      </c>
      <c r="BB6" s="1191">
        <v>11.3</v>
      </c>
      <c r="BC6" s="1191">
        <v>0</v>
      </c>
      <c r="BD6" s="1191">
        <v>1.1000000000000001</v>
      </c>
      <c r="BE6" s="1200">
        <v>1.75</v>
      </c>
      <c r="BF6" s="759">
        <v>1.7330000000000001</v>
      </c>
      <c r="BG6" s="759">
        <v>7.1440000000000001</v>
      </c>
      <c r="BH6" s="1157">
        <v>81.608999999999995</v>
      </c>
      <c r="BI6" s="1191">
        <v>5.6120000000000001</v>
      </c>
      <c r="BJ6" s="1180">
        <v>4.2</v>
      </c>
    </row>
    <row r="7" spans="1:62" x14ac:dyDescent="0.35">
      <c r="A7" s="1169">
        <v>2023</v>
      </c>
      <c r="B7" s="1171">
        <f t="shared" si="1"/>
        <v>0.48599999999999999</v>
      </c>
      <c r="C7" s="1171">
        <f t="shared" si="2"/>
        <v>0</v>
      </c>
      <c r="D7" s="1171">
        <f t="shared" si="3"/>
        <v>0.93700000000000006</v>
      </c>
      <c r="E7" s="1171">
        <f t="shared" si="4"/>
        <v>1.4159999999999999</v>
      </c>
      <c r="F7" s="1171">
        <f t="shared" ref="F7:F15" si="11">SUM(T7:AF7)-C7-L7-D7</f>
        <v>12</v>
      </c>
      <c r="G7" s="1171">
        <f t="shared" si="5"/>
        <v>12.726000000000001</v>
      </c>
      <c r="H7" s="1171">
        <f t="shared" si="6"/>
        <v>4.7519999999999998</v>
      </c>
      <c r="I7" s="1171">
        <f t="shared" si="7"/>
        <v>1</v>
      </c>
      <c r="J7" s="1171">
        <f t="shared" si="8"/>
        <v>38.595999999999997</v>
      </c>
      <c r="K7" s="1171">
        <f t="shared" si="9"/>
        <v>24.216000000000001</v>
      </c>
      <c r="L7" s="1175">
        <v>0</v>
      </c>
      <c r="M7" s="1171">
        <f t="shared" si="0"/>
        <v>15.652999999999999</v>
      </c>
      <c r="N7" s="1171">
        <f t="shared" si="10"/>
        <v>0</v>
      </c>
      <c r="O7" s="1198">
        <v>0.7</v>
      </c>
      <c r="P7" s="1192">
        <v>0.96</v>
      </c>
      <c r="Q7" s="1155">
        <v>0.48599999999999999</v>
      </c>
      <c r="R7" s="1200">
        <v>0.45600000000000002</v>
      </c>
      <c r="S7" s="1155">
        <v>0</v>
      </c>
      <c r="T7" s="1158">
        <v>0.93700000000000006</v>
      </c>
      <c r="U7" s="1191">
        <v>3</v>
      </c>
      <c r="V7" s="1200">
        <v>7.891</v>
      </c>
      <c r="W7" s="759">
        <v>0.61699999999999999</v>
      </c>
      <c r="X7" s="759">
        <v>8.4000000000000005E-2</v>
      </c>
      <c r="Y7" s="1191">
        <v>0</v>
      </c>
      <c r="Z7" s="1191">
        <v>0</v>
      </c>
      <c r="AA7" s="1191">
        <v>0</v>
      </c>
      <c r="AB7" s="1191">
        <v>0</v>
      </c>
      <c r="AC7" s="1155">
        <v>0</v>
      </c>
      <c r="AD7" s="1155">
        <v>0.318</v>
      </c>
      <c r="AE7" s="1200">
        <v>-0.11000000000000001</v>
      </c>
      <c r="AF7" s="1155">
        <v>0.2</v>
      </c>
      <c r="AG7" s="1200">
        <v>4.6749999999999998</v>
      </c>
      <c r="AH7" s="1155">
        <v>0.06</v>
      </c>
      <c r="AI7" s="1155">
        <v>1.7000000000000001E-2</v>
      </c>
      <c r="AJ7" s="1155">
        <v>1</v>
      </c>
      <c r="AK7" s="1191">
        <v>0</v>
      </c>
      <c r="AL7" s="1191">
        <v>38.595999999999997</v>
      </c>
      <c r="AM7" s="1155">
        <v>0.14899999999999999</v>
      </c>
      <c r="AN7" s="1191">
        <v>1.2</v>
      </c>
      <c r="AO7" s="759">
        <v>0.53</v>
      </c>
      <c r="AP7" s="1191">
        <v>0.38100000000000001</v>
      </c>
      <c r="AQ7" s="1202">
        <v>8</v>
      </c>
      <c r="AR7" s="1191">
        <v>4.5</v>
      </c>
      <c r="AS7" s="1191">
        <v>0.76600000000000001</v>
      </c>
      <c r="AT7" s="1155">
        <v>8.69</v>
      </c>
      <c r="AU7" s="1155">
        <v>0</v>
      </c>
      <c r="AV7" s="1191">
        <v>1.93</v>
      </c>
      <c r="AW7" s="1191">
        <v>1.4379999999999999</v>
      </c>
      <c r="AX7" s="1191">
        <v>2.6</v>
      </c>
      <c r="AY7" s="759">
        <v>-2.48</v>
      </c>
      <c r="AZ7" s="1191">
        <v>12.164999999999999</v>
      </c>
      <c r="BA7" s="759">
        <v>0</v>
      </c>
      <c r="BB7" s="1191">
        <v>8.4</v>
      </c>
      <c r="BC7" s="1191">
        <v>0</v>
      </c>
      <c r="BD7" s="1191">
        <v>0.3</v>
      </c>
      <c r="BE7" s="1200">
        <v>1.8</v>
      </c>
      <c r="BF7" s="759">
        <v>0</v>
      </c>
      <c r="BG7" s="759">
        <v>0</v>
      </c>
      <c r="BH7" s="1156">
        <v>1.3759999999999999</v>
      </c>
      <c r="BI7" s="1191">
        <v>0.85</v>
      </c>
      <c r="BJ7" s="1180">
        <v>2.7</v>
      </c>
    </row>
    <row r="8" spans="1:62" x14ac:dyDescent="0.35">
      <c r="A8" s="1169">
        <v>2024</v>
      </c>
      <c r="B8" s="1171">
        <f t="shared" si="1"/>
        <v>0</v>
      </c>
      <c r="C8" s="1171">
        <f t="shared" si="2"/>
        <v>0</v>
      </c>
      <c r="D8" s="1171">
        <f t="shared" si="3"/>
        <v>0.16</v>
      </c>
      <c r="E8" s="1171">
        <f t="shared" si="4"/>
        <v>1.4790000000000001</v>
      </c>
      <c r="F8" s="1171">
        <f t="shared" si="11"/>
        <v>4.2219999999999995</v>
      </c>
      <c r="G8" s="1171">
        <f t="shared" si="5"/>
        <v>1.365</v>
      </c>
      <c r="H8" s="1171">
        <f t="shared" si="6"/>
        <v>4.637999999999999</v>
      </c>
      <c r="I8" s="1171">
        <f t="shared" si="7"/>
        <v>0</v>
      </c>
      <c r="J8" s="1171">
        <f t="shared" si="8"/>
        <v>31.911000000000001</v>
      </c>
      <c r="K8" s="1171">
        <f t="shared" si="9"/>
        <v>9.6430000000000007</v>
      </c>
      <c r="L8" s="1175">
        <v>0</v>
      </c>
      <c r="M8" s="1171">
        <f t="shared" si="0"/>
        <v>3.9320000000000004</v>
      </c>
      <c r="N8" s="1171">
        <f t="shared" si="10"/>
        <v>0</v>
      </c>
      <c r="O8" s="1198">
        <v>0.7</v>
      </c>
      <c r="P8" s="1192">
        <v>0.96</v>
      </c>
      <c r="Q8" s="1191">
        <v>0</v>
      </c>
      <c r="R8" s="1200">
        <v>0.51900000000000002</v>
      </c>
      <c r="S8" s="1155">
        <v>0</v>
      </c>
      <c r="T8" s="1159">
        <v>0.16</v>
      </c>
      <c r="U8" s="1191">
        <v>2.8</v>
      </c>
      <c r="V8" s="1155">
        <v>0.504</v>
      </c>
      <c r="W8" s="759">
        <v>0.47199999999999998</v>
      </c>
      <c r="X8" s="759">
        <v>2E-3</v>
      </c>
      <c r="Y8" s="1191">
        <v>0</v>
      </c>
      <c r="Z8" s="1191">
        <v>0</v>
      </c>
      <c r="AA8" s="1191">
        <v>0</v>
      </c>
      <c r="AB8" s="1191">
        <v>0</v>
      </c>
      <c r="AC8" s="1155">
        <v>0</v>
      </c>
      <c r="AD8" s="1155">
        <v>0.34399999999999997</v>
      </c>
      <c r="AE8" s="1200">
        <v>0</v>
      </c>
      <c r="AF8" s="1200">
        <v>0.1</v>
      </c>
      <c r="AG8" s="1200">
        <v>4.5739999999999998</v>
      </c>
      <c r="AH8" s="1155">
        <v>0.06</v>
      </c>
      <c r="AI8" s="1155">
        <v>4.0000000000000001E-3</v>
      </c>
      <c r="AJ8" s="1155">
        <v>0</v>
      </c>
      <c r="AK8" s="1191">
        <v>0</v>
      </c>
      <c r="AL8" s="1191">
        <v>31.911000000000001</v>
      </c>
      <c r="AM8" s="1155">
        <v>4.1000000000000002E-2</v>
      </c>
      <c r="AN8" s="1191">
        <v>0.4</v>
      </c>
      <c r="AO8" s="759">
        <v>0.41</v>
      </c>
      <c r="AP8" s="1191">
        <v>0.13100000000000001</v>
      </c>
      <c r="AQ8" s="1202">
        <v>0</v>
      </c>
      <c r="AR8" s="1191">
        <v>3</v>
      </c>
      <c r="AS8" s="1191">
        <v>0.30099999999999999</v>
      </c>
      <c r="AT8" s="759">
        <v>5.36</v>
      </c>
      <c r="AU8" s="1155">
        <v>0</v>
      </c>
      <c r="AV8" s="1191">
        <v>0.79600000000000004</v>
      </c>
      <c r="AW8" s="1191">
        <v>0.27500000000000002</v>
      </c>
      <c r="AX8" s="1191">
        <v>1</v>
      </c>
      <c r="AY8" s="759">
        <v>-2.6</v>
      </c>
      <c r="AZ8" s="1191">
        <v>4.4610000000000003</v>
      </c>
      <c r="BA8" s="759">
        <v>0</v>
      </c>
      <c r="BB8" s="1191">
        <v>0.2</v>
      </c>
      <c r="BC8" s="1191">
        <v>0</v>
      </c>
      <c r="BD8" s="1191">
        <v>0</v>
      </c>
      <c r="BE8" s="1200">
        <v>1.95</v>
      </c>
      <c r="BF8" s="759">
        <v>0</v>
      </c>
      <c r="BG8" s="759">
        <v>0</v>
      </c>
      <c r="BH8" s="1156">
        <v>-0.875</v>
      </c>
      <c r="BI8" s="1191">
        <v>0.09</v>
      </c>
      <c r="BJ8" s="1181">
        <v>0.87</v>
      </c>
    </row>
    <row r="9" spans="1:62" x14ac:dyDescent="0.35">
      <c r="A9" s="1169">
        <v>2025</v>
      </c>
      <c r="B9" s="1171">
        <f t="shared" si="1"/>
        <v>0</v>
      </c>
      <c r="C9" s="1171">
        <f t="shared" si="2"/>
        <v>0</v>
      </c>
      <c r="D9" s="1171">
        <f t="shared" si="3"/>
        <v>3.3000000000000002E-2</v>
      </c>
      <c r="E9" s="1171">
        <f t="shared" si="4"/>
        <v>1.63</v>
      </c>
      <c r="F9" s="1171">
        <f t="shared" si="11"/>
        <v>2.3719999999999999</v>
      </c>
      <c r="G9" s="1171">
        <f t="shared" si="5"/>
        <v>-0.90100000000000025</v>
      </c>
      <c r="H9" s="1171">
        <f t="shared" si="6"/>
        <v>1.8800000000000001</v>
      </c>
      <c r="I9" s="1171">
        <f t="shared" si="7"/>
        <v>0</v>
      </c>
      <c r="J9" s="1171">
        <f t="shared" si="8"/>
        <v>23.099</v>
      </c>
      <c r="K9" s="1171">
        <f t="shared" si="9"/>
        <v>4.5789999999999997</v>
      </c>
      <c r="L9" s="1175">
        <v>0</v>
      </c>
      <c r="M9" s="1171">
        <f t="shared" si="0"/>
        <v>-0.74299999999999988</v>
      </c>
      <c r="N9" s="1171">
        <f t="shared" si="10"/>
        <v>0</v>
      </c>
      <c r="O9" s="1198">
        <v>0.7</v>
      </c>
      <c r="P9" s="1192">
        <v>1.06</v>
      </c>
      <c r="Q9" s="1191">
        <v>0</v>
      </c>
      <c r="R9" s="1200">
        <v>0.56999999999999995</v>
      </c>
      <c r="S9" s="1155">
        <v>0</v>
      </c>
      <c r="T9" s="1160">
        <v>3.3000000000000002E-2</v>
      </c>
      <c r="U9" s="1191">
        <v>2</v>
      </c>
      <c r="V9" s="1160">
        <v>0</v>
      </c>
      <c r="W9" s="759">
        <v>0.21299999999999999</v>
      </c>
      <c r="X9" s="759">
        <v>2E-3</v>
      </c>
      <c r="Y9" s="1191">
        <v>0</v>
      </c>
      <c r="Z9" s="1191">
        <v>0</v>
      </c>
      <c r="AA9" s="1191">
        <v>0</v>
      </c>
      <c r="AB9" s="1191">
        <v>0</v>
      </c>
      <c r="AC9" s="1155">
        <v>0</v>
      </c>
      <c r="AD9" s="1155">
        <v>0.157</v>
      </c>
      <c r="AE9" s="1200">
        <v>0</v>
      </c>
      <c r="AF9" s="1200">
        <v>0</v>
      </c>
      <c r="AG9" s="1155">
        <v>1.81</v>
      </c>
      <c r="AH9" s="1155">
        <v>7.0000000000000007E-2</v>
      </c>
      <c r="AI9" s="1155">
        <v>0</v>
      </c>
      <c r="AJ9" s="1191">
        <v>0</v>
      </c>
      <c r="AK9" s="1191">
        <v>0</v>
      </c>
      <c r="AL9" s="1191">
        <v>23.099</v>
      </c>
      <c r="AM9" s="1155">
        <v>1.2999999999999999E-2</v>
      </c>
      <c r="AN9" s="1191">
        <v>0.3</v>
      </c>
      <c r="AO9" s="1189">
        <v>0.15</v>
      </c>
      <c r="AP9" s="1191">
        <v>0.112</v>
      </c>
      <c r="AQ9" s="1202">
        <v>0</v>
      </c>
      <c r="AR9" s="1191">
        <v>0.2</v>
      </c>
      <c r="AS9" s="1191">
        <v>7.3999999999999996E-2</v>
      </c>
      <c r="AT9" s="759">
        <v>3.73</v>
      </c>
      <c r="AU9" s="1155">
        <v>0</v>
      </c>
      <c r="AV9" s="1191">
        <v>5.3999999999999999E-2</v>
      </c>
      <c r="AW9" s="1191">
        <v>0.13100000000000001</v>
      </c>
      <c r="AX9" s="1191">
        <v>0</v>
      </c>
      <c r="AY9" s="759">
        <v>-2.71</v>
      </c>
      <c r="AZ9" s="1191">
        <v>1.782</v>
      </c>
      <c r="BA9" s="759">
        <v>0</v>
      </c>
      <c r="BB9" s="1191">
        <v>0</v>
      </c>
      <c r="BC9" s="1191">
        <v>0</v>
      </c>
      <c r="BD9" s="1191">
        <v>0</v>
      </c>
      <c r="BE9" s="1200">
        <v>1.43</v>
      </c>
      <c r="BF9" s="759">
        <v>0</v>
      </c>
      <c r="BG9" s="759">
        <v>0</v>
      </c>
      <c r="BH9" s="1156">
        <v>-2.3410000000000002</v>
      </c>
      <c r="BI9" s="1191">
        <v>0.01</v>
      </c>
      <c r="BJ9" s="1181">
        <v>0.33</v>
      </c>
    </row>
    <row r="10" spans="1:62" x14ac:dyDescent="0.35">
      <c r="A10" s="1169">
        <v>2026</v>
      </c>
      <c r="B10" s="1171">
        <f t="shared" si="1"/>
        <v>0</v>
      </c>
      <c r="C10" s="1171">
        <f t="shared" si="2"/>
        <v>0</v>
      </c>
      <c r="D10" s="1171">
        <f t="shared" si="3"/>
        <v>3.2000000000000001E-2</v>
      </c>
      <c r="E10" s="1171">
        <f t="shared" si="4"/>
        <v>1.671</v>
      </c>
      <c r="F10" s="1171">
        <f t="shared" si="11"/>
        <v>0.49</v>
      </c>
      <c r="G10" s="1171">
        <f t="shared" si="5"/>
        <v>-2.1500000000000004</v>
      </c>
      <c r="H10" s="1171">
        <f t="shared" si="6"/>
        <v>1.446</v>
      </c>
      <c r="I10" s="1171">
        <f t="shared" si="7"/>
        <v>0</v>
      </c>
      <c r="J10" s="1171">
        <f t="shared" si="8"/>
        <v>10.766999999999999</v>
      </c>
      <c r="K10" s="1171">
        <f t="shared" si="9"/>
        <v>2.9130000000000003</v>
      </c>
      <c r="L10" s="1175"/>
      <c r="M10" s="1171">
        <f t="shared" si="0"/>
        <v>-21.606000000000002</v>
      </c>
      <c r="N10" s="1171">
        <f t="shared" si="10"/>
        <v>0</v>
      </c>
      <c r="O10" s="1198">
        <v>0.7</v>
      </c>
      <c r="P10" s="1192">
        <v>1.07</v>
      </c>
      <c r="Q10" s="1191">
        <v>0</v>
      </c>
      <c r="R10" s="1200">
        <v>0.60099999999999998</v>
      </c>
      <c r="S10" s="1155">
        <v>0</v>
      </c>
      <c r="T10" s="1156">
        <v>3.2000000000000001E-2</v>
      </c>
      <c r="U10" s="1191">
        <v>0.3</v>
      </c>
      <c r="V10" s="1200">
        <v>0</v>
      </c>
      <c r="W10" s="759">
        <v>0.188</v>
      </c>
      <c r="X10" s="759">
        <v>2E-3</v>
      </c>
      <c r="Y10" s="1191">
        <v>0</v>
      </c>
      <c r="Z10" s="1191">
        <v>0</v>
      </c>
      <c r="AA10" s="1191">
        <v>0</v>
      </c>
      <c r="AB10" s="1191">
        <v>0</v>
      </c>
      <c r="AC10" s="1155">
        <v>0</v>
      </c>
      <c r="AD10" s="1155">
        <v>0</v>
      </c>
      <c r="AE10" s="1155">
        <v>0</v>
      </c>
      <c r="AF10" s="1200">
        <v>0</v>
      </c>
      <c r="AG10" s="1155">
        <v>1.3759999999999999</v>
      </c>
      <c r="AH10" s="1155">
        <v>7.0000000000000007E-2</v>
      </c>
      <c r="AI10" s="1155">
        <v>0</v>
      </c>
      <c r="AJ10" s="1161">
        <v>0</v>
      </c>
      <c r="AK10" s="1191">
        <v>0</v>
      </c>
      <c r="AL10" s="1191">
        <v>10.766999999999999</v>
      </c>
      <c r="AM10" s="1155">
        <v>3.0000000000000001E-3</v>
      </c>
      <c r="AN10" s="1191">
        <v>0.2</v>
      </c>
      <c r="AO10" s="1189">
        <v>0.1</v>
      </c>
      <c r="AP10" s="1191">
        <v>0.05</v>
      </c>
      <c r="AQ10" s="1202">
        <v>0</v>
      </c>
      <c r="AR10" s="1191">
        <v>0</v>
      </c>
      <c r="AS10" s="1191">
        <v>0</v>
      </c>
      <c r="AT10" s="759">
        <v>2.56</v>
      </c>
      <c r="AU10" s="1155">
        <v>0</v>
      </c>
      <c r="AV10" s="1191">
        <v>3.7999999999999999E-2</v>
      </c>
      <c r="AW10" s="1191">
        <v>2.5999999999999999E-2</v>
      </c>
      <c r="AX10" s="1191">
        <v>0</v>
      </c>
      <c r="AY10" s="759">
        <v>-2.6700000000000004</v>
      </c>
      <c r="AZ10" s="1191">
        <v>0</v>
      </c>
      <c r="BA10" s="759">
        <v>-19</v>
      </c>
      <c r="BB10" s="1191">
        <v>0</v>
      </c>
      <c r="BC10" s="1191">
        <v>0</v>
      </c>
      <c r="BD10" s="1191">
        <v>0</v>
      </c>
      <c r="BE10" s="759">
        <v>0.88</v>
      </c>
      <c r="BF10" s="759">
        <v>0</v>
      </c>
      <c r="BG10" s="759">
        <v>0</v>
      </c>
      <c r="BH10" s="1155">
        <v>-2.8200000000000003</v>
      </c>
      <c r="BI10" s="1191">
        <v>-0.21</v>
      </c>
      <c r="BJ10" s="1181">
        <v>0.17</v>
      </c>
    </row>
    <row r="11" spans="1:62" x14ac:dyDescent="0.35">
      <c r="A11" s="1169">
        <v>2027</v>
      </c>
      <c r="B11" s="1171">
        <f t="shared" si="1"/>
        <v>0</v>
      </c>
      <c r="C11" s="1171">
        <f t="shared" si="2"/>
        <v>0</v>
      </c>
      <c r="D11" s="1171">
        <f t="shared" si="3"/>
        <v>3.2000000000000001E-2</v>
      </c>
      <c r="E11" s="1171">
        <f t="shared" si="4"/>
        <v>1.7130000000000001</v>
      </c>
      <c r="F11" s="1171">
        <f t="shared" si="11"/>
        <v>0</v>
      </c>
      <c r="G11" s="1171">
        <f t="shared" si="5"/>
        <v>-4.8169999999999993</v>
      </c>
      <c r="H11" s="1171">
        <f t="shared" si="6"/>
        <v>0.65699999999999992</v>
      </c>
      <c r="I11" s="1171">
        <f t="shared" si="7"/>
        <v>0</v>
      </c>
      <c r="J11" s="1171">
        <f t="shared" si="8"/>
        <v>4.0789999999999997</v>
      </c>
      <c r="K11" s="1171">
        <f t="shared" si="9"/>
        <v>2.46</v>
      </c>
      <c r="L11" s="1175"/>
      <c r="M11" s="1171">
        <f t="shared" si="0"/>
        <v>-14.713000000000001</v>
      </c>
      <c r="N11" s="1171">
        <f t="shared" si="10"/>
        <v>0</v>
      </c>
      <c r="O11" s="1198">
        <v>0.3</v>
      </c>
      <c r="P11" s="1192">
        <v>1.08</v>
      </c>
      <c r="Q11" s="1191">
        <v>0</v>
      </c>
      <c r="R11" s="1200">
        <v>0.63300000000000001</v>
      </c>
      <c r="S11" s="1159">
        <v>0</v>
      </c>
      <c r="T11" s="1191">
        <v>3.2000000000000001E-2</v>
      </c>
      <c r="U11" s="1191">
        <v>0</v>
      </c>
      <c r="V11" s="1155">
        <v>0</v>
      </c>
      <c r="W11" s="759">
        <v>0</v>
      </c>
      <c r="X11" s="759">
        <v>0</v>
      </c>
      <c r="Y11" s="1191">
        <v>0</v>
      </c>
      <c r="Z11" s="1191">
        <v>0</v>
      </c>
      <c r="AA11" s="1191">
        <v>0</v>
      </c>
      <c r="AB11" s="1191">
        <v>0</v>
      </c>
      <c r="AC11" s="1155">
        <v>0</v>
      </c>
      <c r="AD11" s="1200">
        <v>0</v>
      </c>
      <c r="AE11" s="1155">
        <v>0</v>
      </c>
      <c r="AF11" s="1200">
        <v>0</v>
      </c>
      <c r="AG11" s="1155">
        <v>0.57699999999999996</v>
      </c>
      <c r="AH11" s="1155">
        <v>0.08</v>
      </c>
      <c r="AI11" s="1155">
        <v>0</v>
      </c>
      <c r="AJ11" s="1155">
        <v>0</v>
      </c>
      <c r="AK11" s="1191">
        <v>0</v>
      </c>
      <c r="AL11" s="1191">
        <v>4.0789999999999997</v>
      </c>
      <c r="AM11" s="1191">
        <v>0</v>
      </c>
      <c r="AN11" s="1191">
        <v>0.1</v>
      </c>
      <c r="AO11" s="1189">
        <v>0.1</v>
      </c>
      <c r="AP11" s="1191">
        <v>0.03</v>
      </c>
      <c r="AQ11" s="1202">
        <v>0</v>
      </c>
      <c r="AR11" s="1191">
        <v>0</v>
      </c>
      <c r="AS11" s="1191">
        <v>0</v>
      </c>
      <c r="AT11" s="1189">
        <v>2.23</v>
      </c>
      <c r="AU11" s="1155">
        <v>0</v>
      </c>
      <c r="AV11" s="1191">
        <v>1.7000000000000001E-2</v>
      </c>
      <c r="AW11" s="1191">
        <v>0</v>
      </c>
      <c r="AX11" s="1191">
        <v>0</v>
      </c>
      <c r="AY11" s="759">
        <v>-2.73</v>
      </c>
      <c r="AZ11" s="1191">
        <v>0</v>
      </c>
      <c r="BA11" s="759">
        <v>-12</v>
      </c>
      <c r="BB11" s="1191">
        <v>0</v>
      </c>
      <c r="BC11" s="1191">
        <v>0</v>
      </c>
      <c r="BD11" s="1191">
        <v>0</v>
      </c>
      <c r="BE11" s="759">
        <v>0.28000000000000003</v>
      </c>
      <c r="BF11" s="759">
        <v>0</v>
      </c>
      <c r="BG11" s="759">
        <v>0</v>
      </c>
      <c r="BH11" s="1160">
        <v>-5.0069999999999997</v>
      </c>
      <c r="BI11" s="1191">
        <v>-0.09</v>
      </c>
      <c r="BJ11" s="1182">
        <v>0.06</v>
      </c>
    </row>
    <row r="12" spans="1:62" x14ac:dyDescent="0.35">
      <c r="A12" s="1169">
        <v>2028</v>
      </c>
      <c r="B12" s="1171">
        <f t="shared" si="1"/>
        <v>0</v>
      </c>
      <c r="C12" s="1171">
        <f t="shared" si="2"/>
        <v>0</v>
      </c>
      <c r="D12" s="1171">
        <f t="shared" si="3"/>
        <v>3.3000000000000002E-2</v>
      </c>
      <c r="E12" s="1171">
        <f t="shared" si="4"/>
        <v>1.7130000000000001</v>
      </c>
      <c r="F12" s="1171">
        <f t="shared" si="11"/>
        <v>0</v>
      </c>
      <c r="G12" s="1171">
        <f t="shared" si="5"/>
        <v>-5.0590000000000002</v>
      </c>
      <c r="H12" s="1171">
        <f t="shared" si="6"/>
        <v>-1.071</v>
      </c>
      <c r="I12" s="1171">
        <f t="shared" si="7"/>
        <v>0</v>
      </c>
      <c r="J12" s="1171">
        <f t="shared" si="8"/>
        <v>1.635</v>
      </c>
      <c r="K12" s="1171">
        <f t="shared" si="9"/>
        <v>1.81</v>
      </c>
      <c r="L12" s="1175"/>
      <c r="M12" s="1171">
        <f t="shared" si="0"/>
        <v>-2.7690000000000001</v>
      </c>
      <c r="N12" s="1171">
        <f t="shared" si="10"/>
        <v>0</v>
      </c>
      <c r="O12" s="1198">
        <v>0.3</v>
      </c>
      <c r="P12" s="1192">
        <v>1.08</v>
      </c>
      <c r="Q12" s="1191">
        <v>0</v>
      </c>
      <c r="R12" s="1200">
        <v>0.63300000000000001</v>
      </c>
      <c r="S12" s="1159">
        <v>0</v>
      </c>
      <c r="T12" s="1162">
        <v>3.3000000000000002E-2</v>
      </c>
      <c r="U12" s="1191">
        <v>0</v>
      </c>
      <c r="V12" s="1155">
        <v>0</v>
      </c>
      <c r="W12" s="759">
        <v>0</v>
      </c>
      <c r="X12" s="759">
        <v>0</v>
      </c>
      <c r="Y12" s="1191">
        <v>0</v>
      </c>
      <c r="Z12" s="1191">
        <v>0</v>
      </c>
      <c r="AA12" s="1191">
        <v>0</v>
      </c>
      <c r="AB12" s="1191">
        <v>0</v>
      </c>
      <c r="AC12" s="1155">
        <v>0</v>
      </c>
      <c r="AD12" s="1155">
        <v>0</v>
      </c>
      <c r="AE12" s="1155">
        <v>0</v>
      </c>
      <c r="AF12" s="1155">
        <v>0</v>
      </c>
      <c r="AG12" s="1155">
        <v>-1.151</v>
      </c>
      <c r="AH12" s="1155">
        <v>0.08</v>
      </c>
      <c r="AI12" s="1155">
        <v>0</v>
      </c>
      <c r="AJ12" s="1155">
        <v>0</v>
      </c>
      <c r="AK12" s="1191">
        <v>0</v>
      </c>
      <c r="AL12" s="1191">
        <v>1.635</v>
      </c>
      <c r="AM12" s="1191">
        <v>0</v>
      </c>
      <c r="AN12" s="1191">
        <v>0.1</v>
      </c>
      <c r="AO12" s="759">
        <v>0</v>
      </c>
      <c r="AP12" s="1191">
        <v>0</v>
      </c>
      <c r="AQ12" s="1202">
        <v>0</v>
      </c>
      <c r="AR12" s="1191">
        <v>0</v>
      </c>
      <c r="AS12" s="1191">
        <v>0</v>
      </c>
      <c r="AT12" s="1189">
        <v>1.71</v>
      </c>
      <c r="AU12" s="1155">
        <v>0</v>
      </c>
      <c r="AV12" s="1191">
        <v>1E-3</v>
      </c>
      <c r="AW12" s="1191">
        <v>0</v>
      </c>
      <c r="AX12" s="1191">
        <v>0</v>
      </c>
      <c r="AY12" s="759">
        <v>-2.77</v>
      </c>
      <c r="AZ12" s="1191">
        <v>0</v>
      </c>
      <c r="BA12" s="759">
        <v>0</v>
      </c>
      <c r="BB12" s="1191">
        <v>0</v>
      </c>
      <c r="BC12" s="1191">
        <v>0</v>
      </c>
      <c r="BD12" s="1191">
        <v>0</v>
      </c>
      <c r="BE12" s="759">
        <v>0.1</v>
      </c>
      <c r="BF12" s="759">
        <v>0</v>
      </c>
      <c r="BG12" s="759">
        <v>0</v>
      </c>
      <c r="BH12" s="1160">
        <v>-5.069</v>
      </c>
      <c r="BI12" s="1191">
        <v>-0.09</v>
      </c>
      <c r="BJ12" s="1182">
        <v>0.03</v>
      </c>
    </row>
    <row r="13" spans="1:62" x14ac:dyDescent="0.35">
      <c r="A13" s="1169">
        <v>2029</v>
      </c>
      <c r="B13" s="1171">
        <f t="shared" si="1"/>
        <v>0</v>
      </c>
      <c r="C13" s="1171">
        <f t="shared" si="2"/>
        <v>0</v>
      </c>
      <c r="D13" s="1171">
        <f t="shared" si="3"/>
        <v>3.3000000000000002E-2</v>
      </c>
      <c r="E13" s="1171">
        <f t="shared" si="4"/>
        <v>1.7130000000000001</v>
      </c>
      <c r="F13" s="1171">
        <f t="shared" si="11"/>
        <v>0</v>
      </c>
      <c r="G13" s="1171">
        <f t="shared" si="5"/>
        <v>-5.218</v>
      </c>
      <c r="H13" s="1171">
        <f t="shared" si="6"/>
        <v>-1.964</v>
      </c>
      <c r="I13" s="1171">
        <f t="shared" si="7"/>
        <v>0</v>
      </c>
      <c r="J13" s="1171">
        <f t="shared" si="8"/>
        <v>-1.7000000000000001E-2</v>
      </c>
      <c r="K13" s="1171">
        <f t="shared" si="9"/>
        <v>1</v>
      </c>
      <c r="L13" s="1175"/>
      <c r="M13" s="1171">
        <f t="shared" si="0"/>
        <v>-2.75</v>
      </c>
      <c r="N13" s="1171">
        <f t="shared" si="10"/>
        <v>0</v>
      </c>
      <c r="O13" s="1198">
        <v>0.3</v>
      </c>
      <c r="P13" s="1192">
        <v>1.08</v>
      </c>
      <c r="Q13" s="1191">
        <v>0</v>
      </c>
      <c r="R13" s="1200">
        <v>0.63300000000000001</v>
      </c>
      <c r="S13" s="1159">
        <v>0</v>
      </c>
      <c r="T13" s="1155">
        <v>3.3000000000000002E-2</v>
      </c>
      <c r="U13" s="1191">
        <v>0</v>
      </c>
      <c r="V13" s="1155">
        <v>0</v>
      </c>
      <c r="W13" s="759">
        <v>0</v>
      </c>
      <c r="X13" s="759">
        <v>0</v>
      </c>
      <c r="Y13" s="1191">
        <v>0</v>
      </c>
      <c r="Z13" s="1191">
        <v>0</v>
      </c>
      <c r="AA13" s="1191">
        <v>0</v>
      </c>
      <c r="AB13" s="1191">
        <v>0</v>
      </c>
      <c r="AC13" s="1155">
        <v>0</v>
      </c>
      <c r="AD13" s="1155">
        <v>0</v>
      </c>
      <c r="AE13" s="1155">
        <v>0</v>
      </c>
      <c r="AF13" s="1155">
        <v>0</v>
      </c>
      <c r="AG13" s="1191">
        <v>-2.044</v>
      </c>
      <c r="AH13" s="1155">
        <v>0.08</v>
      </c>
      <c r="AI13" s="1155">
        <v>0</v>
      </c>
      <c r="AJ13" s="1163">
        <v>0</v>
      </c>
      <c r="AK13" s="1191">
        <v>0</v>
      </c>
      <c r="AL13" s="1191">
        <v>-1.7000000000000001E-2</v>
      </c>
      <c r="AM13" s="1191">
        <v>0</v>
      </c>
      <c r="AN13" s="1191">
        <v>0</v>
      </c>
      <c r="AO13" s="759">
        <v>0</v>
      </c>
      <c r="AP13" s="1191">
        <v>0</v>
      </c>
      <c r="AQ13" s="1202">
        <v>0</v>
      </c>
      <c r="AR13" s="1191">
        <v>0</v>
      </c>
      <c r="AS13" s="1191">
        <v>0</v>
      </c>
      <c r="AT13" s="1189">
        <v>1</v>
      </c>
      <c r="AU13" s="1155">
        <v>0</v>
      </c>
      <c r="AV13" s="1191">
        <v>0</v>
      </c>
      <c r="AW13" s="1191">
        <v>0</v>
      </c>
      <c r="AX13" s="1191">
        <v>0</v>
      </c>
      <c r="AY13" s="759">
        <v>-2.75</v>
      </c>
      <c r="AZ13" s="1191">
        <v>0</v>
      </c>
      <c r="BA13" s="759">
        <v>0</v>
      </c>
      <c r="BB13" s="1191">
        <v>0</v>
      </c>
      <c r="BC13" s="1191">
        <v>0</v>
      </c>
      <c r="BD13" s="1191">
        <v>0</v>
      </c>
      <c r="BE13" s="759">
        <v>0</v>
      </c>
      <c r="BF13" s="1164">
        <v>0</v>
      </c>
      <c r="BG13" s="759">
        <v>0</v>
      </c>
      <c r="BH13" s="1160">
        <v>-5.1180000000000003</v>
      </c>
      <c r="BI13" s="1191">
        <v>-0.1</v>
      </c>
      <c r="BJ13" s="1182">
        <v>0.01</v>
      </c>
    </row>
    <row r="14" spans="1:62" x14ac:dyDescent="0.35">
      <c r="A14" s="1169">
        <v>2030</v>
      </c>
      <c r="B14" s="1171">
        <f t="shared" si="1"/>
        <v>0</v>
      </c>
      <c r="C14" s="1171">
        <f t="shared" si="2"/>
        <v>0</v>
      </c>
      <c r="D14" s="1171">
        <f t="shared" si="3"/>
        <v>3.3000000000000002E-2</v>
      </c>
      <c r="E14" s="1171">
        <f t="shared" si="4"/>
        <v>1.8130000000000002</v>
      </c>
      <c r="F14" s="1171">
        <f t="shared" si="11"/>
        <v>0</v>
      </c>
      <c r="G14" s="1171">
        <f t="shared" si="5"/>
        <v>-5.9420000000000002</v>
      </c>
      <c r="H14" s="1171">
        <f t="shared" si="6"/>
        <v>-2.0210000000000004</v>
      </c>
      <c r="I14" s="1171">
        <f t="shared" si="7"/>
        <v>0</v>
      </c>
      <c r="J14" s="1171">
        <f t="shared" si="8"/>
        <v>-1.9E-2</v>
      </c>
      <c r="K14" s="1171">
        <f t="shared" si="9"/>
        <v>0.8</v>
      </c>
      <c r="L14" s="1175"/>
      <c r="M14" s="1171">
        <f t="shared" si="0"/>
        <v>-8.1189999999999998</v>
      </c>
      <c r="N14" s="1171">
        <f t="shared" si="10"/>
        <v>0</v>
      </c>
      <c r="O14" s="1198">
        <v>0.3</v>
      </c>
      <c r="P14" s="1192">
        <v>1.1800000000000002</v>
      </c>
      <c r="Q14" s="1191">
        <v>0</v>
      </c>
      <c r="R14" s="1200">
        <v>0.63300000000000001</v>
      </c>
      <c r="S14" s="1159">
        <v>0</v>
      </c>
      <c r="T14" s="1155">
        <v>3.3000000000000002E-2</v>
      </c>
      <c r="U14" s="1191">
        <v>0</v>
      </c>
      <c r="V14" s="1155">
        <v>0</v>
      </c>
      <c r="W14" s="759">
        <v>0</v>
      </c>
      <c r="X14" s="759">
        <v>0</v>
      </c>
      <c r="Y14" s="1191">
        <v>0</v>
      </c>
      <c r="Z14" s="1191">
        <v>0</v>
      </c>
      <c r="AA14" s="1191">
        <v>0</v>
      </c>
      <c r="AB14" s="1191">
        <v>0</v>
      </c>
      <c r="AC14" s="1155">
        <v>0</v>
      </c>
      <c r="AD14" s="1200">
        <v>0</v>
      </c>
      <c r="AE14" s="1191">
        <v>0</v>
      </c>
      <c r="AF14" s="1155">
        <v>0</v>
      </c>
      <c r="AG14" s="1155">
        <v>-2.1110000000000002</v>
      </c>
      <c r="AH14" s="1155">
        <v>0.09</v>
      </c>
      <c r="AI14" s="1155">
        <v>0</v>
      </c>
      <c r="AJ14" s="1165">
        <v>0</v>
      </c>
      <c r="AK14" s="1191">
        <v>0</v>
      </c>
      <c r="AL14" s="1191">
        <v>-1.9E-2</v>
      </c>
      <c r="AM14" s="1191">
        <v>0</v>
      </c>
      <c r="AN14" s="1191">
        <v>0</v>
      </c>
      <c r="AO14" s="759">
        <v>0</v>
      </c>
      <c r="AP14" s="1191">
        <v>0</v>
      </c>
      <c r="AQ14" s="1202">
        <v>0</v>
      </c>
      <c r="AR14" s="1191">
        <v>0</v>
      </c>
      <c r="AS14" s="1191">
        <v>0</v>
      </c>
      <c r="AT14" s="759">
        <v>0.8</v>
      </c>
      <c r="AU14" s="1155">
        <v>-5.4089999999999998</v>
      </c>
      <c r="AV14" s="1191">
        <v>0</v>
      </c>
      <c r="AW14" s="1191">
        <v>0</v>
      </c>
      <c r="AX14" s="1191">
        <v>0</v>
      </c>
      <c r="AY14" s="759">
        <v>-2.71</v>
      </c>
      <c r="AZ14" s="1191">
        <v>0</v>
      </c>
      <c r="BA14" s="759">
        <v>0</v>
      </c>
      <c r="BB14" s="1191">
        <v>0</v>
      </c>
      <c r="BC14" s="1191">
        <v>0</v>
      </c>
      <c r="BD14" s="1191">
        <v>0</v>
      </c>
      <c r="BE14" s="1191">
        <v>0</v>
      </c>
      <c r="BF14" s="759">
        <v>0</v>
      </c>
      <c r="BG14" s="759">
        <v>0</v>
      </c>
      <c r="BH14" s="1155">
        <v>-5.8319999999999999</v>
      </c>
      <c r="BI14" s="1191">
        <v>-0.11</v>
      </c>
      <c r="BJ14" s="1181">
        <v>0.01</v>
      </c>
    </row>
    <row r="15" spans="1:62" ht="17.25" customHeight="1" x14ac:dyDescent="0.35">
      <c r="A15" s="1169">
        <v>2031</v>
      </c>
      <c r="B15" s="1171">
        <f t="shared" si="1"/>
        <v>0</v>
      </c>
      <c r="C15" s="1171">
        <f t="shared" si="2"/>
        <v>0</v>
      </c>
      <c r="D15" s="1171">
        <f t="shared" si="3"/>
        <v>0</v>
      </c>
      <c r="E15" s="1171">
        <f t="shared" si="4"/>
        <v>1.8230000000000002</v>
      </c>
      <c r="F15" s="1171">
        <f t="shared" si="11"/>
        <v>0</v>
      </c>
      <c r="G15" s="1171">
        <f t="shared" si="5"/>
        <v>-7.7250000000000005</v>
      </c>
      <c r="H15" s="1171">
        <f t="shared" si="6"/>
        <v>-2.4630000000000001</v>
      </c>
      <c r="I15" s="1171">
        <f t="shared" si="7"/>
        <v>0</v>
      </c>
      <c r="J15" s="1171">
        <f t="shared" si="8"/>
        <v>-1.9E-2</v>
      </c>
      <c r="K15" s="1171">
        <f t="shared" si="9"/>
        <v>0</v>
      </c>
      <c r="L15" s="1175"/>
      <c r="M15" s="1171">
        <f t="shared" si="0"/>
        <v>-3.0390000000000001</v>
      </c>
      <c r="N15" s="1171">
        <f t="shared" si="10"/>
        <v>0</v>
      </c>
      <c r="O15" s="1198">
        <v>0.3</v>
      </c>
      <c r="P15" s="1192">
        <v>1.1900000000000002</v>
      </c>
      <c r="Q15" s="1191">
        <v>0</v>
      </c>
      <c r="R15" s="1200">
        <v>0.63300000000000001</v>
      </c>
      <c r="S15" s="1159">
        <v>0</v>
      </c>
      <c r="T15" s="759">
        <v>0</v>
      </c>
      <c r="U15" s="1191">
        <v>0</v>
      </c>
      <c r="V15" s="1191">
        <v>0</v>
      </c>
      <c r="W15" s="759">
        <v>0</v>
      </c>
      <c r="X15" s="759">
        <v>0</v>
      </c>
      <c r="Y15" s="1191">
        <v>0</v>
      </c>
      <c r="Z15" s="1191">
        <v>0</v>
      </c>
      <c r="AA15" s="1191">
        <v>0</v>
      </c>
      <c r="AB15" s="1191">
        <v>0</v>
      </c>
      <c r="AC15" s="1155">
        <v>0</v>
      </c>
      <c r="AD15" s="1191">
        <v>0</v>
      </c>
      <c r="AE15" s="1155">
        <v>0</v>
      </c>
      <c r="AF15" s="1155">
        <v>0</v>
      </c>
      <c r="AG15" s="1155">
        <v>-2.5529999999999999</v>
      </c>
      <c r="AH15" s="1155">
        <v>0.09</v>
      </c>
      <c r="AI15" s="1155">
        <v>0</v>
      </c>
      <c r="AJ15" s="1166">
        <v>0</v>
      </c>
      <c r="AK15" s="1191">
        <v>0</v>
      </c>
      <c r="AL15" s="1191">
        <v>-1.9E-2</v>
      </c>
      <c r="AM15" s="1191">
        <v>0</v>
      </c>
      <c r="AN15" s="1191">
        <v>0</v>
      </c>
      <c r="AO15" s="759">
        <v>0</v>
      </c>
      <c r="AP15" s="1191">
        <v>0</v>
      </c>
      <c r="AQ15" s="1202">
        <v>0</v>
      </c>
      <c r="AR15" s="1191">
        <v>0</v>
      </c>
      <c r="AS15" s="1191">
        <v>0</v>
      </c>
      <c r="AT15" s="759">
        <v>0</v>
      </c>
      <c r="AU15" s="1155">
        <v>-0.26900000000000002</v>
      </c>
      <c r="AV15" s="1191">
        <v>0</v>
      </c>
      <c r="AW15" s="1191">
        <v>0</v>
      </c>
      <c r="AX15" s="1191">
        <v>0</v>
      </c>
      <c r="AY15" s="759">
        <v>-2.77</v>
      </c>
      <c r="AZ15" s="1191">
        <v>0</v>
      </c>
      <c r="BA15" s="759">
        <v>0</v>
      </c>
      <c r="BB15" s="1191">
        <v>0</v>
      </c>
      <c r="BC15" s="1191">
        <v>0</v>
      </c>
      <c r="BD15" s="1191">
        <v>0</v>
      </c>
      <c r="BE15" s="1191">
        <v>0</v>
      </c>
      <c r="BF15" s="759">
        <v>0</v>
      </c>
      <c r="BG15" s="759">
        <v>0</v>
      </c>
      <c r="BH15" s="1155">
        <v>-5.4350000000000005</v>
      </c>
      <c r="BI15" s="1191">
        <v>-2.29</v>
      </c>
      <c r="BJ15" s="1181">
        <v>0</v>
      </c>
    </row>
    <row r="16" spans="1:62" x14ac:dyDescent="0.35">
      <c r="A16" s="1170" t="s">
        <v>311</v>
      </c>
      <c r="B16" s="1170">
        <f>SUM(B5:B15)</f>
        <v>412.15299999999996</v>
      </c>
      <c r="C16" s="1170">
        <f>SUM(C5:C15)</f>
        <v>205.79999999999998</v>
      </c>
      <c r="D16" s="1170">
        <f>SUM(D5:D15)</f>
        <v>22.711000000000006</v>
      </c>
      <c r="E16" s="1170">
        <f t="shared" ref="E16:H16" si="12">SUM(E5:E15)</f>
        <v>35.466000000000015</v>
      </c>
      <c r="F16" s="1170">
        <f t="shared" si="12"/>
        <v>91.563000000000002</v>
      </c>
      <c r="G16" s="1171">
        <f t="shared" si="5"/>
        <v>174.17</v>
      </c>
      <c r="H16" s="1170">
        <f t="shared" si="12"/>
        <v>21.600999999999996</v>
      </c>
      <c r="I16" s="1175">
        <f t="shared" ref="I16" si="13">SUM(I5:I15)</f>
        <v>362.04999999999995</v>
      </c>
      <c r="J16" s="1175">
        <f t="shared" ref="J16" si="14">SUM(J5:J15)</f>
        <v>169.16899999999998</v>
      </c>
      <c r="K16" s="1171">
        <f t="shared" si="9"/>
        <v>112.72</v>
      </c>
      <c r="L16" s="1175">
        <f>SUM(L5:L15)</f>
        <v>25.75</v>
      </c>
      <c r="M16" s="1171">
        <f t="shared" si="0"/>
        <v>85.197999999999993</v>
      </c>
      <c r="N16" s="1171">
        <f>AK16</f>
        <v>8.5</v>
      </c>
      <c r="O16" s="1199">
        <f t="shared" ref="O16:BI16" si="15">SUM(O5:O15)</f>
        <v>109.3</v>
      </c>
      <c r="P16" s="1191">
        <f t="shared" si="15"/>
        <v>25.819999999999997</v>
      </c>
      <c r="Q16" s="1191">
        <f t="shared" si="15"/>
        <v>412.15299999999996</v>
      </c>
      <c r="R16" s="1191">
        <f t="shared" si="15"/>
        <v>5.774</v>
      </c>
      <c r="S16" s="1191">
        <f t="shared" si="15"/>
        <v>3.8719999999999999</v>
      </c>
      <c r="T16" s="1191">
        <f t="shared" si="15"/>
        <v>22.711000000000006</v>
      </c>
      <c r="U16" s="1191">
        <f t="shared" si="15"/>
        <v>41.599999999999994</v>
      </c>
      <c r="V16" s="1191">
        <f t="shared" si="15"/>
        <v>44.947999999999993</v>
      </c>
      <c r="W16" s="1191">
        <f t="shared" si="15"/>
        <v>5</v>
      </c>
      <c r="X16" s="1191">
        <f t="shared" si="15"/>
        <v>1.4440000000000002</v>
      </c>
      <c r="Y16" s="1191">
        <f t="shared" si="15"/>
        <v>0.2</v>
      </c>
      <c r="Z16" s="1191">
        <f t="shared" si="15"/>
        <v>45.4</v>
      </c>
      <c r="AA16" s="1191">
        <f t="shared" si="15"/>
        <v>35.5</v>
      </c>
      <c r="AB16" s="1191">
        <f t="shared" si="15"/>
        <v>124.7</v>
      </c>
      <c r="AC16" s="1191">
        <f t="shared" si="15"/>
        <v>28</v>
      </c>
      <c r="AD16" s="1191">
        <f t="shared" si="15"/>
        <v>9.100000000000022E-2</v>
      </c>
      <c r="AE16" s="1191">
        <f t="shared" si="15"/>
        <v>22.810000000000002</v>
      </c>
      <c r="AF16" s="1191">
        <f t="shared" si="15"/>
        <v>1.42</v>
      </c>
      <c r="AG16" s="1191">
        <f t="shared" si="15"/>
        <v>20.662999999999997</v>
      </c>
      <c r="AH16" s="1191">
        <f t="shared" si="15"/>
        <v>0.86999999999999988</v>
      </c>
      <c r="AI16" s="1191">
        <f t="shared" si="15"/>
        <v>6.8000000000000005E-2</v>
      </c>
      <c r="AJ16" s="1191">
        <f t="shared" si="15"/>
        <v>362.04999999999995</v>
      </c>
      <c r="AK16" s="1191">
        <f t="shared" ref="AK16:AO16" si="16">SUM(AK5:AK15)</f>
        <v>8.5</v>
      </c>
      <c r="AL16" s="1191">
        <f t="shared" si="16"/>
        <v>169.16899999999998</v>
      </c>
      <c r="AM16" s="1173">
        <f t="shared" si="16"/>
        <v>0.79700000000000004</v>
      </c>
      <c r="AN16" s="1191">
        <f t="shared" si="16"/>
        <v>8.6</v>
      </c>
      <c r="AO16" s="1191">
        <f t="shared" si="16"/>
        <v>3.2000000000000006</v>
      </c>
      <c r="AP16" s="1191">
        <f t="shared" si="15"/>
        <v>2.8000000000000003</v>
      </c>
      <c r="AQ16" s="1176">
        <f>SUM(AQ5:AQ15)</f>
        <v>28</v>
      </c>
      <c r="AR16" s="1191">
        <f>SUM(AR5:AR15)</f>
        <v>14.899999999999999</v>
      </c>
      <c r="AS16" s="1191">
        <f>SUM(AS5:AS15)</f>
        <v>3.8730000000000002</v>
      </c>
      <c r="AT16" s="1191">
        <f t="shared" ref="AT16" si="17">SUM(AT5:AT15)</f>
        <v>50.54999999999999</v>
      </c>
      <c r="AU16" s="1191">
        <f t="shared" si="15"/>
        <v>-5.6779999999999999</v>
      </c>
      <c r="AV16" s="1191">
        <f t="shared" si="15"/>
        <v>8.177999999999999</v>
      </c>
      <c r="AW16" s="1191">
        <f t="shared" si="15"/>
        <v>16.667999999999999</v>
      </c>
      <c r="AX16" s="1191">
        <f t="shared" si="15"/>
        <v>9.9</v>
      </c>
      <c r="AY16" s="1191">
        <f t="shared" si="15"/>
        <v>-25.860000000000003</v>
      </c>
      <c r="AZ16" s="1191">
        <f t="shared" si="15"/>
        <v>81.99</v>
      </c>
      <c r="BA16" s="1191">
        <v>0</v>
      </c>
      <c r="BB16" s="1191">
        <f t="shared" si="15"/>
        <v>24</v>
      </c>
      <c r="BC16" s="1191">
        <f t="shared" si="15"/>
        <v>7.25</v>
      </c>
      <c r="BD16" s="1191">
        <f t="shared" si="15"/>
        <v>49.8</v>
      </c>
      <c r="BE16" s="1191">
        <f t="shared" si="15"/>
        <v>9.02</v>
      </c>
      <c r="BF16" s="1191">
        <f t="shared" si="15"/>
        <v>6.2439999999999998</v>
      </c>
      <c r="BG16" s="1191">
        <f t="shared" si="15"/>
        <v>10.218</v>
      </c>
      <c r="BH16" s="1191">
        <f t="shared" si="15"/>
        <v>50.203999999999979</v>
      </c>
      <c r="BI16" s="1191">
        <f t="shared" si="15"/>
        <v>24.684000000000005</v>
      </c>
      <c r="BJ16" s="1183">
        <f>SUM(BJ5:BJ15)</f>
        <v>9.5399999999999991</v>
      </c>
    </row>
    <row r="17" spans="2:61" x14ac:dyDescent="0.35">
      <c r="R17" s="1200"/>
      <c r="S17" s="1200"/>
      <c r="W17" s="1200"/>
      <c r="X17" s="1200"/>
      <c r="AE17" s="1200"/>
      <c r="AF17" s="1200"/>
      <c r="AV17" s="1200"/>
      <c r="AW17" s="1200"/>
      <c r="AX17" s="1200"/>
      <c r="AY17" s="1200"/>
      <c r="AZ17" s="1200"/>
      <c r="BA17" s="1200"/>
      <c r="BC17" s="1200"/>
      <c r="BE17" s="1200"/>
      <c r="BF17" s="1200"/>
      <c r="BG17" s="1200"/>
    </row>
    <row r="18" spans="2:61" x14ac:dyDescent="0.35">
      <c r="R18" s="1200"/>
      <c r="S18" s="1200"/>
      <c r="W18" s="1200"/>
      <c r="X18" s="1200"/>
      <c r="AE18" s="1200"/>
      <c r="AF18" s="1200"/>
      <c r="AV18" s="1200"/>
      <c r="AW18" s="1200"/>
      <c r="AX18" s="1200"/>
      <c r="AY18" s="1200"/>
      <c r="AZ18" s="1200"/>
      <c r="BA18" s="1200"/>
      <c r="BC18" s="1200" t="s">
        <v>723</v>
      </c>
      <c r="BD18" s="1200" t="s">
        <v>723</v>
      </c>
      <c r="BE18" s="1200"/>
      <c r="BF18" s="1200" t="s">
        <v>723</v>
      </c>
      <c r="BG18" s="1200" t="s">
        <v>723</v>
      </c>
      <c r="BI18" s="1200" t="s">
        <v>723</v>
      </c>
    </row>
    <row r="19" spans="2:61" x14ac:dyDescent="0.35">
      <c r="B19" s="930"/>
      <c r="C19" s="930"/>
      <c r="D19" s="930"/>
      <c r="E19" s="930"/>
      <c r="F19" s="930"/>
      <c r="H19" s="930"/>
      <c r="I19" s="930"/>
      <c r="J19" s="930"/>
      <c r="K19" s="930"/>
      <c r="M19" s="930"/>
      <c r="N19" s="930"/>
      <c r="R19" s="1200"/>
      <c r="S19" s="1200"/>
      <c r="W19" s="1200"/>
      <c r="X19" s="1200"/>
      <c r="AE19" s="1200"/>
      <c r="AF19" s="1200"/>
      <c r="AV19" s="1200"/>
      <c r="AW19" s="1200"/>
      <c r="AX19" s="1200"/>
      <c r="AY19" s="1200"/>
      <c r="AZ19" s="1200"/>
      <c r="BA19" s="1200"/>
      <c r="BC19" s="1200"/>
      <c r="BD19" t="s">
        <v>724</v>
      </c>
      <c r="BE19" s="1200"/>
      <c r="BF19" s="1200"/>
      <c r="BG19" s="1200"/>
    </row>
    <row r="20" spans="2:61" x14ac:dyDescent="0.35">
      <c r="R20" s="1200"/>
      <c r="S20" s="1200"/>
      <c r="W20" s="1200"/>
      <c r="X20" s="1200"/>
      <c r="AE20" s="1200"/>
      <c r="AF20" s="1200"/>
      <c r="AV20" s="1200"/>
      <c r="AW20" s="1200"/>
      <c r="AX20" s="1200"/>
      <c r="AY20" s="1200"/>
      <c r="AZ20" s="1200"/>
      <c r="BA20" s="1200"/>
      <c r="BC20" s="1200"/>
      <c r="BE20" s="1200"/>
      <c r="BF20" s="1200"/>
      <c r="BG20" s="1200"/>
    </row>
    <row r="21" spans="2:61" x14ac:dyDescent="0.35">
      <c r="R21" s="1200"/>
      <c r="S21" s="1200"/>
      <c r="W21" s="1200"/>
      <c r="X21" s="1200"/>
      <c r="AE21" s="1200"/>
      <c r="AF21" s="1200"/>
      <c r="AV21" s="1200"/>
      <c r="AW21" s="1200"/>
      <c r="AX21" s="1200"/>
      <c r="AY21" s="1200"/>
      <c r="AZ21" s="1200"/>
      <c r="BA21" s="1200"/>
      <c r="BC21" s="1200"/>
      <c r="BE21" s="1200"/>
      <c r="BF21" s="1200"/>
      <c r="BG21" s="1200"/>
    </row>
    <row r="22" spans="2:61" x14ac:dyDescent="0.35">
      <c r="B22" s="930"/>
      <c r="R22" s="1200"/>
      <c r="S22" s="1200"/>
      <c r="W22" s="1200"/>
      <c r="X22" s="1200"/>
      <c r="AE22" s="1200"/>
      <c r="AF22" s="1200"/>
      <c r="AV22" s="1200"/>
      <c r="AW22" s="1200"/>
      <c r="AX22" s="1200"/>
      <c r="AY22" s="1200"/>
      <c r="AZ22" s="1200"/>
      <c r="BA22" s="1200"/>
      <c r="BC22" s="1200"/>
      <c r="BE22" s="1200"/>
      <c r="BF22" s="1200"/>
      <c r="BG22" s="1200"/>
    </row>
    <row r="23" spans="2:61" x14ac:dyDescent="0.35">
      <c r="B23" s="930"/>
      <c r="R23" s="1200"/>
      <c r="S23" s="1200"/>
      <c r="W23" s="1200"/>
      <c r="X23" s="1200"/>
      <c r="AE23" s="1200"/>
      <c r="AF23" s="1200"/>
      <c r="AV23" s="1200"/>
      <c r="AW23" s="1200"/>
      <c r="AX23" s="1200"/>
      <c r="AY23" s="1200"/>
      <c r="AZ23" s="1200"/>
      <c r="BA23" s="1200"/>
      <c r="BC23" s="1200"/>
      <c r="BE23" s="1200"/>
      <c r="BF23" s="1200"/>
      <c r="BG23" s="1200"/>
    </row>
    <row r="24" spans="2:61" x14ac:dyDescent="0.35">
      <c r="B24" s="930"/>
      <c r="R24" s="1200"/>
      <c r="S24" s="1200"/>
      <c r="W24" s="1200"/>
      <c r="X24" s="1200"/>
      <c r="AE24" s="1200"/>
      <c r="AF24" s="1200"/>
      <c r="AV24" s="1200"/>
      <c r="AW24" s="1200"/>
      <c r="AX24" s="1200"/>
      <c r="AY24" s="1200"/>
      <c r="AZ24" s="1200"/>
      <c r="BA24" s="1200"/>
      <c r="BC24" s="1200"/>
      <c r="BE24" s="1200"/>
      <c r="BF24" s="1200"/>
      <c r="BG24" s="1200"/>
    </row>
    <row r="25" spans="2:61" x14ac:dyDescent="0.35">
      <c r="B25" s="930"/>
      <c r="R25" s="1200"/>
      <c r="S25" s="1200"/>
      <c r="W25" s="1200"/>
      <c r="X25" s="1200"/>
      <c r="AE25" s="1200"/>
      <c r="AF25" s="1200"/>
      <c r="AV25" s="1200"/>
      <c r="AW25" s="1200"/>
      <c r="AX25" s="1200"/>
      <c r="AY25" s="1200"/>
      <c r="AZ25" s="1200"/>
      <c r="BA25" s="1200"/>
      <c r="BC25" s="1200"/>
      <c r="BE25" s="1200"/>
      <c r="BF25" s="1200"/>
      <c r="BG25" s="1200"/>
    </row>
    <row r="26" spans="2:61" x14ac:dyDescent="0.35">
      <c r="B26" s="930"/>
      <c r="R26" s="1200"/>
      <c r="S26" s="1200"/>
      <c r="W26" s="1200"/>
      <c r="X26" s="1200"/>
      <c r="AE26" s="1200"/>
      <c r="AF26" s="1200"/>
      <c r="AV26" s="1200"/>
      <c r="AW26" s="1200"/>
      <c r="AX26" s="1200"/>
      <c r="AY26" s="1200"/>
      <c r="AZ26" s="1200"/>
      <c r="BA26" s="1200"/>
      <c r="BC26" s="1200"/>
      <c r="BE26" s="1200"/>
      <c r="BF26" s="1200"/>
      <c r="BG26" s="1200"/>
    </row>
    <row r="27" spans="2:61" x14ac:dyDescent="0.35">
      <c r="B27" s="930"/>
      <c r="R27" s="1200"/>
      <c r="S27" s="1200"/>
      <c r="W27" s="1200"/>
      <c r="X27" s="1200"/>
      <c r="AE27" s="1200"/>
      <c r="AF27" s="1200"/>
      <c r="AV27" s="1200"/>
      <c r="AW27" s="1200"/>
      <c r="AX27" s="1200"/>
      <c r="AY27" s="1200"/>
      <c r="AZ27" s="1200"/>
      <c r="BA27" s="1200"/>
      <c r="BC27" s="1200"/>
      <c r="BE27" s="1200"/>
      <c r="BF27" s="1200"/>
      <c r="BG27" s="1200"/>
    </row>
    <row r="28" spans="2:61" x14ac:dyDescent="0.35">
      <c r="B28" s="930"/>
      <c r="R28" s="1200"/>
      <c r="S28" s="1200"/>
      <c r="W28" s="1200"/>
      <c r="X28" s="1200"/>
      <c r="AE28" s="1200"/>
      <c r="AF28" s="1200"/>
      <c r="AV28" s="1200"/>
      <c r="AW28" s="1200"/>
      <c r="AX28" s="1200"/>
      <c r="AY28" s="1200"/>
      <c r="AZ28" s="1200"/>
      <c r="BA28" s="1200"/>
      <c r="BC28" s="1200"/>
      <c r="BE28" s="1200"/>
      <c r="BF28" s="1200"/>
      <c r="BG28" s="1200"/>
    </row>
    <row r="29" spans="2:61" x14ac:dyDescent="0.35">
      <c r="R29" s="1200"/>
      <c r="S29" s="1200"/>
      <c r="W29" s="1200"/>
      <c r="X29" s="1200"/>
      <c r="AE29" s="1200"/>
      <c r="AF29" s="1200"/>
      <c r="AV29" s="1200"/>
      <c r="AW29" s="1200"/>
      <c r="AX29" s="1200"/>
      <c r="AY29" s="1200"/>
      <c r="AZ29" s="1200"/>
      <c r="BA29" s="1200"/>
      <c r="BC29" s="1200"/>
      <c r="BE29" s="1200"/>
      <c r="BF29" s="1200"/>
      <c r="BG29" s="1200"/>
    </row>
    <row r="30" spans="2:61" x14ac:dyDescent="0.35">
      <c r="R30" s="1200"/>
      <c r="S30" s="1200"/>
      <c r="W30" s="1200"/>
      <c r="X30" s="1200"/>
      <c r="AE30" s="1200"/>
      <c r="AF30" s="1200"/>
      <c r="AV30" s="1200"/>
      <c r="AW30" s="1200"/>
      <c r="AX30" s="1200"/>
      <c r="AY30" s="1200"/>
      <c r="AZ30" s="1200"/>
      <c r="BA30" s="1200"/>
      <c r="BC30" s="1200"/>
      <c r="BE30" s="1200"/>
      <c r="BF30" s="1200"/>
      <c r="BG30" s="1200"/>
    </row>
    <row r="31" spans="2:61" x14ac:dyDescent="0.35">
      <c r="R31" s="1200"/>
      <c r="S31" s="1200"/>
      <c r="W31" s="1200"/>
      <c r="X31" s="1200"/>
      <c r="AE31" s="1200"/>
      <c r="AF31" s="1200"/>
      <c r="AV31" s="1200"/>
      <c r="AW31" s="1200"/>
      <c r="AX31" s="1200"/>
      <c r="AY31" s="1200"/>
      <c r="AZ31" s="1200"/>
      <c r="BA31" s="1200"/>
      <c r="BC31" s="1200"/>
      <c r="BE31" s="1200"/>
      <c r="BF31" s="1200"/>
      <c r="BG31" s="1200"/>
    </row>
    <row r="32" spans="2:61" x14ac:dyDescent="0.35">
      <c r="R32" s="1200"/>
      <c r="S32" s="1200"/>
      <c r="W32" s="1200"/>
      <c r="X32" s="1200"/>
      <c r="AE32" s="1200"/>
      <c r="AF32" s="1200"/>
      <c r="AV32" s="1200"/>
      <c r="AW32" s="1200"/>
      <c r="AX32" s="1200"/>
      <c r="AY32" s="1200"/>
      <c r="AZ32" s="1200"/>
      <c r="BA32" s="1200"/>
      <c r="BC32" s="1200"/>
      <c r="BE32" s="1200"/>
      <c r="BF32" s="1200"/>
      <c r="BG32" s="1200"/>
    </row>
    <row r="33" spans="18:59" x14ac:dyDescent="0.35">
      <c r="R33" s="1200"/>
      <c r="S33" s="1200"/>
      <c r="W33" s="1200"/>
      <c r="X33" s="1200"/>
      <c r="AE33" s="1200"/>
      <c r="AF33" s="1200"/>
      <c r="AV33" s="1200"/>
      <c r="AW33" s="1200"/>
      <c r="AX33" s="1200"/>
      <c r="AY33" s="1200"/>
      <c r="AZ33" s="1200"/>
      <c r="BA33" s="1200"/>
      <c r="BC33" s="1200"/>
      <c r="BE33" s="1200"/>
      <c r="BF33" s="1200"/>
      <c r="BG33" s="1200"/>
    </row>
    <row r="34" spans="18:59" x14ac:dyDescent="0.35">
      <c r="R34" s="1200"/>
      <c r="S34" s="1200"/>
      <c r="W34" s="1200"/>
      <c r="X34" s="1200"/>
      <c r="AE34" s="1200"/>
      <c r="AF34" s="1200"/>
      <c r="AV34" s="1200"/>
      <c r="AW34" s="1200"/>
      <c r="AX34" s="1200"/>
      <c r="AY34" s="1200"/>
      <c r="AZ34" s="1200"/>
      <c r="BA34" s="1200"/>
      <c r="BC34" s="1200"/>
      <c r="BE34" s="1200"/>
      <c r="BF34" s="1200"/>
      <c r="BG34" s="1200"/>
    </row>
    <row r="35" spans="18:59" x14ac:dyDescent="0.35">
      <c r="R35" s="1200"/>
      <c r="S35" s="1200"/>
      <c r="W35" s="1200"/>
      <c r="X35" s="1200"/>
      <c r="AE35" s="1200"/>
      <c r="AF35" s="1200"/>
      <c r="AV35" s="1200"/>
      <c r="AW35" s="1200"/>
      <c r="AX35" s="1200"/>
      <c r="AY35" s="1200"/>
      <c r="AZ35" s="1200"/>
      <c r="BA35" s="1200"/>
      <c r="BC35" s="1200"/>
      <c r="BE35" s="1200"/>
      <c r="BF35" s="1200"/>
      <c r="BG35" s="1200"/>
    </row>
    <row r="36" spans="18:59" x14ac:dyDescent="0.35">
      <c r="R36" s="1200"/>
      <c r="S36" s="1200"/>
      <c r="W36" s="1200"/>
      <c r="X36" s="1200"/>
      <c r="AE36" s="1200"/>
      <c r="AF36" s="1200"/>
      <c r="AV36" s="1200"/>
      <c r="AW36" s="1200"/>
      <c r="AX36" s="1200"/>
      <c r="AY36" s="1200"/>
      <c r="AZ36" s="1200"/>
      <c r="BA36" s="1200"/>
      <c r="BC36" s="1200"/>
      <c r="BE36" s="1200"/>
      <c r="BF36" s="1200"/>
      <c r="BG36" s="1200"/>
    </row>
    <row r="37" spans="18:59" x14ac:dyDescent="0.35">
      <c r="R37" s="1200"/>
      <c r="S37" s="1200"/>
      <c r="W37" s="1200"/>
      <c r="X37" s="1200"/>
      <c r="AE37" s="1200"/>
      <c r="AF37" s="1200"/>
      <c r="AV37" s="1200"/>
      <c r="AW37" s="1200"/>
      <c r="AX37" s="1200"/>
      <c r="AY37" s="1200"/>
      <c r="AZ37" s="1200"/>
      <c r="BA37" s="1200"/>
      <c r="BC37" s="1200"/>
      <c r="BE37" s="1200"/>
      <c r="BF37" s="1200"/>
      <c r="BG37" s="1200"/>
    </row>
    <row r="38" spans="18:59" x14ac:dyDescent="0.35">
      <c r="R38" s="1200"/>
      <c r="S38" s="1200"/>
      <c r="W38" s="1200"/>
      <c r="X38" s="1200"/>
      <c r="AE38" s="1200"/>
      <c r="AF38" s="1200"/>
      <c r="AV38" s="1200"/>
      <c r="AW38" s="1200"/>
      <c r="AX38" s="1200"/>
      <c r="AY38" s="1200"/>
      <c r="AZ38" s="1200"/>
      <c r="BA38" s="1200"/>
      <c r="BC38" s="1200"/>
      <c r="BE38" s="1200"/>
      <c r="BF38" s="1200"/>
      <c r="BG38" s="1200"/>
    </row>
    <row r="39" spans="18:59" x14ac:dyDescent="0.35">
      <c r="R39" s="1200"/>
      <c r="S39" s="1200"/>
      <c r="W39" s="1200"/>
      <c r="X39" s="1200"/>
      <c r="AE39" s="1200"/>
      <c r="AF39" s="1200"/>
      <c r="AV39" s="1200"/>
      <c r="AW39" s="1200"/>
      <c r="AX39" s="1200"/>
      <c r="AY39" s="1200"/>
      <c r="AZ39" s="1200"/>
      <c r="BA39" s="1200"/>
      <c r="BC39" s="1200"/>
      <c r="BE39" s="1200"/>
      <c r="BF39" s="1200"/>
      <c r="BG39" s="1200"/>
    </row>
    <row r="40" spans="18:59" x14ac:dyDescent="0.35">
      <c r="R40" s="1200"/>
      <c r="S40" s="1200"/>
      <c r="W40" s="1200"/>
      <c r="X40" s="1200"/>
      <c r="AE40" s="1200"/>
      <c r="AF40" s="1200"/>
      <c r="AV40" s="1200"/>
      <c r="AW40" s="1200"/>
      <c r="AX40" s="1200"/>
      <c r="AY40" s="1200"/>
      <c r="AZ40" s="1200"/>
      <c r="BA40" s="1200"/>
      <c r="BC40" s="1200"/>
      <c r="BE40" s="1200"/>
      <c r="BF40" s="1200"/>
      <c r="BG40" s="1200"/>
    </row>
    <row r="41" spans="18:59" x14ac:dyDescent="0.35">
      <c r="R41" s="1200"/>
      <c r="S41" s="1200"/>
      <c r="W41" s="1200"/>
      <c r="X41" s="1200"/>
      <c r="AE41" s="1200"/>
      <c r="AF41" s="1200"/>
      <c r="AV41" s="1200"/>
      <c r="AW41" s="1200"/>
      <c r="AX41" s="1200"/>
      <c r="AY41" s="1200"/>
      <c r="AZ41" s="1200"/>
      <c r="BA41" s="1200"/>
      <c r="BC41" s="1200"/>
      <c r="BE41" s="1200"/>
      <c r="BF41" s="1200"/>
      <c r="BG41" s="1200"/>
    </row>
    <row r="42" spans="18:59" x14ac:dyDescent="0.35">
      <c r="R42" s="1200"/>
      <c r="S42" s="1200"/>
      <c r="W42" s="1200"/>
      <c r="X42" s="1200"/>
      <c r="AE42" s="1200"/>
      <c r="AF42" s="1200"/>
      <c r="AV42" s="1200"/>
      <c r="AW42" s="1200"/>
      <c r="AX42" s="1200"/>
      <c r="AY42" s="1200"/>
      <c r="AZ42" s="1200"/>
      <c r="BA42" s="1200"/>
      <c r="BC42" s="1200"/>
      <c r="BE42" s="1200"/>
      <c r="BF42" s="1200"/>
      <c r="BG42" s="1200"/>
    </row>
    <row r="43" spans="18:59" x14ac:dyDescent="0.35">
      <c r="R43" s="1200"/>
      <c r="S43" s="1200"/>
      <c r="W43" s="1200"/>
      <c r="X43" s="1200"/>
      <c r="AE43" s="1200"/>
      <c r="AF43" s="1200"/>
      <c r="AV43" s="1200"/>
      <c r="AW43" s="1200"/>
      <c r="AX43" s="1200"/>
      <c r="AY43" s="1200"/>
      <c r="AZ43" s="1200"/>
      <c r="BA43" s="1200"/>
      <c r="BC43" s="1200"/>
      <c r="BE43" s="1200"/>
      <c r="BF43" s="1200"/>
      <c r="BG43" s="1200"/>
    </row>
    <row r="44" spans="18:59" x14ac:dyDescent="0.35">
      <c r="R44" s="1200"/>
      <c r="S44" s="1200"/>
      <c r="W44" s="1200"/>
      <c r="X44" s="1200"/>
      <c r="AE44" s="1200"/>
      <c r="AF44" s="1200"/>
      <c r="AV44" s="1200"/>
      <c r="AW44" s="1200"/>
      <c r="AX44" s="1200"/>
      <c r="AY44" s="1200"/>
      <c r="AZ44" s="1200"/>
      <c r="BA44" s="1200"/>
      <c r="BC44" s="1200"/>
      <c r="BE44" s="1200"/>
      <c r="BF44" s="1200"/>
      <c r="BG44" s="1200"/>
    </row>
    <row r="45" spans="18:59" x14ac:dyDescent="0.35">
      <c r="R45" s="1200"/>
      <c r="S45" s="1200"/>
      <c r="W45" s="1200"/>
      <c r="X45" s="1200"/>
      <c r="AE45" s="1200"/>
      <c r="AF45" s="1200"/>
      <c r="AV45" s="1200"/>
      <c r="AW45" s="1200"/>
      <c r="AX45" s="1200"/>
      <c r="AY45" s="1200"/>
      <c r="AZ45" s="1200"/>
      <c r="BA45" s="1200"/>
      <c r="BC45" s="1200"/>
      <c r="BE45" s="1200"/>
      <c r="BF45" s="1200"/>
      <c r="BG45" s="1200"/>
    </row>
    <row r="46" spans="18:59" x14ac:dyDescent="0.35">
      <c r="R46" s="1200"/>
      <c r="S46" s="1200"/>
      <c r="W46" s="1200"/>
      <c r="X46" s="1200"/>
      <c r="AE46" s="1200"/>
      <c r="AF46" s="1200"/>
      <c r="AV46" s="1200"/>
      <c r="AW46" s="1200"/>
      <c r="AX46" s="1200"/>
      <c r="AY46" s="1200"/>
      <c r="AZ46" s="1200"/>
      <c r="BA46" s="1200"/>
      <c r="BC46" s="1200"/>
      <c r="BE46" s="1200"/>
      <c r="BF46" s="1200"/>
      <c r="BG46" s="1200"/>
    </row>
    <row r="47" spans="18:59" x14ac:dyDescent="0.35">
      <c r="R47" s="1200"/>
      <c r="S47" s="1200"/>
      <c r="W47" s="1200"/>
      <c r="X47" s="1200"/>
      <c r="AE47" s="1200"/>
      <c r="AF47" s="1200"/>
      <c r="AV47" s="1200"/>
      <c r="AW47" s="1200"/>
      <c r="AX47" s="1200"/>
      <c r="AY47" s="1200"/>
      <c r="AZ47" s="1200"/>
      <c r="BA47" s="1200"/>
      <c r="BC47" s="1200"/>
      <c r="BE47" s="1200"/>
      <c r="BF47" s="1200"/>
      <c r="BG47" s="1200"/>
    </row>
    <row r="48" spans="18:59" x14ac:dyDescent="0.35">
      <c r="R48" s="1200"/>
      <c r="S48" s="1200"/>
      <c r="W48" s="1200"/>
      <c r="X48" s="1200"/>
      <c r="AE48" s="1200"/>
      <c r="AF48" s="1200"/>
      <c r="AV48" s="1200"/>
      <c r="AW48" s="1200"/>
      <c r="AX48" s="1200"/>
      <c r="AY48" s="1200"/>
      <c r="AZ48" s="1200"/>
      <c r="BA48" s="1200"/>
      <c r="BC48" s="1200"/>
      <c r="BE48" s="1200"/>
      <c r="BF48" s="1200"/>
      <c r="BG48" s="1200"/>
    </row>
    <row r="49" spans="18:59" x14ac:dyDescent="0.35">
      <c r="R49" s="1200"/>
      <c r="S49" s="1200"/>
      <c r="W49" s="1200"/>
      <c r="X49" s="1200"/>
      <c r="AE49" s="1200"/>
      <c r="AF49" s="1200"/>
      <c r="AV49" s="1200"/>
      <c r="AW49" s="1200"/>
      <c r="AX49" s="1200"/>
      <c r="AY49" s="1200"/>
      <c r="AZ49" s="1200"/>
      <c r="BA49" s="1200"/>
      <c r="BC49" s="1200"/>
      <c r="BE49" s="1200"/>
      <c r="BF49" s="1200"/>
      <c r="BG49" s="1200"/>
    </row>
    <row r="50" spans="18:59" x14ac:dyDescent="0.35">
      <c r="R50" s="1200"/>
      <c r="S50" s="1200"/>
      <c r="W50" s="1200"/>
      <c r="X50" s="1200"/>
      <c r="AE50" s="1200"/>
      <c r="AF50" s="1200"/>
      <c r="AV50" s="1200"/>
      <c r="AW50" s="1200"/>
      <c r="AX50" s="1200"/>
      <c r="AY50" s="1200"/>
      <c r="AZ50" s="1200"/>
      <c r="BA50" s="1200"/>
      <c r="BC50" s="1200"/>
      <c r="BE50" s="1200"/>
      <c r="BF50" s="1200"/>
      <c r="BG50" s="1200"/>
    </row>
    <row r="51" spans="18:59" x14ac:dyDescent="0.35">
      <c r="R51" s="1200"/>
      <c r="S51" s="1200"/>
      <c r="W51" s="1200"/>
      <c r="X51" s="1200"/>
      <c r="AE51" s="1200"/>
      <c r="AF51" s="1200"/>
      <c r="AV51" s="1200"/>
      <c r="AW51" s="1200"/>
      <c r="AX51" s="1200"/>
      <c r="AY51" s="1200"/>
      <c r="AZ51" s="1200"/>
      <c r="BA51" s="1200"/>
      <c r="BC51" s="1200"/>
      <c r="BE51" s="1200"/>
      <c r="BF51" s="1200"/>
      <c r="BG51" s="1200"/>
    </row>
    <row r="52" spans="18:59" x14ac:dyDescent="0.35">
      <c r="R52" s="1200"/>
      <c r="S52" s="1200"/>
      <c r="W52" s="1200"/>
      <c r="X52" s="1200"/>
      <c r="AE52" s="1200"/>
      <c r="AF52" s="1200"/>
      <c r="AV52" s="1200"/>
      <c r="AW52" s="1200"/>
      <c r="AX52" s="1200"/>
      <c r="AY52" s="1200"/>
      <c r="AZ52" s="1200"/>
      <c r="BA52" s="1200"/>
      <c r="BC52" s="1200"/>
      <c r="BE52" s="1200"/>
      <c r="BF52" s="1200"/>
      <c r="BG52" s="1200"/>
    </row>
    <row r="53" spans="18:59" x14ac:dyDescent="0.35">
      <c r="R53" s="1200"/>
      <c r="S53" s="1200"/>
      <c r="W53" s="1200"/>
      <c r="X53" s="1200"/>
      <c r="AE53" s="1200"/>
      <c r="AF53" s="1200"/>
      <c r="AV53" s="1200"/>
      <c r="AW53" s="1200"/>
      <c r="AX53" s="1200"/>
      <c r="AY53" s="1200"/>
      <c r="AZ53" s="1200"/>
      <c r="BA53" s="1200"/>
      <c r="BC53" s="1200"/>
      <c r="BE53" s="1200"/>
      <c r="BF53" s="1200"/>
      <c r="BG53" s="1200"/>
    </row>
    <row r="54" spans="18:59" x14ac:dyDescent="0.35">
      <c r="R54" s="1200"/>
      <c r="S54" s="1200"/>
      <c r="W54" s="1200"/>
      <c r="X54" s="1200"/>
      <c r="AE54" s="1200"/>
      <c r="AF54" s="1200"/>
      <c r="AV54" s="1200"/>
      <c r="AW54" s="1200"/>
      <c r="AX54" s="1200"/>
      <c r="AY54" s="1200"/>
      <c r="AZ54" s="1200"/>
      <c r="BA54" s="1200"/>
      <c r="BC54" s="1200"/>
      <c r="BE54" s="1200"/>
      <c r="BF54" s="1200"/>
      <c r="BG54" s="1200"/>
    </row>
    <row r="55" spans="18:59" x14ac:dyDescent="0.35">
      <c r="R55" s="1200"/>
      <c r="S55" s="1200"/>
      <c r="W55" s="1200"/>
      <c r="X55" s="1200"/>
      <c r="AE55" s="1200"/>
      <c r="AF55" s="1200"/>
      <c r="AV55" s="1200"/>
      <c r="AW55" s="1200"/>
      <c r="AX55" s="1200"/>
      <c r="AY55" s="1200"/>
      <c r="AZ55" s="1200"/>
      <c r="BA55" s="1200"/>
      <c r="BC55" s="1200"/>
      <c r="BE55" s="1200"/>
      <c r="BF55" s="1200"/>
      <c r="BG55" s="1200"/>
    </row>
    <row r="56" spans="18:59" x14ac:dyDescent="0.35">
      <c r="R56" s="1200"/>
      <c r="S56" s="1200"/>
      <c r="W56" s="1200"/>
      <c r="X56" s="1200"/>
      <c r="AE56" s="1200"/>
      <c r="AF56" s="1200"/>
      <c r="AV56" s="1200"/>
      <c r="AW56" s="1200"/>
      <c r="AX56" s="1200"/>
      <c r="AY56" s="1200"/>
      <c r="AZ56" s="1200"/>
      <c r="BA56" s="1200"/>
      <c r="BC56" s="1200"/>
      <c r="BE56" s="1200"/>
      <c r="BF56" s="1200"/>
      <c r="BG56" s="1200"/>
    </row>
    <row r="57" spans="18:59" x14ac:dyDescent="0.35">
      <c r="R57" s="1200"/>
      <c r="S57" s="1200"/>
      <c r="W57" s="1200"/>
      <c r="X57" s="1200"/>
      <c r="AE57" s="1200"/>
      <c r="AF57" s="1200"/>
      <c r="AV57" s="1200"/>
      <c r="AW57" s="1200"/>
      <c r="AX57" s="1200"/>
      <c r="AY57" s="1200"/>
      <c r="AZ57" s="1200"/>
      <c r="BA57" s="1200"/>
      <c r="BC57" s="1200"/>
      <c r="BE57" s="1200"/>
      <c r="BF57" s="1200"/>
      <c r="BG57" s="1200"/>
    </row>
    <row r="58" spans="18:59" x14ac:dyDescent="0.35">
      <c r="R58" s="1200"/>
      <c r="S58" s="1200"/>
      <c r="W58" s="1200"/>
      <c r="X58" s="1200"/>
      <c r="AE58" s="1200"/>
      <c r="AF58" s="1200"/>
      <c r="AV58" s="1200"/>
      <c r="AW58" s="1200"/>
      <c r="AX58" s="1200"/>
      <c r="AY58" s="1200"/>
      <c r="AZ58" s="1200"/>
      <c r="BA58" s="1200"/>
      <c r="BC58" s="1200"/>
      <c r="BE58" s="1200"/>
      <c r="BF58" s="1200"/>
      <c r="BG58" s="1200"/>
    </row>
    <row r="59" spans="18:59" x14ac:dyDescent="0.35">
      <c r="R59" s="1200"/>
      <c r="S59" s="1200"/>
      <c r="W59" s="1200"/>
      <c r="X59" s="1200"/>
      <c r="AE59" s="1200"/>
      <c r="AF59" s="1200"/>
      <c r="AV59" s="1200"/>
      <c r="AW59" s="1200"/>
      <c r="AX59" s="1200"/>
      <c r="AY59" s="1200"/>
      <c r="AZ59" s="1200"/>
      <c r="BA59" s="1200"/>
      <c r="BC59" s="1200"/>
      <c r="BE59" s="1200"/>
      <c r="BF59" s="1200"/>
      <c r="BG59" s="1200"/>
    </row>
    <row r="60" spans="18:59" x14ac:dyDescent="0.35">
      <c r="R60" s="1200"/>
      <c r="S60" s="1200"/>
      <c r="W60" s="1200"/>
      <c r="X60" s="1200"/>
      <c r="AE60" s="1200"/>
      <c r="AF60" s="1200"/>
      <c r="AV60" s="1200"/>
      <c r="AW60" s="1200"/>
      <c r="AX60" s="1200"/>
      <c r="AY60" s="1200"/>
      <c r="AZ60" s="1200"/>
      <c r="BA60" s="1200"/>
      <c r="BC60" s="1200"/>
      <c r="BE60" s="1200"/>
      <c r="BF60" s="1200"/>
      <c r="BG60" s="1200"/>
    </row>
    <row r="61" spans="18:59" x14ac:dyDescent="0.35">
      <c r="R61" s="1200"/>
      <c r="S61" s="1200"/>
      <c r="W61" s="1200"/>
      <c r="X61" s="1200"/>
      <c r="AE61" s="1200"/>
      <c r="AF61" s="1200"/>
      <c r="AV61" s="1200"/>
      <c r="AW61" s="1200"/>
      <c r="AX61" s="1200"/>
      <c r="AY61" s="1200"/>
      <c r="AZ61" s="1200"/>
      <c r="BA61" s="1200"/>
      <c r="BC61" s="1200"/>
      <c r="BE61" s="1200"/>
      <c r="BF61" s="1200"/>
      <c r="BG61" s="1200"/>
    </row>
    <row r="62" spans="18:59" x14ac:dyDescent="0.35">
      <c r="R62" s="1200"/>
      <c r="S62" s="1200"/>
      <c r="W62" s="1200"/>
      <c r="X62" s="1200"/>
      <c r="AE62" s="1200"/>
      <c r="AF62" s="1200"/>
      <c r="AV62" s="1200"/>
      <c r="AW62" s="1200"/>
      <c r="AX62" s="1200"/>
      <c r="AY62" s="1200"/>
      <c r="AZ62" s="1200"/>
      <c r="BA62" s="1200"/>
      <c r="BC62" s="1200"/>
      <c r="BE62" s="1200"/>
      <c r="BF62" s="1200"/>
      <c r="BG62" s="1200"/>
    </row>
    <row r="63" spans="18:59" x14ac:dyDescent="0.35">
      <c r="R63" s="1200"/>
      <c r="S63" s="1200"/>
      <c r="W63" s="1200"/>
      <c r="X63" s="1200"/>
      <c r="AE63" s="1200"/>
      <c r="AF63" s="1200"/>
      <c r="AV63" s="1200"/>
      <c r="AW63" s="1200"/>
      <c r="AX63" s="1200"/>
      <c r="AY63" s="1200"/>
      <c r="AZ63" s="1200"/>
      <c r="BA63" s="1200"/>
      <c r="BC63" s="1200"/>
      <c r="BE63" s="1200"/>
      <c r="BF63" s="1200"/>
      <c r="BG63" s="1200"/>
    </row>
    <row r="64" spans="18:59" x14ac:dyDescent="0.35">
      <c r="R64" s="1200"/>
      <c r="S64" s="1200"/>
      <c r="W64" s="1200"/>
      <c r="X64" s="1200"/>
      <c r="AE64" s="1200"/>
      <c r="AF64" s="1200"/>
      <c r="AV64" s="1200"/>
      <c r="AW64" s="1200"/>
      <c r="AX64" s="1200"/>
      <c r="AY64" s="1200"/>
      <c r="AZ64" s="1200"/>
      <c r="BA64" s="1200"/>
      <c r="BC64" s="1200"/>
      <c r="BE64" s="1200"/>
      <c r="BF64" s="1200"/>
      <c r="BG64" s="1200"/>
    </row>
    <row r="65" spans="18:59" x14ac:dyDescent="0.35">
      <c r="R65" s="1200"/>
      <c r="S65" s="1200"/>
      <c r="W65" s="1200"/>
      <c r="X65" s="1200"/>
      <c r="AE65" s="1200"/>
      <c r="AF65" s="1200"/>
      <c r="AV65" s="1200"/>
      <c r="AW65" s="1200"/>
      <c r="AX65" s="1200"/>
      <c r="AY65" s="1200"/>
      <c r="AZ65" s="1200"/>
      <c r="BA65" s="1200"/>
      <c r="BC65" s="1200"/>
      <c r="BE65" s="1200"/>
      <c r="BF65" s="1200"/>
      <c r="BG65" s="1200"/>
    </row>
    <row r="66" spans="18:59" x14ac:dyDescent="0.35">
      <c r="R66" s="1200"/>
      <c r="S66" s="1200"/>
      <c r="W66" s="1200"/>
      <c r="X66" s="1200"/>
      <c r="AE66" s="1200"/>
      <c r="AF66" s="1200"/>
      <c r="AV66" s="1200"/>
      <c r="AW66" s="1200"/>
      <c r="AX66" s="1200"/>
      <c r="AY66" s="1200"/>
      <c r="AZ66" s="1200"/>
      <c r="BA66" s="1200"/>
      <c r="BC66" s="1200"/>
      <c r="BE66" s="1200"/>
      <c r="BF66" s="1200"/>
      <c r="BG66" s="1200"/>
    </row>
    <row r="67" spans="18:59" x14ac:dyDescent="0.35">
      <c r="R67" s="1200"/>
      <c r="S67" s="1200"/>
      <c r="W67" s="1200"/>
      <c r="X67" s="1200"/>
      <c r="AE67" s="1200"/>
      <c r="AF67" s="1200"/>
      <c r="AV67" s="1200"/>
      <c r="AW67" s="1200"/>
      <c r="AX67" s="1200"/>
      <c r="AY67" s="1200"/>
      <c r="AZ67" s="1200"/>
      <c r="BA67" s="1200"/>
      <c r="BC67" s="1200"/>
      <c r="BE67" s="1200"/>
      <c r="BF67" s="1200"/>
      <c r="BG67" s="1200"/>
    </row>
    <row r="68" spans="18:59" x14ac:dyDescent="0.35">
      <c r="R68" s="1200"/>
      <c r="S68" s="1200"/>
      <c r="W68" s="1200"/>
      <c r="X68" s="1200"/>
      <c r="AE68" s="1200"/>
      <c r="AF68" s="1200"/>
      <c r="AV68" s="1200"/>
      <c r="AW68" s="1200"/>
      <c r="AX68" s="1200"/>
      <c r="AY68" s="1200"/>
      <c r="AZ68" s="1200"/>
      <c r="BA68" s="1200"/>
      <c r="BC68" s="1200"/>
      <c r="BE68" s="1200"/>
      <c r="BF68" s="1200"/>
      <c r="BG68" s="1200"/>
    </row>
    <row r="69" spans="18:59" x14ac:dyDescent="0.35">
      <c r="R69" s="1200"/>
      <c r="S69" s="1200"/>
      <c r="W69" s="1200"/>
      <c r="X69" s="1200"/>
      <c r="AE69" s="1200"/>
      <c r="AF69" s="1200"/>
      <c r="AV69" s="1200"/>
      <c r="AW69" s="1200"/>
      <c r="AX69" s="1200"/>
      <c r="AY69" s="1200"/>
      <c r="AZ69" s="1200"/>
      <c r="BA69" s="1200"/>
      <c r="BC69" s="1200"/>
      <c r="BE69" s="1200"/>
      <c r="BF69" s="1200"/>
      <c r="BG69" s="1200"/>
    </row>
    <row r="70" spans="18:59" x14ac:dyDescent="0.35">
      <c r="R70" s="1200"/>
      <c r="S70" s="1200"/>
      <c r="W70" s="1200"/>
      <c r="X70" s="1200"/>
      <c r="AE70" s="1200"/>
      <c r="AF70" s="1200"/>
      <c r="AV70" s="1200"/>
      <c r="AW70" s="1200"/>
      <c r="AX70" s="1200"/>
      <c r="AY70" s="1200"/>
      <c r="AZ70" s="1200"/>
      <c r="BA70" s="1200"/>
      <c r="BC70" s="1200"/>
      <c r="BE70" s="1200"/>
      <c r="BF70" s="1200"/>
      <c r="BG70" s="1200"/>
    </row>
    <row r="71" spans="18:59" x14ac:dyDescent="0.35">
      <c r="R71" s="1200"/>
      <c r="S71" s="1200"/>
      <c r="W71" s="1200"/>
      <c r="X71" s="1200"/>
      <c r="AE71" s="1200"/>
      <c r="AF71" s="1200"/>
      <c r="AV71" s="1200"/>
      <c r="AW71" s="1200"/>
      <c r="AX71" s="1200"/>
      <c r="AY71" s="1200"/>
      <c r="AZ71" s="1200"/>
      <c r="BA71" s="1200"/>
      <c r="BC71" s="1200"/>
      <c r="BE71" s="1200"/>
      <c r="BF71" s="1200"/>
      <c r="BG71" s="1200"/>
    </row>
    <row r="72" spans="18:59" x14ac:dyDescent="0.35">
      <c r="R72" s="1200"/>
      <c r="S72" s="1200"/>
      <c r="W72" s="1200"/>
      <c r="X72" s="1200"/>
      <c r="AE72" s="1200"/>
      <c r="AF72" s="1200"/>
      <c r="AV72" s="1200"/>
      <c r="AW72" s="1200"/>
      <c r="AX72" s="1200"/>
      <c r="AY72" s="1200"/>
      <c r="AZ72" s="1200"/>
      <c r="BA72" s="1200"/>
      <c r="BC72" s="1200"/>
      <c r="BE72" s="1200"/>
      <c r="BF72" s="1200"/>
      <c r="BG72" s="1200"/>
    </row>
    <row r="73" spans="18:59" x14ac:dyDescent="0.35">
      <c r="R73" s="1200"/>
      <c r="S73" s="1200"/>
      <c r="W73" s="1200"/>
      <c r="X73" s="1200"/>
      <c r="AE73" s="1200"/>
      <c r="AF73" s="1200"/>
      <c r="AV73" s="1200"/>
      <c r="AW73" s="1200"/>
      <c r="AX73" s="1200"/>
      <c r="AY73" s="1200"/>
      <c r="AZ73" s="1200"/>
      <c r="BA73" s="1200"/>
      <c r="BC73" s="1200"/>
      <c r="BE73" s="1200"/>
      <c r="BF73" s="1200"/>
      <c r="BG73" s="1200"/>
    </row>
    <row r="74" spans="18:59" x14ac:dyDescent="0.35">
      <c r="R74" s="1200"/>
      <c r="S74" s="1200"/>
      <c r="W74" s="1200"/>
      <c r="X74" s="1200"/>
      <c r="AE74" s="1200"/>
      <c r="AF74" s="1200"/>
      <c r="AV74" s="1200"/>
      <c r="AW74" s="1200"/>
      <c r="AX74" s="1200"/>
      <c r="AY74" s="1200"/>
      <c r="AZ74" s="1200"/>
      <c r="BA74" s="1200"/>
      <c r="BC74" s="1200"/>
      <c r="BE74" s="1200"/>
      <c r="BF74" s="1200"/>
      <c r="BG74" s="1200"/>
    </row>
    <row r="75" spans="18:59" x14ac:dyDescent="0.35">
      <c r="R75" s="1200"/>
      <c r="S75" s="1200"/>
      <c r="W75" s="1200"/>
      <c r="X75" s="1200"/>
      <c r="AE75" s="1200"/>
      <c r="AF75" s="1200"/>
      <c r="AV75" s="1200"/>
      <c r="AW75" s="1200"/>
      <c r="AX75" s="1200"/>
      <c r="AY75" s="1200"/>
      <c r="AZ75" s="1200"/>
      <c r="BA75" s="1200"/>
      <c r="BC75" s="1200"/>
      <c r="BE75" s="1200"/>
      <c r="BF75" s="1200"/>
      <c r="BG75" s="1200"/>
    </row>
    <row r="76" spans="18:59" x14ac:dyDescent="0.35">
      <c r="R76" s="1200"/>
      <c r="S76" s="1200"/>
      <c r="W76" s="1200"/>
      <c r="X76" s="1200"/>
      <c r="AE76" s="1200"/>
      <c r="AF76" s="1200"/>
      <c r="AV76" s="1200"/>
      <c r="AW76" s="1200"/>
      <c r="AX76" s="1200"/>
      <c r="AY76" s="1200"/>
      <c r="AZ76" s="1200"/>
      <c r="BA76" s="1200"/>
      <c r="BC76" s="1200"/>
      <c r="BE76" s="1200"/>
      <c r="BF76" s="1200"/>
      <c r="BG76" s="1200"/>
    </row>
    <row r="77" spans="18:59" x14ac:dyDescent="0.35">
      <c r="R77" s="1200"/>
      <c r="S77" s="1200"/>
      <c r="W77" s="1200"/>
      <c r="X77" s="1200"/>
      <c r="AE77" s="1200"/>
      <c r="AF77" s="1200"/>
      <c r="AV77" s="1200"/>
      <c r="AW77" s="1200"/>
      <c r="AX77" s="1200"/>
      <c r="AY77" s="1200"/>
      <c r="AZ77" s="1200"/>
      <c r="BA77" s="1200"/>
      <c r="BC77" s="1200"/>
      <c r="BE77" s="1200"/>
      <c r="BF77" s="1200"/>
      <c r="BG77" s="1200"/>
    </row>
    <row r="78" spans="18:59" x14ac:dyDescent="0.35">
      <c r="R78" s="1200"/>
      <c r="S78" s="1200"/>
      <c r="W78" s="1200"/>
      <c r="X78" s="1200"/>
      <c r="AE78" s="1200"/>
      <c r="AF78" s="1200"/>
      <c r="AV78" s="1200"/>
      <c r="AW78" s="1200"/>
      <c r="AX78" s="1200"/>
      <c r="AY78" s="1200"/>
      <c r="AZ78" s="1200"/>
      <c r="BA78" s="1200"/>
      <c r="BC78" s="1200"/>
      <c r="BE78" s="1200"/>
      <c r="BF78" s="1200"/>
      <c r="BG78" s="1200"/>
    </row>
    <row r="79" spans="18:59" x14ac:dyDescent="0.35">
      <c r="R79" s="1200"/>
      <c r="S79" s="1200"/>
      <c r="W79" s="1200"/>
      <c r="X79" s="1200"/>
      <c r="AE79" s="1200"/>
      <c r="AF79" s="1200"/>
      <c r="AV79" s="1200"/>
      <c r="AW79" s="1200"/>
      <c r="AX79" s="1200"/>
      <c r="AY79" s="1200"/>
      <c r="AZ79" s="1200"/>
      <c r="BA79" s="1200"/>
      <c r="BC79" s="1200"/>
      <c r="BE79" s="1200"/>
      <c r="BF79" s="1200"/>
      <c r="BG79" s="1200"/>
    </row>
    <row r="80" spans="18:59" x14ac:dyDescent="0.35">
      <c r="R80" s="1200"/>
      <c r="S80" s="1200"/>
      <c r="W80" s="1200"/>
      <c r="X80" s="1200"/>
      <c r="AE80" s="1200"/>
      <c r="AF80" s="1200"/>
      <c r="AV80" s="1200"/>
      <c r="AW80" s="1200"/>
      <c r="AX80" s="1200"/>
      <c r="AY80" s="1200"/>
      <c r="AZ80" s="1200"/>
      <c r="BA80" s="1200"/>
      <c r="BC80" s="1200"/>
      <c r="BE80" s="1200"/>
      <c r="BF80" s="1200"/>
      <c r="BG80" s="1200"/>
    </row>
    <row r="81" spans="18:59" x14ac:dyDescent="0.35">
      <c r="R81" s="1200"/>
      <c r="S81" s="1200"/>
      <c r="W81" s="1200"/>
      <c r="X81" s="1200"/>
      <c r="AE81" s="1200"/>
      <c r="AF81" s="1200"/>
      <c r="AV81" s="1200"/>
      <c r="AW81" s="1200"/>
      <c r="AX81" s="1200"/>
      <c r="AY81" s="1200"/>
      <c r="AZ81" s="1200"/>
      <c r="BA81" s="1200"/>
      <c r="BC81" s="1200"/>
      <c r="BE81" s="1200"/>
      <c r="BF81" s="1200"/>
      <c r="BG81" s="1200"/>
    </row>
    <row r="82" spans="18:59" x14ac:dyDescent="0.35">
      <c r="R82" s="1200"/>
      <c r="S82" s="1200"/>
      <c r="W82" s="1200"/>
      <c r="X82" s="1200"/>
      <c r="AE82" s="1200"/>
      <c r="AF82" s="1200"/>
      <c r="AV82" s="1200"/>
      <c r="AW82" s="1200"/>
      <c r="AX82" s="1200"/>
      <c r="AY82" s="1200"/>
      <c r="AZ82" s="1200"/>
      <c r="BA82" s="1200"/>
      <c r="BC82" s="1200"/>
      <c r="BE82" s="1200"/>
      <c r="BF82" s="1200"/>
      <c r="BG82" s="1200"/>
    </row>
    <row r="83" spans="18:59" x14ac:dyDescent="0.35">
      <c r="R83" s="1200"/>
      <c r="S83" s="1200"/>
      <c r="W83" s="1200"/>
      <c r="X83" s="1200"/>
      <c r="AE83" s="1200"/>
      <c r="AF83" s="1200"/>
      <c r="AV83" s="1200"/>
      <c r="AW83" s="1200"/>
      <c r="AX83" s="1200"/>
      <c r="AY83" s="1200"/>
      <c r="AZ83" s="1200"/>
      <c r="BA83" s="1200"/>
      <c r="BC83" s="1200"/>
      <c r="BE83" s="1200"/>
      <c r="BF83" s="1200"/>
      <c r="BG83" s="1200"/>
    </row>
    <row r="84" spans="18:59" x14ac:dyDescent="0.35">
      <c r="R84" s="1200"/>
      <c r="S84" s="1200"/>
      <c r="W84" s="1200"/>
      <c r="X84" s="1200"/>
      <c r="AE84" s="1200"/>
      <c r="AF84" s="1200"/>
      <c r="AV84" s="1200"/>
      <c r="AW84" s="1200"/>
      <c r="AX84" s="1200"/>
      <c r="AY84" s="1200"/>
      <c r="AZ84" s="1200"/>
      <c r="BA84" s="1200"/>
      <c r="BC84" s="1200"/>
      <c r="BE84" s="1200"/>
      <c r="BF84" s="1200"/>
      <c r="BG84" s="1200"/>
    </row>
    <row r="85" spans="18:59" x14ac:dyDescent="0.35">
      <c r="R85" s="1200"/>
      <c r="S85" s="1200"/>
      <c r="W85" s="1200"/>
      <c r="X85" s="1200"/>
      <c r="AE85" s="1200"/>
      <c r="AF85" s="1200"/>
      <c r="AV85" s="1200"/>
      <c r="AW85" s="1200"/>
      <c r="AX85" s="1200"/>
      <c r="AY85" s="1200"/>
      <c r="AZ85" s="1200"/>
      <c r="BA85" s="1200"/>
      <c r="BC85" s="1200"/>
      <c r="BE85" s="1200"/>
      <c r="BF85" s="1200"/>
      <c r="BG85" s="1200"/>
    </row>
    <row r="86" spans="18:59" x14ac:dyDescent="0.35">
      <c r="R86" s="1200"/>
      <c r="S86" s="1200"/>
      <c r="W86" s="1200"/>
      <c r="X86" s="1200"/>
      <c r="AE86" s="1200"/>
      <c r="AF86" s="1200"/>
      <c r="AV86" s="1200"/>
      <c r="AW86" s="1200"/>
      <c r="AX86" s="1200"/>
      <c r="AY86" s="1200"/>
      <c r="AZ86" s="1200"/>
      <c r="BA86" s="1200"/>
      <c r="BC86" s="1200"/>
      <c r="BE86" s="1200"/>
      <c r="BF86" s="1200"/>
      <c r="BG86" s="1200"/>
    </row>
    <row r="87" spans="18:59" x14ac:dyDescent="0.35">
      <c r="R87" s="1200"/>
      <c r="S87" s="1200"/>
      <c r="W87" s="1200"/>
      <c r="X87" s="1200"/>
      <c r="AE87" s="1200"/>
      <c r="AF87" s="1200"/>
      <c r="AV87" s="1200"/>
      <c r="AW87" s="1200"/>
      <c r="AX87" s="1200"/>
      <c r="AY87" s="1200"/>
      <c r="AZ87" s="1200"/>
      <c r="BA87" s="1200"/>
      <c r="BC87" s="1200"/>
      <c r="BE87" s="1200"/>
      <c r="BF87" s="1200"/>
      <c r="BG87" s="1200"/>
    </row>
    <row r="88" spans="18:59" x14ac:dyDescent="0.35">
      <c r="R88" s="1200"/>
      <c r="S88" s="1200"/>
      <c r="W88" s="1200"/>
      <c r="X88" s="1200"/>
      <c r="AE88" s="1200"/>
      <c r="AF88" s="1200"/>
      <c r="AV88" s="1200"/>
      <c r="AW88" s="1200"/>
      <c r="AX88" s="1200"/>
      <c r="AY88" s="1200"/>
      <c r="AZ88" s="1200"/>
      <c r="BA88" s="1200"/>
      <c r="BC88" s="1200"/>
      <c r="BE88" s="1200"/>
      <c r="BF88" s="1200"/>
      <c r="BG88" s="1200"/>
    </row>
    <row r="89" spans="18:59" x14ac:dyDescent="0.35">
      <c r="R89" s="1200"/>
      <c r="S89" s="1200"/>
      <c r="W89" s="1200"/>
      <c r="X89" s="1200"/>
      <c r="AE89" s="1200"/>
      <c r="AF89" s="1200"/>
      <c r="AV89" s="1200"/>
      <c r="AW89" s="1200"/>
      <c r="AX89" s="1200"/>
      <c r="AY89" s="1200"/>
      <c r="AZ89" s="1200"/>
      <c r="BA89" s="1200"/>
      <c r="BC89" s="1200"/>
      <c r="BE89" s="1200"/>
      <c r="BF89" s="1200"/>
      <c r="BG89" s="1200"/>
    </row>
    <row r="90" spans="18:59" x14ac:dyDescent="0.35">
      <c r="R90" s="1200"/>
      <c r="S90" s="1200"/>
      <c r="W90" s="1200"/>
      <c r="X90" s="1200"/>
      <c r="AE90" s="1200"/>
      <c r="AF90" s="1200"/>
      <c r="AV90" s="1200"/>
      <c r="AW90" s="1200"/>
      <c r="AX90" s="1200"/>
      <c r="AY90" s="1200"/>
      <c r="AZ90" s="1200"/>
      <c r="BA90" s="1200"/>
      <c r="BC90" s="1200"/>
      <c r="BE90" s="1200"/>
      <c r="BF90" s="1200"/>
      <c r="BG90" s="1200"/>
    </row>
    <row r="91" spans="18:59" x14ac:dyDescent="0.35">
      <c r="R91" s="1200"/>
      <c r="S91" s="1200"/>
      <c r="W91" s="1200"/>
      <c r="X91" s="1200"/>
      <c r="AE91" s="1200"/>
      <c r="AF91" s="1200"/>
      <c r="AV91" s="1200"/>
      <c r="AW91" s="1200"/>
      <c r="AX91" s="1200"/>
      <c r="AY91" s="1200"/>
      <c r="AZ91" s="1200"/>
      <c r="BA91" s="1200"/>
      <c r="BC91" s="1200"/>
      <c r="BE91" s="1200"/>
      <c r="BF91" s="1200"/>
      <c r="BG91" s="1200"/>
    </row>
    <row r="92" spans="18:59" x14ac:dyDescent="0.35">
      <c r="R92" s="1200"/>
      <c r="S92" s="1200"/>
      <c r="W92" s="1200"/>
      <c r="X92" s="1200"/>
      <c r="AE92" s="1200"/>
      <c r="AF92" s="1200"/>
      <c r="AV92" s="1200"/>
      <c r="AW92" s="1200"/>
      <c r="AX92" s="1200"/>
      <c r="AY92" s="1200"/>
      <c r="AZ92" s="1200"/>
      <c r="BA92" s="1200"/>
      <c r="BC92" s="1200"/>
      <c r="BE92" s="1200"/>
      <c r="BF92" s="1200"/>
      <c r="BG92" s="1200"/>
    </row>
    <row r="93" spans="18:59" x14ac:dyDescent="0.35">
      <c r="R93" s="1200"/>
      <c r="S93" s="1200"/>
      <c r="W93" s="1200"/>
      <c r="X93" s="1200"/>
      <c r="AE93" s="1200"/>
      <c r="AF93" s="1200"/>
      <c r="AV93" s="1200"/>
      <c r="AW93" s="1200"/>
      <c r="AX93" s="1200"/>
      <c r="AY93" s="1200"/>
      <c r="AZ93" s="1200"/>
      <c r="BA93" s="1200"/>
      <c r="BC93" s="1200"/>
      <c r="BE93" s="1200"/>
      <c r="BF93" s="1200"/>
      <c r="BG93" s="1200"/>
    </row>
    <row r="94" spans="18:59" x14ac:dyDescent="0.35">
      <c r="R94" s="1200"/>
      <c r="S94" s="1200"/>
      <c r="W94" s="1200"/>
      <c r="X94" s="1200"/>
      <c r="AE94" s="1200"/>
      <c r="AF94" s="1200"/>
      <c r="AV94" s="1200"/>
      <c r="AW94" s="1200"/>
      <c r="AX94" s="1200"/>
      <c r="AY94" s="1200"/>
      <c r="AZ94" s="1200"/>
      <c r="BA94" s="1200"/>
      <c r="BC94" s="1200"/>
      <c r="BE94" s="1200"/>
      <c r="BF94" s="1200"/>
      <c r="BG94" s="1200"/>
    </row>
    <row r="95" spans="18:59" x14ac:dyDescent="0.35">
      <c r="R95" s="1200"/>
      <c r="S95" s="1200"/>
      <c r="W95" s="1200"/>
      <c r="X95" s="1200"/>
      <c r="AE95" s="1200"/>
      <c r="AF95" s="1200"/>
      <c r="AV95" s="1200"/>
      <c r="AW95" s="1200"/>
      <c r="AX95" s="1200"/>
      <c r="AY95" s="1200"/>
      <c r="AZ95" s="1200"/>
      <c r="BA95" s="1200"/>
      <c r="BC95" s="1200"/>
      <c r="BE95" s="1200"/>
      <c r="BF95" s="1200"/>
      <c r="BG95" s="1200"/>
    </row>
    <row r="96" spans="18:59" x14ac:dyDescent="0.35">
      <c r="R96" s="1200"/>
      <c r="S96" s="1200"/>
      <c r="W96" s="1200"/>
      <c r="X96" s="1200"/>
      <c r="AE96" s="1200"/>
      <c r="AF96" s="1200"/>
      <c r="AV96" s="1200"/>
      <c r="AW96" s="1200"/>
      <c r="AX96" s="1200"/>
      <c r="AY96" s="1200"/>
      <c r="AZ96" s="1200"/>
      <c r="BA96" s="1200"/>
      <c r="BC96" s="1200"/>
      <c r="BE96" s="1200"/>
      <c r="BF96" s="1200"/>
      <c r="BG96" s="1200"/>
    </row>
    <row r="97" spans="18:59" x14ac:dyDescent="0.35">
      <c r="R97" s="1200"/>
      <c r="S97" s="1200"/>
      <c r="W97" s="1200"/>
      <c r="X97" s="1200"/>
      <c r="AE97" s="1200"/>
      <c r="AF97" s="1200"/>
      <c r="AV97" s="1200"/>
      <c r="AW97" s="1200"/>
      <c r="AX97" s="1200"/>
      <c r="AY97" s="1200"/>
      <c r="AZ97" s="1200"/>
      <c r="BA97" s="1200"/>
      <c r="BC97" s="1200"/>
      <c r="BE97" s="1200"/>
      <c r="BF97" s="1200"/>
      <c r="BG97" s="1200"/>
    </row>
    <row r="98" spans="18:59" x14ac:dyDescent="0.35">
      <c r="R98" s="1200"/>
      <c r="S98" s="1200"/>
      <c r="W98" s="1200"/>
      <c r="X98" s="1200"/>
      <c r="AE98" s="1200"/>
      <c r="AF98" s="1200"/>
      <c r="AV98" s="1200"/>
      <c r="AW98" s="1200"/>
      <c r="AX98" s="1200"/>
      <c r="AY98" s="1200"/>
      <c r="AZ98" s="1200"/>
      <c r="BA98" s="1200"/>
      <c r="BC98" s="1200"/>
      <c r="BE98" s="1200"/>
      <c r="BF98" s="1200"/>
      <c r="BG98" s="1200"/>
    </row>
    <row r="99" spans="18:59" x14ac:dyDescent="0.35">
      <c r="R99" s="1200"/>
      <c r="S99" s="1200"/>
      <c r="W99" s="1200"/>
      <c r="X99" s="1200"/>
      <c r="AE99" s="1200"/>
      <c r="AF99" s="1200"/>
      <c r="AV99" s="1200"/>
      <c r="AW99" s="1200"/>
      <c r="AX99" s="1200"/>
      <c r="AY99" s="1200"/>
      <c r="AZ99" s="1200"/>
      <c r="BA99" s="1200"/>
      <c r="BC99" s="1200"/>
      <c r="BE99" s="1200"/>
      <c r="BF99" s="1200"/>
      <c r="BG99" s="1200"/>
    </row>
    <row r="100" spans="18:59" x14ac:dyDescent="0.35">
      <c r="R100" s="1200"/>
      <c r="S100" s="1200"/>
      <c r="W100" s="1200"/>
      <c r="X100" s="1200"/>
      <c r="AE100" s="1200"/>
      <c r="AF100" s="1200"/>
      <c r="AV100" s="1200"/>
      <c r="AW100" s="1200"/>
      <c r="AX100" s="1200"/>
      <c r="AY100" s="1200"/>
      <c r="AZ100" s="1200"/>
      <c r="BA100" s="1200"/>
      <c r="BC100" s="1200"/>
      <c r="BE100" s="1200"/>
      <c r="BF100" s="1200"/>
      <c r="BG100" s="1200"/>
    </row>
    <row r="101" spans="18:59" x14ac:dyDescent="0.35">
      <c r="R101" s="1200"/>
      <c r="S101" s="1200"/>
      <c r="W101" s="1200"/>
      <c r="X101" s="1200"/>
      <c r="AE101" s="1200"/>
      <c r="AF101" s="1200"/>
      <c r="AV101" s="1200"/>
      <c r="AW101" s="1200"/>
      <c r="AX101" s="1200"/>
      <c r="AY101" s="1200"/>
      <c r="AZ101" s="1200"/>
      <c r="BA101" s="1200"/>
      <c r="BC101" s="1200"/>
      <c r="BE101" s="1200"/>
      <c r="BF101" s="1200"/>
      <c r="BG101" s="1200"/>
    </row>
    <row r="102" spans="18:59" x14ac:dyDescent="0.35">
      <c r="R102" s="1200"/>
      <c r="S102" s="1200"/>
      <c r="W102" s="1200"/>
      <c r="X102" s="1200"/>
      <c r="AE102" s="1200"/>
      <c r="AF102" s="1200"/>
      <c r="AV102" s="1200"/>
      <c r="AW102" s="1200"/>
      <c r="AX102" s="1200"/>
      <c r="AY102" s="1200"/>
      <c r="AZ102" s="1200"/>
      <c r="BA102" s="1200"/>
      <c r="BC102" s="1200"/>
      <c r="BE102" s="1200"/>
      <c r="BF102" s="1200"/>
      <c r="BG102" s="1200"/>
    </row>
    <row r="103" spans="18:59" x14ac:dyDescent="0.35">
      <c r="R103" s="1200"/>
      <c r="S103" s="1200"/>
      <c r="W103" s="1200"/>
      <c r="X103" s="1200"/>
      <c r="AE103" s="1200"/>
      <c r="AF103" s="1200"/>
      <c r="AV103" s="1200"/>
      <c r="AW103" s="1200"/>
      <c r="AX103" s="1200"/>
      <c r="AY103" s="1200"/>
      <c r="AZ103" s="1200"/>
      <c r="BA103" s="1200"/>
      <c r="BC103" s="1200"/>
      <c r="BE103" s="1200"/>
      <c r="BF103" s="1200"/>
      <c r="BG103" s="1200"/>
    </row>
    <row r="104" spans="18:59" x14ac:dyDescent="0.35">
      <c r="R104" s="1200"/>
      <c r="S104" s="1200"/>
      <c r="W104" s="1200"/>
      <c r="X104" s="1200"/>
      <c r="AE104" s="1200"/>
      <c r="AF104" s="1200"/>
      <c r="AV104" s="1200"/>
      <c r="AW104" s="1200"/>
      <c r="AX104" s="1200"/>
      <c r="AY104" s="1200"/>
      <c r="AZ104" s="1200"/>
      <c r="BA104" s="1200"/>
      <c r="BC104" s="1200"/>
      <c r="BE104" s="1200"/>
      <c r="BF104" s="1200"/>
      <c r="BG104" s="1200"/>
    </row>
    <row r="105" spans="18:59" x14ac:dyDescent="0.35">
      <c r="R105" s="1200"/>
      <c r="S105" s="1200"/>
      <c r="W105" s="1200"/>
      <c r="X105" s="1200"/>
      <c r="AE105" s="1200"/>
      <c r="AF105" s="1200"/>
      <c r="AV105" s="1200"/>
      <c r="AW105" s="1200"/>
      <c r="AX105" s="1200"/>
      <c r="AY105" s="1200"/>
      <c r="AZ105" s="1200"/>
      <c r="BA105" s="1200"/>
      <c r="BC105" s="1200"/>
      <c r="BE105" s="1200"/>
      <c r="BF105" s="1200"/>
      <c r="BG105" s="1200"/>
    </row>
    <row r="106" spans="18:59" x14ac:dyDescent="0.35">
      <c r="R106" s="1200"/>
      <c r="S106" s="1200"/>
      <c r="W106" s="1200"/>
      <c r="X106" s="1200"/>
      <c r="AE106" s="1200"/>
      <c r="AF106" s="1200"/>
      <c r="AV106" s="1200"/>
      <c r="AW106" s="1200"/>
      <c r="AX106" s="1200"/>
      <c r="AY106" s="1200"/>
      <c r="AZ106" s="1200"/>
      <c r="BA106" s="1200"/>
      <c r="BC106" s="1200"/>
      <c r="BE106" s="1200"/>
      <c r="BF106" s="1200"/>
      <c r="BG106" s="1200"/>
    </row>
    <row r="107" spans="18:59" x14ac:dyDescent="0.35">
      <c r="R107" s="1200"/>
      <c r="S107" s="1200"/>
      <c r="W107" s="1200"/>
      <c r="X107" s="1200"/>
      <c r="AE107" s="1200"/>
      <c r="AF107" s="1200"/>
      <c r="AV107" s="1200"/>
      <c r="AW107" s="1200"/>
      <c r="AX107" s="1200"/>
      <c r="AY107" s="1200"/>
      <c r="AZ107" s="1200"/>
      <c r="BA107" s="1200"/>
      <c r="BC107" s="1200"/>
      <c r="BE107" s="1200"/>
      <c r="BF107" s="1200"/>
      <c r="BG107" s="1200"/>
    </row>
    <row r="108" spans="18:59" x14ac:dyDescent="0.35">
      <c r="R108" s="1200"/>
      <c r="S108" s="1200"/>
      <c r="W108" s="1200"/>
      <c r="X108" s="1200"/>
      <c r="AE108" s="1200"/>
      <c r="AF108" s="1200"/>
      <c r="AV108" s="1200"/>
      <c r="AW108" s="1200"/>
      <c r="AX108" s="1200"/>
      <c r="AY108" s="1200"/>
      <c r="AZ108" s="1200"/>
      <c r="BA108" s="1200"/>
      <c r="BC108" s="1200"/>
      <c r="BE108" s="1200"/>
      <c r="BF108" s="1200"/>
      <c r="BG108" s="1200"/>
    </row>
    <row r="109" spans="18:59" x14ac:dyDescent="0.35">
      <c r="R109" s="1200"/>
      <c r="S109" s="1200"/>
      <c r="W109" s="1200"/>
      <c r="X109" s="1200"/>
      <c r="AE109" s="1200"/>
      <c r="AF109" s="1200"/>
      <c r="AV109" s="1200"/>
      <c r="AW109" s="1200"/>
      <c r="AX109" s="1200"/>
      <c r="AY109" s="1200"/>
      <c r="AZ109" s="1200"/>
      <c r="BA109" s="1200"/>
      <c r="BC109" s="1200"/>
      <c r="BE109" s="1200"/>
      <c r="BF109" s="1200"/>
      <c r="BG109" s="1200"/>
    </row>
    <row r="110" spans="18:59" x14ac:dyDescent="0.35">
      <c r="R110" s="1200"/>
      <c r="S110" s="1200"/>
      <c r="W110" s="1200"/>
      <c r="X110" s="1200"/>
      <c r="AE110" s="1200"/>
      <c r="AF110" s="1200"/>
      <c r="AV110" s="1200"/>
      <c r="AW110" s="1200"/>
      <c r="AX110" s="1200"/>
      <c r="AY110" s="1200"/>
      <c r="AZ110" s="1200"/>
      <c r="BA110" s="1200"/>
      <c r="BC110" s="1200"/>
      <c r="BE110" s="1200"/>
      <c r="BF110" s="1200"/>
      <c r="BG110" s="1200"/>
    </row>
    <row r="111" spans="18:59" x14ac:dyDescent="0.35">
      <c r="R111" s="1200"/>
      <c r="S111" s="1200"/>
      <c r="W111" s="1200"/>
      <c r="X111" s="1200"/>
      <c r="AE111" s="1200"/>
      <c r="AF111" s="1200"/>
      <c r="AV111" s="1200"/>
      <c r="AW111" s="1200"/>
      <c r="AX111" s="1200"/>
      <c r="AY111" s="1200"/>
      <c r="AZ111" s="1200"/>
      <c r="BA111" s="1200"/>
      <c r="BC111" s="1200"/>
      <c r="BE111" s="1200"/>
      <c r="BF111" s="1200"/>
      <c r="BG111" s="1200"/>
    </row>
    <row r="112" spans="18:59" x14ac:dyDescent="0.35">
      <c r="R112" s="1200"/>
      <c r="S112" s="1200"/>
      <c r="W112" s="1200"/>
      <c r="X112" s="1200"/>
      <c r="AE112" s="1200"/>
      <c r="AF112" s="1200"/>
      <c r="AV112" s="1200"/>
      <c r="AW112" s="1200"/>
      <c r="AX112" s="1200"/>
      <c r="AY112" s="1200"/>
      <c r="AZ112" s="1200"/>
      <c r="BA112" s="1200"/>
      <c r="BC112" s="1200"/>
      <c r="BE112" s="1200"/>
      <c r="BF112" s="1200"/>
      <c r="BG112" s="1200"/>
    </row>
    <row r="113" spans="18:59" x14ac:dyDescent="0.35">
      <c r="R113" s="1200"/>
      <c r="S113" s="1200"/>
      <c r="W113" s="1200"/>
      <c r="X113" s="1200"/>
      <c r="AE113" s="1200"/>
      <c r="AF113" s="1200"/>
      <c r="AV113" s="1200"/>
      <c r="AW113" s="1200"/>
      <c r="AX113" s="1200"/>
      <c r="AY113" s="1200"/>
      <c r="AZ113" s="1200"/>
      <c r="BA113" s="1200"/>
      <c r="BC113" s="1200"/>
      <c r="BE113" s="1200"/>
      <c r="BF113" s="1200"/>
      <c r="BG113" s="1200"/>
    </row>
    <row r="114" spans="18:59" x14ac:dyDescent="0.35">
      <c r="R114" s="1200"/>
      <c r="S114" s="1200"/>
      <c r="W114" s="1200"/>
      <c r="X114" s="1200"/>
      <c r="AE114" s="1200"/>
      <c r="AF114" s="1200"/>
      <c r="AV114" s="1200"/>
      <c r="AW114" s="1200"/>
      <c r="AX114" s="1200"/>
      <c r="AY114" s="1200"/>
      <c r="AZ114" s="1200"/>
      <c r="BA114" s="1200"/>
      <c r="BC114" s="1200"/>
      <c r="BE114" s="1200"/>
      <c r="BF114" s="1200"/>
      <c r="BG114" s="1200"/>
    </row>
    <row r="115" spans="18:59" x14ac:dyDescent="0.35">
      <c r="R115" s="1200"/>
      <c r="S115" s="1200"/>
      <c r="W115" s="1200"/>
      <c r="X115" s="1200"/>
      <c r="AE115" s="1200"/>
      <c r="AF115" s="1200"/>
      <c r="AV115" s="1200"/>
      <c r="AW115" s="1200"/>
      <c r="AX115" s="1200"/>
      <c r="AY115" s="1200"/>
      <c r="AZ115" s="1200"/>
      <c r="BA115" s="1200"/>
      <c r="BC115" s="1200"/>
      <c r="BE115" s="1200"/>
      <c r="BF115" s="1200"/>
      <c r="BG115" s="1200"/>
    </row>
    <row r="116" spans="18:59" x14ac:dyDescent="0.35">
      <c r="R116" s="1200"/>
      <c r="S116" s="1200"/>
      <c r="W116" s="1200"/>
      <c r="X116" s="1200"/>
      <c r="AE116" s="1200"/>
      <c r="AF116" s="1200"/>
      <c r="AV116" s="1200"/>
      <c r="AW116" s="1200"/>
      <c r="AX116" s="1200"/>
      <c r="AY116" s="1200"/>
      <c r="AZ116" s="1200"/>
      <c r="BA116" s="1200"/>
      <c r="BC116" s="1200"/>
      <c r="BE116" s="1200"/>
      <c r="BF116" s="1200"/>
      <c r="BG116" s="1200"/>
    </row>
    <row r="117" spans="18:59" x14ac:dyDescent="0.35">
      <c r="R117" s="1200"/>
      <c r="S117" s="1200"/>
      <c r="W117" s="1200"/>
      <c r="X117" s="1200"/>
      <c r="AE117" s="1200"/>
      <c r="AF117" s="1200"/>
      <c r="AV117" s="1200"/>
      <c r="AW117" s="1200"/>
      <c r="AX117" s="1200"/>
      <c r="AY117" s="1200"/>
      <c r="AZ117" s="1200"/>
      <c r="BA117" s="1200"/>
      <c r="BC117" s="1200"/>
      <c r="BE117" s="1200"/>
      <c r="BF117" s="1200"/>
      <c r="BG117" s="1200"/>
    </row>
    <row r="118" spans="18:59" x14ac:dyDescent="0.35">
      <c r="R118" s="1200"/>
      <c r="S118" s="1200"/>
      <c r="W118" s="1200"/>
      <c r="X118" s="1200"/>
      <c r="AE118" s="1200"/>
      <c r="AF118" s="1200"/>
      <c r="AV118" s="1200"/>
      <c r="AW118" s="1200"/>
      <c r="AX118" s="1200"/>
      <c r="AY118" s="1200"/>
      <c r="AZ118" s="1200"/>
      <c r="BA118" s="1200"/>
      <c r="BC118" s="1200"/>
      <c r="BE118" s="1200"/>
      <c r="BF118" s="1200"/>
      <c r="BG118" s="1200"/>
    </row>
    <row r="119" spans="18:59" x14ac:dyDescent="0.35">
      <c r="R119" s="1200"/>
      <c r="S119" s="1200"/>
      <c r="W119" s="1200"/>
      <c r="X119" s="1200"/>
      <c r="AE119" s="1200"/>
      <c r="AF119" s="1200"/>
      <c r="AV119" s="1200"/>
      <c r="AW119" s="1200"/>
      <c r="AX119" s="1200"/>
      <c r="AY119" s="1200"/>
      <c r="AZ119" s="1200"/>
      <c r="BA119" s="1200"/>
      <c r="BC119" s="1200"/>
      <c r="BE119" s="1200"/>
      <c r="BF119" s="1200"/>
      <c r="BG119" s="1200"/>
    </row>
    <row r="120" spans="18:59" x14ac:dyDescent="0.35">
      <c r="R120" s="1200"/>
      <c r="S120" s="1200"/>
      <c r="W120" s="1200"/>
      <c r="X120" s="1200"/>
      <c r="AE120" s="1200"/>
      <c r="AF120" s="1200"/>
      <c r="AV120" s="1200"/>
      <c r="AW120" s="1200"/>
      <c r="AX120" s="1200"/>
      <c r="AY120" s="1200"/>
      <c r="AZ120" s="1200"/>
      <c r="BA120" s="1200"/>
      <c r="BC120" s="1200"/>
      <c r="BE120" s="1200"/>
      <c r="BF120" s="1200"/>
      <c r="BG120" s="1200"/>
    </row>
    <row r="121" spans="18:59" x14ac:dyDescent="0.35">
      <c r="R121" s="1200"/>
      <c r="S121" s="1200"/>
      <c r="W121" s="1200"/>
      <c r="X121" s="1200"/>
      <c r="AE121" s="1200"/>
      <c r="AF121" s="1200"/>
      <c r="AV121" s="1200"/>
      <c r="AW121" s="1200"/>
      <c r="AX121" s="1200"/>
      <c r="AY121" s="1200"/>
      <c r="AZ121" s="1200"/>
      <c r="BA121" s="1200"/>
      <c r="BC121" s="1200"/>
      <c r="BE121" s="1200"/>
      <c r="BF121" s="1200"/>
      <c r="BG121" s="1200"/>
    </row>
    <row r="122" spans="18:59" x14ac:dyDescent="0.35">
      <c r="R122" s="1200"/>
      <c r="S122" s="1200"/>
      <c r="W122" s="1200"/>
      <c r="X122" s="1200"/>
      <c r="AE122" s="1200"/>
      <c r="AF122" s="1200"/>
      <c r="AV122" s="1200"/>
      <c r="AW122" s="1200"/>
      <c r="AX122" s="1200"/>
      <c r="AY122" s="1200"/>
      <c r="AZ122" s="1200"/>
      <c r="BA122" s="1200"/>
      <c r="BC122" s="1200"/>
      <c r="BE122" s="1200"/>
      <c r="BF122" s="1200"/>
      <c r="BG122" s="1200"/>
    </row>
    <row r="123" spans="18:59" x14ac:dyDescent="0.35">
      <c r="R123" s="1200"/>
      <c r="S123" s="1200"/>
      <c r="W123" s="1200"/>
      <c r="X123" s="1200"/>
      <c r="AE123" s="1200"/>
      <c r="AF123" s="1200"/>
      <c r="AV123" s="1200"/>
      <c r="AW123" s="1200"/>
      <c r="AX123" s="1200"/>
      <c r="AY123" s="1200"/>
      <c r="AZ123" s="1200"/>
      <c r="BA123" s="1200"/>
      <c r="BC123" s="1200"/>
      <c r="BE123" s="1200"/>
      <c r="BF123" s="1200"/>
      <c r="BG123" s="1200"/>
    </row>
    <row r="124" spans="18:59" x14ac:dyDescent="0.35">
      <c r="R124" s="1200"/>
      <c r="S124" s="1200"/>
      <c r="W124" s="1200"/>
      <c r="X124" s="1200"/>
      <c r="AE124" s="1200"/>
      <c r="AF124" s="1200"/>
      <c r="AV124" s="1200"/>
      <c r="AW124" s="1200"/>
      <c r="AX124" s="1200"/>
      <c r="AY124" s="1200"/>
      <c r="AZ124" s="1200"/>
      <c r="BA124" s="1200"/>
      <c r="BC124" s="1200"/>
      <c r="BE124" s="1200"/>
      <c r="BF124" s="1200"/>
      <c r="BG124" s="1200"/>
    </row>
    <row r="125" spans="18:59" x14ac:dyDescent="0.35">
      <c r="R125" s="1200"/>
      <c r="S125" s="1200"/>
      <c r="W125" s="1200"/>
      <c r="X125" s="1200"/>
      <c r="AE125" s="1200"/>
      <c r="AF125" s="1200"/>
      <c r="AV125" s="1200"/>
      <c r="AW125" s="1200"/>
      <c r="AX125" s="1200"/>
      <c r="AY125" s="1200"/>
      <c r="AZ125" s="1200"/>
      <c r="BA125" s="1200"/>
      <c r="BC125" s="1200"/>
      <c r="BE125" s="1200"/>
      <c r="BF125" s="1200"/>
      <c r="BG125" s="1200"/>
    </row>
    <row r="126" spans="18:59" x14ac:dyDescent="0.35">
      <c r="R126" s="1200"/>
      <c r="S126" s="1200"/>
      <c r="W126" s="1200"/>
      <c r="X126" s="1200"/>
      <c r="AE126" s="1200"/>
      <c r="AF126" s="1200"/>
      <c r="AV126" s="1200"/>
      <c r="AW126" s="1200"/>
      <c r="AX126" s="1200"/>
      <c r="AY126" s="1200"/>
      <c r="AZ126" s="1200"/>
      <c r="BA126" s="1200"/>
      <c r="BC126" s="1200"/>
      <c r="BE126" s="1200"/>
      <c r="BF126" s="1200"/>
      <c r="BG126" s="1200"/>
    </row>
    <row r="127" spans="18:59" x14ac:dyDescent="0.35">
      <c r="R127" s="1200"/>
      <c r="S127" s="1200"/>
      <c r="W127" s="1200"/>
      <c r="X127" s="1200"/>
      <c r="AE127" s="1200"/>
      <c r="AF127" s="1200"/>
      <c r="AV127" s="1200"/>
      <c r="AW127" s="1200"/>
      <c r="AX127" s="1200"/>
      <c r="AY127" s="1200"/>
      <c r="AZ127" s="1200"/>
      <c r="BA127" s="1200"/>
      <c r="BC127" s="1200"/>
      <c r="BE127" s="1200"/>
      <c r="BF127" s="1200"/>
      <c r="BG127" s="1200"/>
    </row>
    <row r="128" spans="18:59" x14ac:dyDescent="0.35">
      <c r="R128" s="1200"/>
      <c r="S128" s="1200"/>
      <c r="W128" s="1200"/>
      <c r="X128" s="1200"/>
      <c r="AE128" s="1200"/>
      <c r="AF128" s="1200"/>
      <c r="AV128" s="1200"/>
      <c r="AW128" s="1200"/>
      <c r="AX128" s="1200"/>
      <c r="AY128" s="1200"/>
      <c r="AZ128" s="1200"/>
      <c r="BA128" s="1200"/>
      <c r="BC128" s="1200"/>
      <c r="BE128" s="1200"/>
      <c r="BF128" s="1200"/>
      <c r="BG128" s="1200"/>
    </row>
    <row r="129" spans="18:59" x14ac:dyDescent="0.35">
      <c r="R129" s="1200"/>
      <c r="S129" s="1200"/>
      <c r="W129" s="1200"/>
      <c r="X129" s="1200"/>
      <c r="AE129" s="1200"/>
      <c r="AF129" s="1200"/>
      <c r="AV129" s="1200"/>
      <c r="AW129" s="1200"/>
      <c r="AX129" s="1200"/>
      <c r="AY129" s="1200"/>
      <c r="AZ129" s="1200"/>
      <c r="BA129" s="1200"/>
      <c r="BC129" s="1200"/>
      <c r="BE129" s="1200"/>
      <c r="BF129" s="1200"/>
      <c r="BG129" s="1200"/>
    </row>
    <row r="130" spans="18:59" x14ac:dyDescent="0.35">
      <c r="R130" s="1200"/>
      <c r="S130" s="1200"/>
      <c r="W130" s="1200"/>
      <c r="X130" s="1200"/>
      <c r="AE130" s="1200"/>
      <c r="AF130" s="1200"/>
      <c r="AV130" s="1200"/>
      <c r="AW130" s="1200"/>
      <c r="AX130" s="1200"/>
      <c r="AY130" s="1200"/>
      <c r="AZ130" s="1200"/>
      <c r="BA130" s="1200"/>
      <c r="BC130" s="1200"/>
      <c r="BE130" s="1200"/>
      <c r="BF130" s="1200"/>
      <c r="BG130" s="1200"/>
    </row>
    <row r="131" spans="18:59" x14ac:dyDescent="0.35">
      <c r="R131" s="1200"/>
      <c r="S131" s="1200"/>
      <c r="W131" s="1200"/>
      <c r="X131" s="1200"/>
      <c r="AE131" s="1200"/>
      <c r="AF131" s="1200"/>
      <c r="AV131" s="1200"/>
      <c r="AW131" s="1200"/>
      <c r="AX131" s="1200"/>
      <c r="AY131" s="1200"/>
      <c r="AZ131" s="1200"/>
      <c r="BA131" s="1200"/>
      <c r="BC131" s="1200"/>
      <c r="BE131" s="1200"/>
      <c r="BF131" s="1200"/>
      <c r="BG131" s="1200"/>
    </row>
    <row r="132" spans="18:59" x14ac:dyDescent="0.35">
      <c r="R132" s="1200"/>
      <c r="S132" s="1200"/>
      <c r="W132" s="1200"/>
      <c r="X132" s="1200"/>
      <c r="AE132" s="1200"/>
      <c r="AF132" s="1200"/>
      <c r="AV132" s="1200"/>
      <c r="AW132" s="1200"/>
      <c r="AX132" s="1200"/>
      <c r="AY132" s="1200"/>
      <c r="AZ132" s="1200"/>
      <c r="BA132" s="1200"/>
      <c r="BC132" s="1200"/>
      <c r="BE132" s="1200"/>
      <c r="BF132" s="1200"/>
      <c r="BG132" s="1200"/>
    </row>
    <row r="133" spans="18:59" x14ac:dyDescent="0.35">
      <c r="R133" s="1200"/>
      <c r="S133" s="1200"/>
      <c r="W133" s="1200"/>
      <c r="X133" s="1200"/>
      <c r="AE133" s="1200"/>
      <c r="AF133" s="1200"/>
      <c r="AV133" s="1200"/>
      <c r="AW133" s="1200"/>
      <c r="AX133" s="1200"/>
      <c r="AY133" s="1200"/>
      <c r="AZ133" s="1200"/>
      <c r="BA133" s="1200"/>
      <c r="BC133" s="1200"/>
      <c r="BE133" s="1200"/>
      <c r="BF133" s="1200"/>
      <c r="BG133" s="1200"/>
    </row>
    <row r="134" spans="18:59" x14ac:dyDescent="0.35">
      <c r="R134" s="1200"/>
      <c r="S134" s="1200"/>
      <c r="W134" s="1200"/>
      <c r="X134" s="1200"/>
      <c r="AE134" s="1200"/>
      <c r="AF134" s="1200"/>
      <c r="AV134" s="1200"/>
      <c r="AW134" s="1200"/>
      <c r="AX134" s="1200"/>
      <c r="AY134" s="1200"/>
      <c r="AZ134" s="1200"/>
      <c r="BA134" s="1200"/>
      <c r="BC134" s="1200"/>
      <c r="BE134" s="1200"/>
      <c r="BF134" s="1200"/>
      <c r="BG134" s="1200"/>
    </row>
    <row r="135" spans="18:59" x14ac:dyDescent="0.35">
      <c r="R135" s="1200"/>
      <c r="S135" s="1200"/>
      <c r="W135" s="1200"/>
      <c r="X135" s="1200"/>
      <c r="AE135" s="1200"/>
      <c r="AF135" s="1200"/>
      <c r="AV135" s="1200"/>
      <c r="AW135" s="1200"/>
      <c r="AX135" s="1200"/>
      <c r="AY135" s="1200"/>
      <c r="AZ135" s="1200"/>
      <c r="BA135" s="1200"/>
      <c r="BC135" s="1200"/>
      <c r="BE135" s="1200"/>
      <c r="BF135" s="1200"/>
      <c r="BG135" s="1200"/>
    </row>
    <row r="136" spans="18:59" x14ac:dyDescent="0.35">
      <c r="R136" s="1200"/>
      <c r="S136" s="1200"/>
      <c r="W136" s="1200"/>
      <c r="X136" s="1200"/>
      <c r="AE136" s="1200"/>
      <c r="AF136" s="1200"/>
      <c r="AV136" s="1200"/>
      <c r="AW136" s="1200"/>
      <c r="AX136" s="1200"/>
      <c r="AY136" s="1200"/>
      <c r="AZ136" s="1200"/>
      <c r="BA136" s="1200"/>
      <c r="BC136" s="1200"/>
      <c r="BE136" s="1200"/>
      <c r="BF136" s="1200"/>
      <c r="BG136" s="1200"/>
    </row>
    <row r="137" spans="18:59" x14ac:dyDescent="0.35">
      <c r="R137" s="1200"/>
      <c r="S137" s="1200"/>
      <c r="W137" s="1200"/>
      <c r="X137" s="1200"/>
      <c r="AE137" s="1200"/>
      <c r="AF137" s="1200"/>
      <c r="AV137" s="1200"/>
      <c r="AW137" s="1200"/>
      <c r="AX137" s="1200"/>
      <c r="AY137" s="1200"/>
      <c r="AZ137" s="1200"/>
      <c r="BA137" s="1200"/>
      <c r="BC137" s="1200"/>
      <c r="BE137" s="1200"/>
      <c r="BF137" s="1200"/>
      <c r="BG137" s="1200"/>
    </row>
    <row r="138" spans="18:59" x14ac:dyDescent="0.35">
      <c r="R138" s="1200"/>
      <c r="S138" s="1200"/>
      <c r="W138" s="1200"/>
      <c r="X138" s="1200"/>
      <c r="AE138" s="1200"/>
      <c r="AF138" s="1200"/>
      <c r="AV138" s="1200"/>
      <c r="AW138" s="1200"/>
      <c r="AX138" s="1200"/>
      <c r="AY138" s="1200"/>
      <c r="AZ138" s="1200"/>
      <c r="BA138" s="1200"/>
      <c r="BC138" s="1200"/>
      <c r="BE138" s="1200"/>
      <c r="BF138" s="1200"/>
      <c r="BG138" s="1200"/>
    </row>
    <row r="139" spans="18:59" x14ac:dyDescent="0.35">
      <c r="R139" s="1200"/>
      <c r="S139" s="1200"/>
      <c r="W139" s="1200"/>
      <c r="X139" s="1200"/>
      <c r="AE139" s="1200"/>
      <c r="AF139" s="1200"/>
      <c r="AV139" s="1200"/>
      <c r="AW139" s="1200"/>
      <c r="AX139" s="1200"/>
      <c r="AY139" s="1200"/>
      <c r="AZ139" s="1200"/>
      <c r="BA139" s="1200"/>
      <c r="BC139" s="1200"/>
      <c r="BE139" s="1200"/>
      <c r="BF139" s="1200"/>
      <c r="BG139" s="1200"/>
    </row>
    <row r="140" spans="18:59" x14ac:dyDescent="0.35">
      <c r="R140" s="1200"/>
      <c r="S140" s="1200"/>
      <c r="W140" s="1200"/>
      <c r="X140" s="1200"/>
      <c r="AE140" s="1200"/>
      <c r="AF140" s="1200"/>
      <c r="AV140" s="1200"/>
      <c r="AW140" s="1200"/>
      <c r="AX140" s="1200"/>
      <c r="AY140" s="1200"/>
      <c r="AZ140" s="1200"/>
      <c r="BA140" s="1200"/>
      <c r="BC140" s="1200"/>
      <c r="BE140" s="1200"/>
      <c r="BF140" s="1200"/>
      <c r="BG140" s="1200"/>
    </row>
    <row r="141" spans="18:59" x14ac:dyDescent="0.35">
      <c r="R141" s="1200"/>
      <c r="S141" s="1200"/>
      <c r="W141" s="1200"/>
      <c r="X141" s="1200"/>
      <c r="AE141" s="1200"/>
      <c r="AF141" s="1200"/>
      <c r="AV141" s="1200"/>
      <c r="AW141" s="1200"/>
      <c r="AX141" s="1200"/>
      <c r="AY141" s="1200"/>
      <c r="AZ141" s="1200"/>
      <c r="BA141" s="1200"/>
      <c r="BC141" s="1200"/>
      <c r="BE141" s="1200"/>
      <c r="BF141" s="1200"/>
      <c r="BG141" s="1200"/>
    </row>
    <row r="142" spans="18:59" x14ac:dyDescent="0.35">
      <c r="R142" s="1200"/>
      <c r="S142" s="1200"/>
      <c r="W142" s="1200"/>
      <c r="X142" s="1200"/>
      <c r="AE142" s="1200"/>
      <c r="AF142" s="1200"/>
      <c r="AV142" s="1200"/>
      <c r="AW142" s="1200"/>
      <c r="AX142" s="1200"/>
      <c r="AY142" s="1200"/>
      <c r="AZ142" s="1200"/>
      <c r="BA142" s="1200"/>
      <c r="BC142" s="1200"/>
      <c r="BE142" s="1200"/>
      <c r="BF142" s="1200"/>
      <c r="BG142" s="1200"/>
    </row>
    <row r="143" spans="18:59" x14ac:dyDescent="0.35">
      <c r="R143" s="1200"/>
      <c r="S143" s="1200"/>
      <c r="W143" s="1200"/>
      <c r="X143" s="1200"/>
      <c r="AE143" s="1200"/>
      <c r="AF143" s="1200"/>
      <c r="AV143" s="1200"/>
      <c r="AW143" s="1200"/>
      <c r="AX143" s="1200"/>
      <c r="AY143" s="1200"/>
      <c r="AZ143" s="1200"/>
      <c r="BA143" s="1200"/>
      <c r="BC143" s="1200"/>
      <c r="BE143" s="1200"/>
      <c r="BF143" s="1200"/>
      <c r="BG143" s="1200"/>
    </row>
    <row r="144" spans="18:59" x14ac:dyDescent="0.35">
      <c r="R144" s="1200"/>
      <c r="S144" s="1200"/>
      <c r="W144" s="1200"/>
      <c r="X144" s="1200"/>
      <c r="AE144" s="1200"/>
      <c r="AF144" s="1200"/>
      <c r="AV144" s="1200"/>
      <c r="AW144" s="1200"/>
      <c r="AX144" s="1200"/>
      <c r="AY144" s="1200"/>
      <c r="AZ144" s="1200"/>
      <c r="BA144" s="1200"/>
      <c r="BC144" s="1200"/>
      <c r="BE144" s="1200"/>
      <c r="BF144" s="1200"/>
      <c r="BG144" s="1200"/>
    </row>
    <row r="145" spans="18:59" x14ac:dyDescent="0.35">
      <c r="R145" s="1200"/>
      <c r="S145" s="1200"/>
      <c r="W145" s="1200"/>
      <c r="X145" s="1200"/>
      <c r="AE145" s="1200"/>
      <c r="AF145" s="1200"/>
      <c r="AV145" s="1200"/>
      <c r="AW145" s="1200"/>
      <c r="AX145" s="1200"/>
      <c r="AY145" s="1200"/>
      <c r="AZ145" s="1200"/>
      <c r="BA145" s="1200"/>
      <c r="BC145" s="1200"/>
      <c r="BE145" s="1200"/>
      <c r="BF145" s="1200"/>
      <c r="BG145" s="1200"/>
    </row>
    <row r="146" spans="18:59" x14ac:dyDescent="0.35">
      <c r="R146" s="1200"/>
      <c r="S146" s="1200"/>
      <c r="W146" s="1200"/>
      <c r="X146" s="1200"/>
      <c r="AE146" s="1200"/>
      <c r="AF146" s="1200"/>
      <c r="AV146" s="1200"/>
      <c r="AW146" s="1200"/>
      <c r="AX146" s="1200"/>
      <c r="AY146" s="1200"/>
      <c r="AZ146" s="1200"/>
      <c r="BA146" s="1200"/>
      <c r="BC146" s="1200"/>
      <c r="BE146" s="1200"/>
      <c r="BF146" s="1200"/>
      <c r="BG146" s="1200"/>
    </row>
    <row r="147" spans="18:59" x14ac:dyDescent="0.35">
      <c r="R147" s="1200"/>
      <c r="S147" s="1200"/>
      <c r="W147" s="1200"/>
      <c r="X147" s="1200"/>
      <c r="AE147" s="1200"/>
      <c r="AF147" s="1200"/>
      <c r="AV147" s="1200"/>
      <c r="AW147" s="1200"/>
      <c r="AX147" s="1200"/>
      <c r="AY147" s="1200"/>
      <c r="AZ147" s="1200"/>
      <c r="BA147" s="1200"/>
      <c r="BC147" s="1200"/>
      <c r="BE147" s="1200"/>
      <c r="BF147" s="1200"/>
      <c r="BG147" s="1200"/>
    </row>
    <row r="148" spans="18:59" x14ac:dyDescent="0.35">
      <c r="R148" s="1200"/>
      <c r="S148" s="1200"/>
      <c r="W148" s="1200"/>
      <c r="X148" s="1200"/>
      <c r="AE148" s="1200"/>
      <c r="AF148" s="1200"/>
      <c r="AV148" s="1200"/>
      <c r="AW148" s="1200"/>
      <c r="AX148" s="1200"/>
      <c r="AY148" s="1200"/>
      <c r="AZ148" s="1200"/>
      <c r="BA148" s="1200"/>
      <c r="BC148" s="1200"/>
      <c r="BE148" s="1200"/>
      <c r="BF148" s="1200"/>
      <c r="BG148" s="1200"/>
    </row>
    <row r="149" spans="18:59" x14ac:dyDescent="0.35">
      <c r="R149" s="1200"/>
      <c r="S149" s="1200"/>
      <c r="W149" s="1200"/>
      <c r="X149" s="1200"/>
      <c r="AE149" s="1200"/>
      <c r="AF149" s="1200"/>
      <c r="AV149" s="1200"/>
      <c r="AW149" s="1200"/>
      <c r="AX149" s="1200"/>
      <c r="AY149" s="1200"/>
      <c r="AZ149" s="1200"/>
      <c r="BA149" s="1200"/>
      <c r="BC149" s="1200"/>
      <c r="BE149" s="1200"/>
      <c r="BF149" s="1200"/>
      <c r="BG149" s="1200"/>
    </row>
    <row r="150" spans="18:59" x14ac:dyDescent="0.35">
      <c r="R150" s="1200"/>
      <c r="S150" s="1200"/>
      <c r="W150" s="1200"/>
      <c r="X150" s="1200"/>
      <c r="AE150" s="1200"/>
      <c r="AF150" s="1200"/>
      <c r="AV150" s="1200"/>
      <c r="AW150" s="1200"/>
      <c r="AX150" s="1200"/>
      <c r="AY150" s="1200"/>
      <c r="AZ150" s="1200"/>
      <c r="BA150" s="1200"/>
      <c r="BC150" s="1200"/>
      <c r="BE150" s="1200"/>
      <c r="BF150" s="1200"/>
      <c r="BG150" s="1200"/>
    </row>
    <row r="151" spans="18:59" x14ac:dyDescent="0.35">
      <c r="R151" s="1200"/>
      <c r="S151" s="1200"/>
      <c r="W151" s="1200"/>
      <c r="X151" s="1200"/>
      <c r="AE151" s="1200"/>
      <c r="AF151" s="1200"/>
      <c r="AV151" s="1200"/>
      <c r="AW151" s="1200"/>
      <c r="AX151" s="1200"/>
      <c r="AY151" s="1200"/>
      <c r="AZ151" s="1200"/>
      <c r="BA151" s="1200"/>
      <c r="BC151" s="1200"/>
      <c r="BE151" s="1200"/>
      <c r="BF151" s="1200"/>
      <c r="BG151" s="1200"/>
    </row>
    <row r="152" spans="18:59" x14ac:dyDescent="0.35">
      <c r="R152" s="1200"/>
      <c r="S152" s="1200"/>
      <c r="W152" s="1200"/>
      <c r="X152" s="1200"/>
      <c r="AE152" s="1200"/>
      <c r="AF152" s="1200"/>
      <c r="AV152" s="1200"/>
      <c r="AW152" s="1200"/>
      <c r="AX152" s="1200"/>
      <c r="AY152" s="1200"/>
      <c r="AZ152" s="1200"/>
      <c r="BA152" s="1200"/>
      <c r="BC152" s="1200"/>
      <c r="BE152" s="1200"/>
      <c r="BF152" s="1200"/>
      <c r="BG152" s="1200"/>
    </row>
    <row r="153" spans="18:59" x14ac:dyDescent="0.35">
      <c r="R153" s="1200"/>
      <c r="S153" s="1200"/>
      <c r="W153" s="1200"/>
      <c r="X153" s="1200"/>
      <c r="AE153" s="1200"/>
      <c r="AF153" s="1200"/>
      <c r="AV153" s="1200"/>
      <c r="AW153" s="1200"/>
      <c r="AX153" s="1200"/>
      <c r="AY153" s="1200"/>
      <c r="AZ153" s="1200"/>
      <c r="BA153" s="1200"/>
      <c r="BC153" s="1200"/>
      <c r="BE153" s="1200"/>
      <c r="BF153" s="1200"/>
      <c r="BG153" s="1200"/>
    </row>
    <row r="154" spans="18:59" x14ac:dyDescent="0.35">
      <c r="R154" s="1200"/>
      <c r="S154" s="1200"/>
      <c r="W154" s="1200"/>
      <c r="X154" s="1200"/>
      <c r="AE154" s="1200"/>
      <c r="AF154" s="1200"/>
      <c r="AV154" s="1200"/>
      <c r="AW154" s="1200"/>
      <c r="AX154" s="1200"/>
      <c r="AY154" s="1200"/>
      <c r="AZ154" s="1200"/>
      <c r="BA154" s="1200"/>
      <c r="BC154" s="1200"/>
      <c r="BE154" s="1200"/>
      <c r="BF154" s="1200"/>
      <c r="BG154" s="1200"/>
    </row>
    <row r="155" spans="18:59" x14ac:dyDescent="0.35">
      <c r="R155" s="1200"/>
      <c r="S155" s="1200"/>
      <c r="W155" s="1200"/>
      <c r="X155" s="1200"/>
      <c r="AE155" s="1200"/>
      <c r="AF155" s="1200"/>
      <c r="AV155" s="1200"/>
      <c r="AW155" s="1200"/>
      <c r="AX155" s="1200"/>
      <c r="AY155" s="1200"/>
      <c r="AZ155" s="1200"/>
      <c r="BA155" s="1200"/>
      <c r="BC155" s="1200"/>
      <c r="BE155" s="1200"/>
      <c r="BF155" s="1200"/>
      <c r="BG155" s="1200"/>
    </row>
    <row r="156" spans="18:59" x14ac:dyDescent="0.35">
      <c r="R156" s="1200"/>
      <c r="S156" s="1200"/>
      <c r="W156" s="1200"/>
      <c r="X156" s="1200"/>
      <c r="AE156" s="1200"/>
      <c r="AF156" s="1200"/>
      <c r="AV156" s="1200"/>
      <c r="AW156" s="1200"/>
      <c r="AX156" s="1200"/>
      <c r="AY156" s="1200"/>
      <c r="AZ156" s="1200"/>
      <c r="BA156" s="1200"/>
      <c r="BC156" s="1200"/>
      <c r="BE156" s="1200"/>
      <c r="BF156" s="1200"/>
      <c r="BG156" s="1200"/>
    </row>
    <row r="157" spans="18:59" x14ac:dyDescent="0.35">
      <c r="R157" s="1200"/>
      <c r="S157" s="1200"/>
      <c r="W157" s="1200"/>
      <c r="X157" s="1200"/>
      <c r="AE157" s="1200"/>
      <c r="AF157" s="1200"/>
      <c r="AV157" s="1200"/>
      <c r="AW157" s="1200"/>
      <c r="AX157" s="1200"/>
      <c r="AY157" s="1200"/>
      <c r="AZ157" s="1200"/>
      <c r="BA157" s="1200"/>
      <c r="BC157" s="1200"/>
      <c r="BE157" s="1200"/>
      <c r="BF157" s="1200"/>
      <c r="BG157" s="1200"/>
    </row>
    <row r="158" spans="18:59" x14ac:dyDescent="0.35">
      <c r="R158" s="1200"/>
      <c r="S158" s="1200"/>
      <c r="W158" s="1200"/>
      <c r="X158" s="1200"/>
      <c r="AE158" s="1200"/>
      <c r="AF158" s="1200"/>
      <c r="AV158" s="1200"/>
      <c r="AW158" s="1200"/>
      <c r="AX158" s="1200"/>
      <c r="AY158" s="1200"/>
      <c r="AZ158" s="1200"/>
      <c r="BA158" s="1200"/>
      <c r="BC158" s="1200"/>
      <c r="BE158" s="1200"/>
      <c r="BF158" s="1200"/>
      <c r="BG158" s="1200"/>
    </row>
    <row r="159" spans="18:59" x14ac:dyDescent="0.35">
      <c r="R159" s="1200"/>
      <c r="S159" s="1200"/>
      <c r="W159" s="1200"/>
      <c r="X159" s="1200"/>
      <c r="AE159" s="1200"/>
      <c r="AF159" s="1200"/>
      <c r="AV159" s="1200"/>
      <c r="AW159" s="1200"/>
      <c r="AX159" s="1200"/>
      <c r="AY159" s="1200"/>
      <c r="AZ159" s="1200"/>
      <c r="BA159" s="1200"/>
      <c r="BC159" s="1200"/>
      <c r="BE159" s="1200"/>
      <c r="BF159" s="1200"/>
      <c r="BG159" s="1200"/>
    </row>
    <row r="160" spans="18:59" x14ac:dyDescent="0.35">
      <c r="R160" s="1200"/>
      <c r="S160" s="1200"/>
      <c r="W160" s="1200"/>
      <c r="X160" s="1200"/>
      <c r="AE160" s="1200"/>
      <c r="AF160" s="1200"/>
      <c r="AV160" s="1200"/>
      <c r="AW160" s="1200"/>
      <c r="AX160" s="1200"/>
      <c r="AY160" s="1200"/>
      <c r="AZ160" s="1200"/>
      <c r="BA160" s="1200"/>
      <c r="BC160" s="1200"/>
      <c r="BE160" s="1200"/>
      <c r="BF160" s="1200"/>
      <c r="BG160" s="1200"/>
    </row>
    <row r="161" spans="18:59" x14ac:dyDescent="0.35">
      <c r="R161" s="1200"/>
      <c r="S161" s="1200"/>
      <c r="W161" s="1200"/>
      <c r="X161" s="1200"/>
      <c r="AE161" s="1200"/>
      <c r="AF161" s="1200"/>
      <c r="AV161" s="1200"/>
      <c r="AW161" s="1200"/>
      <c r="AX161" s="1200"/>
      <c r="AY161" s="1200"/>
      <c r="AZ161" s="1200"/>
      <c r="BA161" s="1200"/>
      <c r="BC161" s="1200"/>
      <c r="BE161" s="1200"/>
      <c r="BF161" s="1200"/>
      <c r="BG161" s="1200"/>
    </row>
    <row r="162" spans="18:59" x14ac:dyDescent="0.35">
      <c r="R162" s="1200"/>
      <c r="S162" s="1200"/>
      <c r="W162" s="1200"/>
      <c r="X162" s="1200"/>
      <c r="AE162" s="1200"/>
      <c r="AF162" s="1200"/>
      <c r="AV162" s="1200"/>
      <c r="AW162" s="1200"/>
      <c r="AX162" s="1200"/>
      <c r="AY162" s="1200"/>
      <c r="AZ162" s="1200"/>
      <c r="BA162" s="1200"/>
      <c r="BC162" s="1200"/>
      <c r="BE162" s="1200"/>
      <c r="BF162" s="1200"/>
      <c r="BG162" s="1200"/>
    </row>
    <row r="163" spans="18:59" x14ac:dyDescent="0.35">
      <c r="R163" s="1200"/>
      <c r="S163" s="1200"/>
      <c r="W163" s="1200"/>
      <c r="X163" s="1200"/>
      <c r="AE163" s="1200"/>
      <c r="AF163" s="1200"/>
      <c r="AV163" s="1200"/>
      <c r="AW163" s="1200"/>
      <c r="AX163" s="1200"/>
      <c r="AY163" s="1200"/>
      <c r="AZ163" s="1200"/>
      <c r="BA163" s="1200"/>
      <c r="BC163" s="1200"/>
      <c r="BE163" s="1200"/>
      <c r="BF163" s="1200"/>
      <c r="BG163" s="1200"/>
    </row>
    <row r="164" spans="18:59" x14ac:dyDescent="0.35">
      <c r="R164" s="1200"/>
      <c r="S164" s="1200"/>
      <c r="W164" s="1200"/>
      <c r="X164" s="1200"/>
      <c r="AE164" s="1200"/>
      <c r="AF164" s="1200"/>
      <c r="AV164" s="1200"/>
      <c r="AW164" s="1200"/>
      <c r="AX164" s="1200"/>
      <c r="AY164" s="1200"/>
      <c r="AZ164" s="1200"/>
      <c r="BA164" s="1200"/>
      <c r="BC164" s="1200"/>
      <c r="BE164" s="1200"/>
      <c r="BF164" s="1200"/>
      <c r="BG164" s="1200"/>
    </row>
    <row r="165" spans="18:59" x14ac:dyDescent="0.35">
      <c r="R165" s="1200"/>
      <c r="S165" s="1200"/>
      <c r="W165" s="1200"/>
      <c r="X165" s="1200"/>
      <c r="AE165" s="1200"/>
      <c r="AF165" s="1200"/>
      <c r="AV165" s="1200"/>
      <c r="AW165" s="1200"/>
      <c r="AX165" s="1200"/>
      <c r="AY165" s="1200"/>
      <c r="AZ165" s="1200"/>
      <c r="BA165" s="1200"/>
      <c r="BC165" s="1200"/>
      <c r="BE165" s="1200"/>
      <c r="BF165" s="1200"/>
      <c r="BG165" s="1200"/>
    </row>
    <row r="166" spans="18:59" x14ac:dyDescent="0.35">
      <c r="R166" s="1200"/>
      <c r="S166" s="1200"/>
      <c r="W166" s="1200"/>
      <c r="X166" s="1200"/>
      <c r="AE166" s="1200"/>
      <c r="AF166" s="1200"/>
      <c r="AV166" s="1200"/>
      <c r="AW166" s="1200"/>
      <c r="AX166" s="1200"/>
      <c r="AY166" s="1200"/>
      <c r="AZ166" s="1200"/>
      <c r="BA166" s="1200"/>
      <c r="BC166" s="1200"/>
      <c r="BE166" s="1200"/>
      <c r="BF166" s="1200"/>
      <c r="BG166" s="1200"/>
    </row>
    <row r="167" spans="18:59" x14ac:dyDescent="0.35">
      <c r="R167" s="1200"/>
      <c r="S167" s="1200"/>
      <c r="W167" s="1200"/>
      <c r="X167" s="1200"/>
      <c r="AE167" s="1200"/>
      <c r="AF167" s="1200"/>
      <c r="AV167" s="1200"/>
      <c r="AW167" s="1200"/>
      <c r="AX167" s="1200"/>
      <c r="AY167" s="1200"/>
      <c r="AZ167" s="1200"/>
      <c r="BA167" s="1200"/>
      <c r="BC167" s="1200"/>
      <c r="BE167" s="1200"/>
      <c r="BF167" s="1200"/>
      <c r="BG167" s="1200"/>
    </row>
    <row r="168" spans="18:59" x14ac:dyDescent="0.35">
      <c r="R168" s="1200"/>
      <c r="S168" s="1200"/>
      <c r="W168" s="1200"/>
      <c r="X168" s="1200"/>
      <c r="AE168" s="1200"/>
      <c r="AF168" s="1200"/>
      <c r="AV168" s="1200"/>
      <c r="AW168" s="1200"/>
      <c r="AX168" s="1200"/>
      <c r="AY168" s="1200"/>
      <c r="AZ168" s="1200"/>
      <c r="BA168" s="1200"/>
      <c r="BC168" s="1200"/>
      <c r="BE168" s="1200"/>
      <c r="BF168" s="1200"/>
      <c r="BG168" s="1200"/>
    </row>
    <row r="169" spans="18:59" x14ac:dyDescent="0.35">
      <c r="R169" s="1200"/>
      <c r="S169" s="1200"/>
      <c r="W169" s="1200"/>
      <c r="X169" s="1200"/>
      <c r="AE169" s="1200"/>
      <c r="AF169" s="1200"/>
      <c r="AV169" s="1200"/>
      <c r="AW169" s="1200"/>
      <c r="AX169" s="1200"/>
      <c r="AY169" s="1200"/>
      <c r="AZ169" s="1200"/>
      <c r="BA169" s="1200"/>
      <c r="BC169" s="1200"/>
      <c r="BE169" s="1200"/>
      <c r="BF169" s="1200"/>
      <c r="BG169" s="1200"/>
    </row>
    <row r="170" spans="18:59" x14ac:dyDescent="0.35">
      <c r="R170" s="1200"/>
      <c r="S170" s="1200"/>
      <c r="W170" s="1200"/>
      <c r="X170" s="1200"/>
      <c r="AE170" s="1200"/>
      <c r="AF170" s="1200"/>
      <c r="AV170" s="1200"/>
      <c r="AW170" s="1200"/>
      <c r="AX170" s="1200"/>
      <c r="AY170" s="1200"/>
      <c r="AZ170" s="1200"/>
      <c r="BA170" s="1200"/>
      <c r="BC170" s="1200"/>
      <c r="BE170" s="1200"/>
      <c r="BF170" s="1200"/>
      <c r="BG170" s="1200"/>
    </row>
    <row r="171" spans="18:59" x14ac:dyDescent="0.35">
      <c r="R171" s="1200"/>
      <c r="S171" s="1200"/>
      <c r="W171" s="1200"/>
      <c r="X171" s="1200"/>
      <c r="AE171" s="1200"/>
      <c r="AF171" s="1200"/>
      <c r="AV171" s="1200"/>
      <c r="AW171" s="1200"/>
      <c r="AX171" s="1200"/>
      <c r="AY171" s="1200"/>
      <c r="AZ171" s="1200"/>
      <c r="BA171" s="1200"/>
      <c r="BC171" s="1200"/>
      <c r="BE171" s="1200"/>
      <c r="BF171" s="1200"/>
      <c r="BG171" s="1200"/>
    </row>
    <row r="172" spans="18:59" x14ac:dyDescent="0.35">
      <c r="R172" s="1200"/>
      <c r="S172" s="1200"/>
      <c r="W172" s="1200"/>
      <c r="X172" s="1200"/>
      <c r="AE172" s="1200"/>
      <c r="AF172" s="1200"/>
      <c r="AV172" s="1200"/>
      <c r="AW172" s="1200"/>
      <c r="AX172" s="1200"/>
      <c r="AY172" s="1200"/>
      <c r="AZ172" s="1200"/>
      <c r="BA172" s="1200"/>
      <c r="BC172" s="1200"/>
      <c r="BE172" s="1200"/>
      <c r="BF172" s="1200"/>
      <c r="BG172" s="1200"/>
    </row>
    <row r="173" spans="18:59" x14ac:dyDescent="0.35">
      <c r="R173" s="1200"/>
      <c r="S173" s="1200"/>
      <c r="W173" s="1200"/>
      <c r="X173" s="1200"/>
      <c r="AE173" s="1200"/>
      <c r="AF173" s="1200"/>
      <c r="AV173" s="1200"/>
      <c r="AW173" s="1200"/>
      <c r="AX173" s="1200"/>
      <c r="AY173" s="1200"/>
      <c r="AZ173" s="1200"/>
      <c r="BA173" s="1200"/>
      <c r="BC173" s="1200"/>
      <c r="BE173" s="1200"/>
      <c r="BF173" s="1200"/>
      <c r="BG173" s="1200"/>
    </row>
    <row r="174" spans="18:59" x14ac:dyDescent="0.35">
      <c r="R174" s="1200"/>
      <c r="S174" s="1200"/>
      <c r="W174" s="1200"/>
      <c r="X174" s="1200"/>
      <c r="AE174" s="1200"/>
      <c r="AF174" s="1200"/>
      <c r="AV174" s="1200"/>
      <c r="AW174" s="1200"/>
      <c r="AX174" s="1200"/>
      <c r="AY174" s="1200"/>
      <c r="AZ174" s="1200"/>
      <c r="BA174" s="1200"/>
      <c r="BC174" s="1200"/>
      <c r="BE174" s="1200"/>
      <c r="BF174" s="1200"/>
      <c r="BG174" s="1200"/>
    </row>
    <row r="175" spans="18:59" x14ac:dyDescent="0.35">
      <c r="R175" s="1200"/>
      <c r="S175" s="1200"/>
      <c r="W175" s="1200"/>
      <c r="X175" s="1200"/>
      <c r="AE175" s="1200"/>
      <c r="AF175" s="1200"/>
      <c r="AV175" s="1200"/>
      <c r="AW175" s="1200"/>
      <c r="AX175" s="1200"/>
      <c r="AY175" s="1200"/>
      <c r="AZ175" s="1200"/>
      <c r="BA175" s="1200"/>
      <c r="BC175" s="1200"/>
      <c r="BE175" s="1200"/>
      <c r="BF175" s="1200"/>
      <c r="BG175" s="1200"/>
    </row>
    <row r="176" spans="18:59" x14ac:dyDescent="0.35">
      <c r="R176" s="1200"/>
      <c r="S176" s="1200"/>
      <c r="W176" s="1200"/>
      <c r="X176" s="1200"/>
      <c r="AE176" s="1200"/>
      <c r="AF176" s="1200"/>
      <c r="AV176" s="1200"/>
      <c r="AW176" s="1200"/>
      <c r="AX176" s="1200"/>
      <c r="AY176" s="1200"/>
      <c r="AZ176" s="1200"/>
      <c r="BA176" s="1200"/>
      <c r="BC176" s="1200"/>
      <c r="BE176" s="1200"/>
      <c r="BF176" s="1200"/>
      <c r="BG176" s="1200"/>
    </row>
    <row r="177" spans="18:59" x14ac:dyDescent="0.35">
      <c r="R177" s="1200"/>
      <c r="S177" s="1200"/>
      <c r="W177" s="1200"/>
      <c r="X177" s="1200"/>
      <c r="AE177" s="1200"/>
      <c r="AF177" s="1200"/>
      <c r="AV177" s="1200"/>
      <c r="AW177" s="1200"/>
      <c r="AX177" s="1200"/>
      <c r="AY177" s="1200"/>
      <c r="AZ177" s="1200"/>
      <c r="BA177" s="1200"/>
      <c r="BC177" s="1200"/>
      <c r="BE177" s="1200"/>
      <c r="BF177" s="1200"/>
      <c r="BG177" s="1200"/>
    </row>
    <row r="178" spans="18:59" x14ac:dyDescent="0.35">
      <c r="R178" s="1200"/>
      <c r="S178" s="1200"/>
      <c r="W178" s="1200"/>
      <c r="X178" s="1200"/>
      <c r="AE178" s="1200"/>
      <c r="AF178" s="1200"/>
      <c r="AV178" s="1200"/>
      <c r="AW178" s="1200"/>
      <c r="AX178" s="1200"/>
      <c r="AY178" s="1200"/>
      <c r="AZ178" s="1200"/>
      <c r="BA178" s="1200"/>
      <c r="BC178" s="1200"/>
      <c r="BE178" s="1200"/>
      <c r="BF178" s="1200"/>
      <c r="BG178" s="1200"/>
    </row>
    <row r="179" spans="18:59" x14ac:dyDescent="0.35">
      <c r="R179" s="1200"/>
      <c r="S179" s="1200"/>
      <c r="W179" s="1200"/>
      <c r="X179" s="1200"/>
      <c r="AE179" s="1200"/>
      <c r="AF179" s="1200"/>
      <c r="AV179" s="1200"/>
      <c r="AW179" s="1200"/>
      <c r="AX179" s="1200"/>
      <c r="AY179" s="1200"/>
      <c r="AZ179" s="1200"/>
      <c r="BA179" s="1200"/>
      <c r="BC179" s="1200"/>
      <c r="BE179" s="1200"/>
      <c r="BF179" s="1200"/>
      <c r="BG179" s="1200"/>
    </row>
    <row r="180" spans="18:59" x14ac:dyDescent="0.35">
      <c r="R180" s="1200"/>
      <c r="S180" s="1200"/>
      <c r="W180" s="1200"/>
      <c r="X180" s="1200"/>
      <c r="AE180" s="1200"/>
      <c r="AF180" s="1200"/>
      <c r="AV180" s="1200"/>
      <c r="AW180" s="1200"/>
      <c r="AX180" s="1200"/>
      <c r="AY180" s="1200"/>
      <c r="AZ180" s="1200"/>
      <c r="BA180" s="1200"/>
      <c r="BC180" s="1200"/>
      <c r="BE180" s="1200"/>
      <c r="BF180" s="1200"/>
      <c r="BG180" s="1200"/>
    </row>
    <row r="181" spans="18:59" x14ac:dyDescent="0.35">
      <c r="R181" s="1200"/>
      <c r="S181" s="1200"/>
      <c r="W181" s="1200"/>
      <c r="X181" s="1200"/>
      <c r="AE181" s="1200"/>
      <c r="AF181" s="1200"/>
      <c r="AV181" s="1200"/>
      <c r="AW181" s="1200"/>
      <c r="AX181" s="1200"/>
      <c r="AY181" s="1200"/>
      <c r="AZ181" s="1200"/>
      <c r="BA181" s="1200"/>
      <c r="BC181" s="1200"/>
      <c r="BE181" s="1200"/>
      <c r="BF181" s="1200"/>
      <c r="BG181" s="1200"/>
    </row>
    <row r="182" spans="18:59" x14ac:dyDescent="0.35">
      <c r="R182" s="1200"/>
      <c r="S182" s="1200"/>
      <c r="W182" s="1200"/>
      <c r="X182" s="1200"/>
      <c r="AE182" s="1200"/>
      <c r="AF182" s="1200"/>
      <c r="AV182" s="1200"/>
      <c r="AW182" s="1200"/>
      <c r="AX182" s="1200"/>
      <c r="AY182" s="1200"/>
      <c r="AZ182" s="1200"/>
      <c r="BA182" s="1200"/>
      <c r="BC182" s="1200"/>
      <c r="BE182" s="1200"/>
      <c r="BF182" s="1200"/>
      <c r="BG182" s="1200"/>
    </row>
    <row r="183" spans="18:59" x14ac:dyDescent="0.35">
      <c r="R183" s="1200"/>
      <c r="S183" s="1200"/>
      <c r="W183" s="1200"/>
      <c r="X183" s="1200"/>
      <c r="AE183" s="1200"/>
      <c r="AF183" s="1200"/>
      <c r="AV183" s="1200"/>
      <c r="AW183" s="1200"/>
      <c r="AX183" s="1200"/>
      <c r="AY183" s="1200"/>
      <c r="AZ183" s="1200"/>
      <c r="BA183" s="1200"/>
      <c r="BC183" s="1200"/>
      <c r="BE183" s="1200"/>
      <c r="BF183" s="1200"/>
      <c r="BG183" s="1200"/>
    </row>
    <row r="184" spans="18:59" x14ac:dyDescent="0.35">
      <c r="R184" s="1200"/>
      <c r="S184" s="1200"/>
      <c r="W184" s="1200"/>
      <c r="X184" s="1200"/>
      <c r="AE184" s="1200"/>
      <c r="AF184" s="1200"/>
      <c r="AV184" s="1200"/>
      <c r="AW184" s="1200"/>
      <c r="AX184" s="1200"/>
      <c r="AY184" s="1200"/>
      <c r="AZ184" s="1200"/>
      <c r="BA184" s="1200"/>
      <c r="BC184" s="1200"/>
      <c r="BE184" s="1200"/>
      <c r="BF184" s="1200"/>
      <c r="BG184" s="1200"/>
    </row>
    <row r="185" spans="18:59" x14ac:dyDescent="0.35">
      <c r="R185" s="1200"/>
      <c r="S185" s="1200"/>
      <c r="W185" s="1200"/>
      <c r="X185" s="1200"/>
      <c r="AE185" s="1200"/>
      <c r="AF185" s="1200"/>
      <c r="AV185" s="1200"/>
      <c r="AW185" s="1200"/>
      <c r="AX185" s="1200"/>
      <c r="AY185" s="1200"/>
      <c r="AZ185" s="1200"/>
      <c r="BA185" s="1200"/>
      <c r="BC185" s="1200"/>
      <c r="BE185" s="1200"/>
      <c r="BF185" s="1200"/>
      <c r="BG185" s="1200"/>
    </row>
    <row r="186" spans="18:59" x14ac:dyDescent="0.35">
      <c r="R186" s="1200"/>
      <c r="S186" s="1200"/>
      <c r="W186" s="1200"/>
      <c r="X186" s="1200"/>
      <c r="AE186" s="1200"/>
      <c r="AF186" s="1200"/>
      <c r="AV186" s="1200"/>
      <c r="AW186" s="1200"/>
      <c r="AX186" s="1200"/>
      <c r="AY186" s="1200"/>
      <c r="AZ186" s="1200"/>
      <c r="BA186" s="1200"/>
      <c r="BC186" s="1200"/>
      <c r="BE186" s="1200"/>
      <c r="BF186" s="1200"/>
      <c r="BG186" s="1200"/>
    </row>
    <row r="187" spans="18:59" x14ac:dyDescent="0.35">
      <c r="R187" s="1200"/>
      <c r="S187" s="1200"/>
      <c r="W187" s="1200"/>
      <c r="X187" s="1200"/>
      <c r="AE187" s="1200"/>
      <c r="AF187" s="1200"/>
      <c r="AV187" s="1200"/>
      <c r="AW187" s="1200"/>
      <c r="AX187" s="1200"/>
      <c r="AY187" s="1200"/>
      <c r="AZ187" s="1200"/>
      <c r="BA187" s="1200"/>
      <c r="BC187" s="1200"/>
      <c r="BE187" s="1200"/>
      <c r="BF187" s="1200"/>
      <c r="BG187" s="1200"/>
    </row>
    <row r="188" spans="18:59" x14ac:dyDescent="0.35">
      <c r="R188" s="1200"/>
      <c r="S188" s="1200"/>
      <c r="W188" s="1200"/>
      <c r="X188" s="1200"/>
      <c r="AE188" s="1200"/>
      <c r="AF188" s="1200"/>
      <c r="AV188" s="1200"/>
      <c r="AW188" s="1200"/>
      <c r="AX188" s="1200"/>
      <c r="AY188" s="1200"/>
      <c r="AZ188" s="1200"/>
      <c r="BA188" s="1200"/>
      <c r="BC188" s="1200"/>
      <c r="BE188" s="1200"/>
      <c r="BF188" s="1200"/>
      <c r="BG188" s="1200"/>
    </row>
    <row r="189" spans="18:59" x14ac:dyDescent="0.35">
      <c r="R189" s="1200"/>
      <c r="S189" s="1200"/>
      <c r="W189" s="1200"/>
      <c r="X189" s="1200"/>
      <c r="AE189" s="1200"/>
      <c r="AF189" s="1200"/>
      <c r="AV189" s="1200"/>
      <c r="AW189" s="1200"/>
      <c r="AX189" s="1200"/>
      <c r="AY189" s="1200"/>
      <c r="AZ189" s="1200"/>
      <c r="BA189" s="1200"/>
      <c r="BC189" s="1200"/>
      <c r="BE189" s="1200"/>
      <c r="BF189" s="1200"/>
      <c r="BG189" s="1200"/>
    </row>
    <row r="190" spans="18:59" x14ac:dyDescent="0.35">
      <c r="R190" s="1200"/>
      <c r="S190" s="1200"/>
      <c r="W190" s="1200"/>
      <c r="X190" s="1200"/>
      <c r="AE190" s="1200"/>
      <c r="AF190" s="1200"/>
      <c r="AV190" s="1200"/>
      <c r="AW190" s="1200"/>
      <c r="AX190" s="1200"/>
      <c r="AY190" s="1200"/>
      <c r="AZ190" s="1200"/>
      <c r="BA190" s="1200"/>
      <c r="BC190" s="1200"/>
      <c r="BE190" s="1200"/>
      <c r="BF190" s="1200"/>
      <c r="BG190" s="1200"/>
    </row>
    <row r="191" spans="18:59" x14ac:dyDescent="0.35">
      <c r="R191" s="1200"/>
      <c r="S191" s="1200"/>
      <c r="W191" s="1200"/>
      <c r="X191" s="1200"/>
      <c r="AE191" s="1200"/>
      <c r="AF191" s="1200"/>
      <c r="AV191" s="1200"/>
      <c r="AW191" s="1200"/>
      <c r="AX191" s="1200"/>
      <c r="AY191" s="1200"/>
      <c r="AZ191" s="1200"/>
      <c r="BA191" s="1200"/>
      <c r="BC191" s="1200"/>
      <c r="BE191" s="1200"/>
      <c r="BF191" s="1200"/>
      <c r="BG191" s="1200"/>
    </row>
    <row r="192" spans="18:59" x14ac:dyDescent="0.35">
      <c r="R192" s="1200"/>
      <c r="S192" s="1200"/>
      <c r="W192" s="1200"/>
      <c r="X192" s="1200"/>
      <c r="AE192" s="1200"/>
      <c r="AF192" s="1200"/>
      <c r="AV192" s="1200"/>
      <c r="AW192" s="1200"/>
      <c r="AX192" s="1200"/>
      <c r="AY192" s="1200"/>
      <c r="AZ192" s="1200"/>
      <c r="BA192" s="1200"/>
      <c r="BC192" s="1200"/>
      <c r="BE192" s="1200"/>
      <c r="BF192" s="1200"/>
      <c r="BG192" s="1200"/>
    </row>
    <row r="193" spans="18:59" x14ac:dyDescent="0.35">
      <c r="R193" s="1200"/>
      <c r="S193" s="1200"/>
      <c r="W193" s="1200"/>
      <c r="X193" s="1200"/>
      <c r="AE193" s="1200"/>
      <c r="AF193" s="1200"/>
      <c r="AV193" s="1200"/>
      <c r="AW193" s="1200"/>
      <c r="AX193" s="1200"/>
      <c r="AY193" s="1200"/>
      <c r="AZ193" s="1200"/>
      <c r="BA193" s="1200"/>
      <c r="BC193" s="1200"/>
      <c r="BE193" s="1200"/>
      <c r="BF193" s="1200"/>
      <c r="BG193" s="1200"/>
    </row>
    <row r="194" spans="18:59" x14ac:dyDescent="0.35">
      <c r="R194" s="1200"/>
      <c r="S194" s="1200"/>
      <c r="W194" s="1200"/>
      <c r="X194" s="1200"/>
      <c r="AE194" s="1200"/>
      <c r="AF194" s="1200"/>
      <c r="AV194" s="1200"/>
      <c r="AW194" s="1200"/>
      <c r="AX194" s="1200"/>
      <c r="AY194" s="1200"/>
      <c r="AZ194" s="1200"/>
      <c r="BA194" s="1200"/>
      <c r="BC194" s="1200"/>
      <c r="BE194" s="1200"/>
      <c r="BF194" s="1200"/>
      <c r="BG194" s="1200"/>
    </row>
    <row r="195" spans="18:59" x14ac:dyDescent="0.35">
      <c r="R195" s="1200"/>
      <c r="S195" s="1200"/>
      <c r="W195" s="1200"/>
      <c r="X195" s="1200"/>
      <c r="AE195" s="1200"/>
      <c r="AF195" s="1200"/>
      <c r="AV195" s="1200"/>
      <c r="AW195" s="1200"/>
      <c r="AX195" s="1200"/>
      <c r="AY195" s="1200"/>
      <c r="AZ195" s="1200"/>
      <c r="BA195" s="1200"/>
      <c r="BC195" s="1200"/>
      <c r="BE195" s="1200"/>
      <c r="BF195" s="1200"/>
      <c r="BG195" s="1200"/>
    </row>
    <row r="196" spans="18:59" x14ac:dyDescent="0.35">
      <c r="R196" s="1200"/>
      <c r="S196" s="1200"/>
      <c r="W196" s="1200"/>
      <c r="X196" s="1200"/>
      <c r="AE196" s="1200"/>
      <c r="AF196" s="1200"/>
      <c r="AV196" s="1200"/>
      <c r="AW196" s="1200"/>
      <c r="AX196" s="1200"/>
      <c r="AY196" s="1200"/>
      <c r="AZ196" s="1200"/>
      <c r="BA196" s="1200"/>
      <c r="BC196" s="1200"/>
      <c r="BE196" s="1200"/>
      <c r="BF196" s="1200"/>
      <c r="BG196" s="1200"/>
    </row>
    <row r="197" spans="18:59" x14ac:dyDescent="0.35">
      <c r="R197" s="1200"/>
      <c r="S197" s="1200"/>
      <c r="W197" s="1200"/>
      <c r="X197" s="1200"/>
      <c r="AE197" s="1200"/>
      <c r="AF197" s="1200"/>
      <c r="AV197" s="1200"/>
      <c r="AW197" s="1200"/>
      <c r="AX197" s="1200"/>
      <c r="AY197" s="1200"/>
      <c r="AZ197" s="1200"/>
      <c r="BA197" s="1200"/>
      <c r="BC197" s="1200"/>
      <c r="BE197" s="1200"/>
      <c r="BF197" s="1200"/>
      <c r="BG197" s="1200"/>
    </row>
    <row r="198" spans="18:59" x14ac:dyDescent="0.35">
      <c r="R198" s="1200"/>
      <c r="S198" s="1200"/>
      <c r="W198" s="1200"/>
      <c r="X198" s="1200"/>
      <c r="AE198" s="1200"/>
      <c r="AF198" s="1200"/>
      <c r="AV198" s="1200"/>
      <c r="AW198" s="1200"/>
      <c r="AX198" s="1200"/>
      <c r="AY198" s="1200"/>
      <c r="AZ198" s="1200"/>
      <c r="BA198" s="1200"/>
      <c r="BC198" s="1200"/>
      <c r="BE198" s="1200"/>
      <c r="BF198" s="1200"/>
      <c r="BG198" s="1200"/>
    </row>
    <row r="199" spans="18:59" x14ac:dyDescent="0.35">
      <c r="R199" s="1200"/>
      <c r="S199" s="1200"/>
      <c r="W199" s="1200"/>
      <c r="X199" s="1200"/>
      <c r="AE199" s="1200"/>
      <c r="AF199" s="1200"/>
      <c r="AV199" s="1200"/>
      <c r="AW199" s="1200"/>
      <c r="AX199" s="1200"/>
      <c r="AY199" s="1200"/>
      <c r="AZ199" s="1200"/>
      <c r="BA199" s="1200"/>
      <c r="BC199" s="1200"/>
      <c r="BE199" s="1200"/>
      <c r="BF199" s="1200"/>
      <c r="BG199" s="1200"/>
    </row>
    <row r="200" spans="18:59" x14ac:dyDescent="0.35">
      <c r="R200" s="1200"/>
      <c r="S200" s="1200"/>
      <c r="W200" s="1200"/>
      <c r="X200" s="1200"/>
      <c r="AE200" s="1200"/>
      <c r="AF200" s="1200"/>
      <c r="AV200" s="1200"/>
      <c r="AW200" s="1200"/>
      <c r="AX200" s="1200"/>
      <c r="AY200" s="1200"/>
      <c r="AZ200" s="1200"/>
      <c r="BA200" s="1200"/>
      <c r="BC200" s="1200"/>
      <c r="BE200" s="1200"/>
      <c r="BF200" s="1200"/>
      <c r="BG200" s="1200"/>
    </row>
    <row r="201" spans="18:59" x14ac:dyDescent="0.35">
      <c r="R201" s="1200"/>
      <c r="S201" s="1200"/>
      <c r="W201" s="1200"/>
      <c r="X201" s="1200"/>
      <c r="AE201" s="1200"/>
      <c r="AF201" s="1200"/>
      <c r="AV201" s="1200"/>
      <c r="AW201" s="1200"/>
      <c r="AX201" s="1200"/>
      <c r="AY201" s="1200"/>
      <c r="AZ201" s="1200"/>
      <c r="BA201" s="1200"/>
      <c r="BC201" s="1200"/>
      <c r="BE201" s="1200"/>
      <c r="BF201" s="1200"/>
      <c r="BG201" s="1200"/>
    </row>
    <row r="202" spans="18:59" x14ac:dyDescent="0.35">
      <c r="R202" s="1200"/>
      <c r="S202" s="1200"/>
      <c r="W202" s="1200"/>
      <c r="X202" s="1200"/>
      <c r="AE202" s="1200"/>
      <c r="AF202" s="1200"/>
      <c r="AV202" s="1200"/>
      <c r="AW202" s="1200"/>
      <c r="AX202" s="1200"/>
      <c r="AY202" s="1200"/>
      <c r="AZ202" s="1200"/>
      <c r="BA202" s="1200"/>
      <c r="BC202" s="1200"/>
      <c r="BE202" s="1200"/>
      <c r="BF202" s="1200"/>
      <c r="BG202" s="1200"/>
    </row>
    <row r="203" spans="18:59" x14ac:dyDescent="0.35">
      <c r="R203" s="1200"/>
      <c r="S203" s="1200"/>
      <c r="W203" s="1200"/>
      <c r="X203" s="1200"/>
      <c r="AE203" s="1200"/>
      <c r="AF203" s="1200"/>
      <c r="AV203" s="1200"/>
      <c r="AW203" s="1200"/>
      <c r="AX203" s="1200"/>
      <c r="AY203" s="1200"/>
      <c r="AZ203" s="1200"/>
      <c r="BA203" s="1200"/>
      <c r="BC203" s="1200"/>
      <c r="BE203" s="1200"/>
      <c r="BF203" s="1200"/>
      <c r="BG203" s="1200"/>
    </row>
    <row r="204" spans="18:59" x14ac:dyDescent="0.35">
      <c r="R204" s="1200"/>
      <c r="S204" s="1200"/>
      <c r="W204" s="1200"/>
      <c r="X204" s="1200"/>
      <c r="AE204" s="1200"/>
      <c r="AF204" s="1200"/>
      <c r="AV204" s="1200"/>
      <c r="AW204" s="1200"/>
      <c r="AX204" s="1200"/>
      <c r="AY204" s="1200"/>
      <c r="AZ204" s="1200"/>
      <c r="BA204" s="1200"/>
      <c r="BC204" s="1200"/>
      <c r="BE204" s="1200"/>
      <c r="BF204" s="1200"/>
      <c r="BG204" s="1200"/>
    </row>
    <row r="205" spans="18:59" x14ac:dyDescent="0.35">
      <c r="R205" s="1200"/>
      <c r="S205" s="1200"/>
      <c r="W205" s="1200"/>
      <c r="X205" s="1200"/>
      <c r="AE205" s="1200"/>
      <c r="AF205" s="1200"/>
      <c r="AV205" s="1200"/>
      <c r="AW205" s="1200"/>
      <c r="AX205" s="1200"/>
      <c r="AY205" s="1200"/>
      <c r="AZ205" s="1200"/>
      <c r="BA205" s="1200"/>
      <c r="BC205" s="1200"/>
      <c r="BE205" s="1200"/>
      <c r="BF205" s="1200"/>
      <c r="BG205" s="1200"/>
    </row>
    <row r="206" spans="18:59" x14ac:dyDescent="0.35">
      <c r="R206" s="1200"/>
      <c r="S206" s="1200"/>
      <c r="W206" s="1200"/>
      <c r="X206" s="1200"/>
      <c r="AE206" s="1200"/>
      <c r="AF206" s="1200"/>
      <c r="AV206" s="1200"/>
      <c r="AW206" s="1200"/>
      <c r="AX206" s="1200"/>
      <c r="AY206" s="1200"/>
      <c r="AZ206" s="1200"/>
      <c r="BA206" s="1200"/>
      <c r="BC206" s="1200"/>
      <c r="BE206" s="1200"/>
      <c r="BF206" s="1200"/>
      <c r="BG206" s="1200"/>
    </row>
    <row r="207" spans="18:59" x14ac:dyDescent="0.35">
      <c r="R207" s="1200"/>
      <c r="S207" s="1200"/>
      <c r="W207" s="1200"/>
      <c r="X207" s="1200"/>
      <c r="AE207" s="1200"/>
      <c r="AF207" s="1200"/>
      <c r="AV207" s="1200"/>
      <c r="AW207" s="1200"/>
      <c r="AX207" s="1200"/>
      <c r="AY207" s="1200"/>
      <c r="AZ207" s="1200"/>
      <c r="BA207" s="1200"/>
      <c r="BC207" s="1200"/>
      <c r="BE207" s="1200"/>
      <c r="BF207" s="1200"/>
      <c r="BG207" s="1200"/>
    </row>
    <row r="208" spans="18:59" x14ac:dyDescent="0.35">
      <c r="R208" s="1200"/>
      <c r="S208" s="1200"/>
      <c r="W208" s="1200"/>
      <c r="X208" s="1200"/>
      <c r="AE208" s="1200"/>
      <c r="AF208" s="1200"/>
      <c r="AV208" s="1200"/>
      <c r="AW208" s="1200"/>
      <c r="AX208" s="1200"/>
      <c r="AY208" s="1200"/>
      <c r="AZ208" s="1200"/>
      <c r="BA208" s="1200"/>
      <c r="BC208" s="1200"/>
      <c r="BE208" s="1200"/>
      <c r="BF208" s="1200"/>
      <c r="BG208" s="1200"/>
    </row>
    <row r="209" spans="18:59" x14ac:dyDescent="0.35">
      <c r="R209" s="1200"/>
      <c r="S209" s="1200"/>
      <c r="W209" s="1200"/>
      <c r="X209" s="1200"/>
      <c r="AE209" s="1200"/>
      <c r="AF209" s="1200"/>
      <c r="AV209" s="1200"/>
      <c r="AW209" s="1200"/>
      <c r="AX209" s="1200"/>
      <c r="AY209" s="1200"/>
      <c r="AZ209" s="1200"/>
      <c r="BA209" s="1200"/>
      <c r="BC209" s="1200"/>
      <c r="BE209" s="1200"/>
      <c r="BF209" s="1200"/>
      <c r="BG209" s="1200"/>
    </row>
    <row r="210" spans="18:59" x14ac:dyDescent="0.35">
      <c r="R210" s="1200"/>
      <c r="S210" s="1200"/>
      <c r="W210" s="1200"/>
      <c r="X210" s="1200"/>
      <c r="AE210" s="1200"/>
      <c r="AF210" s="1200"/>
      <c r="AV210" s="1200"/>
      <c r="AW210" s="1200"/>
      <c r="AX210" s="1200"/>
      <c r="AY210" s="1200"/>
      <c r="AZ210" s="1200"/>
      <c r="BA210" s="1200"/>
      <c r="BC210" s="1200"/>
      <c r="BE210" s="1200"/>
      <c r="BF210" s="1200"/>
      <c r="BG210" s="1200"/>
    </row>
    <row r="211" spans="18:59" x14ac:dyDescent="0.35">
      <c r="R211" s="1200"/>
      <c r="S211" s="1200"/>
      <c r="W211" s="1200"/>
      <c r="X211" s="1200"/>
      <c r="AE211" s="1200"/>
      <c r="AF211" s="1200"/>
      <c r="AV211" s="1200"/>
      <c r="AW211" s="1200"/>
      <c r="AX211" s="1200"/>
      <c r="AY211" s="1200"/>
      <c r="AZ211" s="1200"/>
      <c r="BA211" s="1200"/>
      <c r="BC211" s="1200"/>
      <c r="BE211" s="1200"/>
      <c r="BF211" s="1200"/>
      <c r="BG211" s="1200"/>
    </row>
    <row r="212" spans="18:59" x14ac:dyDescent="0.35">
      <c r="R212" s="1200"/>
      <c r="S212" s="1200"/>
      <c r="W212" s="1200"/>
      <c r="X212" s="1200"/>
      <c r="AE212" s="1200"/>
      <c r="AF212" s="1200"/>
      <c r="AV212" s="1200"/>
      <c r="AW212" s="1200"/>
      <c r="AX212" s="1200"/>
      <c r="AY212" s="1200"/>
      <c r="AZ212" s="1200"/>
      <c r="BA212" s="1200"/>
      <c r="BC212" s="1200"/>
      <c r="BE212" s="1200"/>
      <c r="BF212" s="1200"/>
      <c r="BG212" s="1200"/>
    </row>
    <row r="213" spans="18:59" x14ac:dyDescent="0.35">
      <c r="R213" s="1200"/>
      <c r="S213" s="1200"/>
      <c r="W213" s="1200"/>
      <c r="X213" s="1200"/>
      <c r="AE213" s="1200"/>
      <c r="AF213" s="1200"/>
      <c r="AV213" s="1200"/>
      <c r="AW213" s="1200"/>
      <c r="AX213" s="1200"/>
      <c r="AY213" s="1200"/>
      <c r="AZ213" s="1200"/>
      <c r="BA213" s="1200"/>
      <c r="BC213" s="1200"/>
      <c r="BE213" s="1200"/>
      <c r="BF213" s="1200"/>
      <c r="BG213" s="1200"/>
    </row>
    <row r="214" spans="18:59" x14ac:dyDescent="0.35">
      <c r="R214" s="1200"/>
      <c r="S214" s="1200"/>
      <c r="W214" s="1200"/>
      <c r="X214" s="1200"/>
      <c r="AE214" s="1200"/>
      <c r="AF214" s="1200"/>
      <c r="AV214" s="1200"/>
      <c r="AW214" s="1200"/>
      <c r="AX214" s="1200"/>
      <c r="AY214" s="1200"/>
      <c r="AZ214" s="1200"/>
      <c r="BA214" s="1200"/>
      <c r="BC214" s="1200"/>
      <c r="BE214" s="1200"/>
      <c r="BF214" s="1200"/>
      <c r="BG214" s="1200"/>
    </row>
    <row r="215" spans="18:59" x14ac:dyDescent="0.35">
      <c r="R215" s="1200"/>
      <c r="S215" s="1200"/>
      <c r="W215" s="1200"/>
      <c r="X215" s="1200"/>
      <c r="AE215" s="1200"/>
      <c r="AF215" s="1200"/>
      <c r="AV215" s="1200"/>
      <c r="AW215" s="1200"/>
      <c r="AX215" s="1200"/>
      <c r="AY215" s="1200"/>
      <c r="AZ215" s="1200"/>
      <c r="BA215" s="1200"/>
      <c r="BC215" s="1200"/>
      <c r="BE215" s="1200"/>
      <c r="BF215" s="1200"/>
      <c r="BG215" s="1200"/>
    </row>
    <row r="216" spans="18:59" x14ac:dyDescent="0.35">
      <c r="R216" s="1200"/>
      <c r="S216" s="1200"/>
      <c r="W216" s="1200"/>
      <c r="X216" s="1200"/>
      <c r="AE216" s="1200"/>
      <c r="AF216" s="1200"/>
      <c r="AV216" s="1200"/>
      <c r="AW216" s="1200"/>
      <c r="AX216" s="1200"/>
      <c r="AY216" s="1200"/>
      <c r="AZ216" s="1200"/>
      <c r="BA216" s="1200"/>
      <c r="BC216" s="1200"/>
      <c r="BE216" s="1200"/>
      <c r="BF216" s="1200"/>
      <c r="BG216" s="1200"/>
    </row>
    <row r="217" spans="18:59" x14ac:dyDescent="0.35">
      <c r="R217" s="1200"/>
      <c r="S217" s="1200"/>
      <c r="W217" s="1200"/>
      <c r="X217" s="1200"/>
      <c r="AE217" s="1200"/>
      <c r="AF217" s="1200"/>
      <c r="AV217" s="1200"/>
      <c r="AW217" s="1200"/>
      <c r="AX217" s="1200"/>
      <c r="AY217" s="1200"/>
      <c r="AZ217" s="1200"/>
      <c r="BA217" s="1200"/>
      <c r="BC217" s="1200"/>
      <c r="BE217" s="1200"/>
      <c r="BF217" s="1200"/>
      <c r="BG217" s="1200"/>
    </row>
    <row r="218" spans="18:59" x14ac:dyDescent="0.35">
      <c r="R218" s="1200"/>
      <c r="S218" s="1200"/>
      <c r="W218" s="1200"/>
      <c r="X218" s="1200"/>
      <c r="AE218" s="1200"/>
      <c r="AF218" s="1200"/>
      <c r="AV218" s="1200"/>
      <c r="AW218" s="1200"/>
      <c r="AX218" s="1200"/>
      <c r="AY218" s="1200"/>
      <c r="AZ218" s="1200"/>
      <c r="BA218" s="1200"/>
      <c r="BC218" s="1200"/>
      <c r="BE218" s="1200"/>
      <c r="BF218" s="1200"/>
      <c r="BG218" s="1200"/>
    </row>
    <row r="219" spans="18:59" x14ac:dyDescent="0.35">
      <c r="R219" s="1200"/>
      <c r="S219" s="1200"/>
      <c r="W219" s="1200"/>
      <c r="X219" s="1200"/>
      <c r="AE219" s="1200"/>
      <c r="AF219" s="1200"/>
      <c r="AV219" s="1200"/>
      <c r="AW219" s="1200"/>
      <c r="AX219" s="1200"/>
      <c r="AY219" s="1200"/>
      <c r="AZ219" s="1200"/>
      <c r="BA219" s="1200"/>
      <c r="BC219" s="1200"/>
      <c r="BE219" s="1200"/>
      <c r="BF219" s="1200"/>
      <c r="BG219" s="1200"/>
    </row>
    <row r="220" spans="18:59" x14ac:dyDescent="0.35">
      <c r="R220" s="1200"/>
      <c r="S220" s="1200"/>
      <c r="W220" s="1200"/>
      <c r="X220" s="1200"/>
      <c r="AE220" s="1200"/>
      <c r="AF220" s="1200"/>
      <c r="AV220" s="1200"/>
      <c r="AW220" s="1200"/>
      <c r="AX220" s="1200"/>
      <c r="AY220" s="1200"/>
      <c r="AZ220" s="1200"/>
      <c r="BA220" s="1200"/>
      <c r="BC220" s="1200"/>
      <c r="BE220" s="1200"/>
      <c r="BF220" s="1200"/>
      <c r="BG220" s="1200"/>
    </row>
    <row r="221" spans="18:59" x14ac:dyDescent="0.35">
      <c r="R221" s="1200"/>
      <c r="S221" s="1200"/>
      <c r="W221" s="1200"/>
      <c r="X221" s="1200"/>
      <c r="AE221" s="1200"/>
      <c r="AF221" s="1200"/>
      <c r="AV221" s="1200"/>
      <c r="AW221" s="1200"/>
      <c r="AX221" s="1200"/>
      <c r="AY221" s="1200"/>
      <c r="AZ221" s="1200"/>
      <c r="BA221" s="1200"/>
      <c r="BC221" s="1200"/>
      <c r="BE221" s="1200"/>
      <c r="BF221" s="1200"/>
      <c r="BG221" s="1200"/>
    </row>
    <row r="222" spans="18:59" x14ac:dyDescent="0.35">
      <c r="R222" s="1200"/>
      <c r="S222" s="1200"/>
      <c r="W222" s="1200"/>
      <c r="X222" s="1200"/>
      <c r="AE222" s="1200"/>
      <c r="AF222" s="1200"/>
      <c r="AV222" s="1200"/>
      <c r="AW222" s="1200"/>
      <c r="AX222" s="1200"/>
      <c r="AY222" s="1200"/>
      <c r="AZ222" s="1200"/>
      <c r="BA222" s="1200"/>
      <c r="BC222" s="1200"/>
      <c r="BE222" s="1200"/>
      <c r="BF222" s="1200"/>
      <c r="BG222" s="1200"/>
    </row>
    <row r="223" spans="18:59" x14ac:dyDescent="0.35">
      <c r="R223" s="1200"/>
      <c r="S223" s="1200"/>
      <c r="W223" s="1200"/>
      <c r="X223" s="1200"/>
      <c r="AE223" s="1200"/>
      <c r="AF223" s="1200"/>
      <c r="AV223" s="1200"/>
      <c r="AW223" s="1200"/>
      <c r="AX223" s="1200"/>
      <c r="AY223" s="1200"/>
      <c r="AZ223" s="1200"/>
      <c r="BA223" s="1200"/>
      <c r="BC223" s="1200"/>
      <c r="BE223" s="1200"/>
      <c r="BF223" s="1200"/>
      <c r="BG223" s="1200"/>
    </row>
    <row r="224" spans="18:59" x14ac:dyDescent="0.35">
      <c r="R224" s="1200"/>
      <c r="S224" s="1200"/>
      <c r="W224" s="1200"/>
      <c r="X224" s="1200"/>
      <c r="AE224" s="1200"/>
      <c r="AF224" s="1200"/>
      <c r="AV224" s="1200"/>
      <c r="AW224" s="1200"/>
      <c r="AX224" s="1200"/>
      <c r="AY224" s="1200"/>
      <c r="AZ224" s="1200"/>
      <c r="BA224" s="1200"/>
      <c r="BC224" s="1200"/>
      <c r="BE224" s="1200"/>
      <c r="BF224" s="1200"/>
      <c r="BG224" s="1200"/>
    </row>
    <row r="225" spans="18:59" x14ac:dyDescent="0.35">
      <c r="R225" s="1200"/>
      <c r="S225" s="1200"/>
      <c r="W225" s="1200"/>
      <c r="X225" s="1200"/>
      <c r="AE225" s="1200"/>
      <c r="AF225" s="1200"/>
      <c r="AV225" s="1200"/>
      <c r="AW225" s="1200"/>
      <c r="AX225" s="1200"/>
      <c r="AY225" s="1200"/>
      <c r="AZ225" s="1200"/>
      <c r="BA225" s="1200"/>
      <c r="BC225" s="1200"/>
      <c r="BE225" s="1200"/>
      <c r="BF225" s="1200"/>
      <c r="BG225" s="1200"/>
    </row>
    <row r="226" spans="18:59" x14ac:dyDescent="0.35">
      <c r="R226" s="1200"/>
      <c r="S226" s="1200"/>
      <c r="W226" s="1200"/>
      <c r="X226" s="1200"/>
      <c r="AE226" s="1200"/>
      <c r="AF226" s="1200"/>
      <c r="AV226" s="1200"/>
      <c r="AW226" s="1200"/>
      <c r="AX226" s="1200"/>
      <c r="AY226" s="1200"/>
      <c r="AZ226" s="1200"/>
      <c r="BA226" s="1200"/>
      <c r="BC226" s="1200"/>
      <c r="BE226" s="1200"/>
      <c r="BF226" s="1200"/>
      <c r="BG226" s="1200"/>
    </row>
    <row r="227" spans="18:59" x14ac:dyDescent="0.35">
      <c r="R227" s="1200"/>
      <c r="S227" s="1200"/>
      <c r="W227" s="1200"/>
      <c r="X227" s="1200"/>
      <c r="AE227" s="1200"/>
      <c r="AF227" s="1200"/>
      <c r="AV227" s="1200"/>
      <c r="AW227" s="1200"/>
      <c r="AX227" s="1200"/>
      <c r="AY227" s="1200"/>
      <c r="AZ227" s="1200"/>
      <c r="BA227" s="1200"/>
      <c r="BC227" s="1200"/>
      <c r="BE227" s="1200"/>
      <c r="BF227" s="1200"/>
      <c r="BG227" s="1200"/>
    </row>
    <row r="228" spans="18:59" x14ac:dyDescent="0.35">
      <c r="R228" s="1200"/>
      <c r="S228" s="1200"/>
      <c r="W228" s="1200"/>
      <c r="X228" s="1200"/>
      <c r="AE228" s="1200"/>
      <c r="AF228" s="1200"/>
      <c r="AV228" s="1200"/>
      <c r="AW228" s="1200"/>
      <c r="AX228" s="1200"/>
      <c r="AY228" s="1200"/>
      <c r="AZ228" s="1200"/>
      <c r="BA228" s="1200"/>
      <c r="BC228" s="1200"/>
      <c r="BE228" s="1200"/>
      <c r="BF228" s="1200"/>
      <c r="BG228" s="1200"/>
    </row>
    <row r="229" spans="18:59" x14ac:dyDescent="0.35">
      <c r="R229" s="1200"/>
      <c r="S229" s="1200"/>
      <c r="W229" s="1200"/>
      <c r="X229" s="1200"/>
      <c r="AE229" s="1200"/>
      <c r="AF229" s="1200"/>
      <c r="AV229" s="1200"/>
      <c r="AW229" s="1200"/>
      <c r="AX229" s="1200"/>
      <c r="AY229" s="1200"/>
      <c r="AZ229" s="1200"/>
      <c r="BA229" s="1200"/>
      <c r="BC229" s="1200"/>
      <c r="BE229" s="1200"/>
      <c r="BF229" s="1200"/>
      <c r="BG229" s="1200"/>
    </row>
    <row r="230" spans="18:59" x14ac:dyDescent="0.35">
      <c r="R230" s="1200"/>
      <c r="S230" s="1200"/>
      <c r="W230" s="1200"/>
      <c r="X230" s="1200"/>
      <c r="AE230" s="1200"/>
      <c r="AF230" s="1200"/>
      <c r="AV230" s="1200"/>
      <c r="AW230" s="1200"/>
      <c r="AX230" s="1200"/>
      <c r="AY230" s="1200"/>
      <c r="AZ230" s="1200"/>
      <c r="BA230" s="1200"/>
      <c r="BC230" s="1200"/>
      <c r="BE230" s="1200"/>
      <c r="BF230" s="1200"/>
      <c r="BG230" s="1200"/>
    </row>
    <row r="231" spans="18:59" x14ac:dyDescent="0.35">
      <c r="R231" s="1200"/>
      <c r="S231" s="1200"/>
      <c r="W231" s="1200"/>
      <c r="X231" s="1200"/>
      <c r="AE231" s="1200"/>
      <c r="AF231" s="1200"/>
      <c r="AV231" s="1200"/>
      <c r="AW231" s="1200"/>
      <c r="AX231" s="1200"/>
      <c r="AY231" s="1200"/>
      <c r="AZ231" s="1200"/>
      <c r="BA231" s="1200"/>
      <c r="BC231" s="1200"/>
      <c r="BE231" s="1200"/>
      <c r="BF231" s="1200"/>
      <c r="BG231" s="1200"/>
    </row>
    <row r="232" spans="18:59" x14ac:dyDescent="0.35">
      <c r="R232" s="1200"/>
      <c r="S232" s="1200"/>
      <c r="W232" s="1200"/>
      <c r="X232" s="1200"/>
      <c r="AE232" s="1200"/>
      <c r="AF232" s="1200"/>
      <c r="AV232" s="1200"/>
      <c r="AW232" s="1200"/>
      <c r="AX232" s="1200"/>
      <c r="AY232" s="1200"/>
      <c r="AZ232" s="1200"/>
      <c r="BA232" s="1200"/>
      <c r="BC232" s="1200"/>
      <c r="BE232" s="1200"/>
      <c r="BF232" s="1200"/>
      <c r="BG232" s="1200"/>
    </row>
    <row r="233" spans="18:59" x14ac:dyDescent="0.35">
      <c r="R233" s="1200"/>
      <c r="S233" s="1200"/>
      <c r="W233" s="1200"/>
      <c r="X233" s="1200"/>
      <c r="AE233" s="1200"/>
      <c r="AF233" s="1200"/>
      <c r="AV233" s="1200"/>
      <c r="AW233" s="1200"/>
      <c r="AX233" s="1200"/>
      <c r="AY233" s="1200"/>
      <c r="AZ233" s="1200"/>
      <c r="BA233" s="1200"/>
      <c r="BC233" s="1200"/>
      <c r="BE233" s="1200"/>
      <c r="BF233" s="1200"/>
      <c r="BG233" s="1200"/>
    </row>
    <row r="234" spans="18:59" x14ac:dyDescent="0.35">
      <c r="R234" s="1200"/>
      <c r="S234" s="1200"/>
      <c r="W234" s="1200"/>
      <c r="X234" s="1200"/>
      <c r="AE234" s="1200"/>
      <c r="AF234" s="1200"/>
      <c r="AV234" s="1200"/>
      <c r="AW234" s="1200"/>
      <c r="AX234" s="1200"/>
      <c r="AY234" s="1200"/>
      <c r="AZ234" s="1200"/>
      <c r="BA234" s="1200"/>
      <c r="BC234" s="1200"/>
      <c r="BE234" s="1200"/>
      <c r="BF234" s="1200"/>
      <c r="BG234" s="1200"/>
    </row>
    <row r="235" spans="18:59" x14ac:dyDescent="0.35">
      <c r="R235" s="1200"/>
      <c r="S235" s="1200"/>
      <c r="W235" s="1200"/>
      <c r="X235" s="1200"/>
      <c r="AE235" s="1200"/>
      <c r="AF235" s="1200"/>
      <c r="AV235" s="1200"/>
      <c r="AW235" s="1200"/>
      <c r="AX235" s="1200"/>
      <c r="AY235" s="1200"/>
      <c r="AZ235" s="1200"/>
      <c r="BA235" s="1200"/>
      <c r="BC235" s="1200"/>
      <c r="BE235" s="1200"/>
      <c r="BF235" s="1200"/>
      <c r="BG235" s="1200"/>
    </row>
    <row r="236" spans="18:59" x14ac:dyDescent="0.35">
      <c r="R236" s="1200"/>
      <c r="S236" s="1200"/>
      <c r="W236" s="1200"/>
      <c r="X236" s="1200"/>
      <c r="AE236" s="1200"/>
      <c r="AF236" s="1200"/>
      <c r="AV236" s="1200"/>
      <c r="AW236" s="1200"/>
      <c r="AX236" s="1200"/>
      <c r="AY236" s="1200"/>
      <c r="AZ236" s="1200"/>
      <c r="BA236" s="1200"/>
      <c r="BC236" s="1200"/>
      <c r="BE236" s="1200"/>
      <c r="BF236" s="1200"/>
      <c r="BG236" s="1200"/>
    </row>
    <row r="237" spans="18:59" x14ac:dyDescent="0.35">
      <c r="R237" s="1200"/>
      <c r="S237" s="1200"/>
      <c r="W237" s="1200"/>
      <c r="X237" s="1200"/>
      <c r="AE237" s="1200"/>
      <c r="AF237" s="1200"/>
      <c r="AV237" s="1200"/>
      <c r="AW237" s="1200"/>
      <c r="AX237" s="1200"/>
      <c r="AY237" s="1200"/>
      <c r="AZ237" s="1200"/>
      <c r="BA237" s="1200"/>
      <c r="BC237" s="1200"/>
      <c r="BE237" s="1200"/>
      <c r="BF237" s="1200"/>
      <c r="BG237" s="1200"/>
    </row>
    <row r="238" spans="18:59" x14ac:dyDescent="0.35">
      <c r="R238" s="1200"/>
      <c r="S238" s="1200"/>
      <c r="W238" s="1200"/>
      <c r="X238" s="1200"/>
      <c r="AE238" s="1200"/>
      <c r="AF238" s="1200"/>
      <c r="AV238" s="1200"/>
      <c r="AW238" s="1200"/>
      <c r="AX238" s="1200"/>
      <c r="AY238" s="1200"/>
      <c r="AZ238" s="1200"/>
      <c r="BA238" s="1200"/>
      <c r="BC238" s="1200"/>
      <c r="BE238" s="1200"/>
      <c r="BF238" s="1200"/>
      <c r="BG238" s="1200"/>
    </row>
    <row r="239" spans="18:59" x14ac:dyDescent="0.35">
      <c r="R239" s="1200"/>
      <c r="S239" s="1200"/>
      <c r="W239" s="1200"/>
      <c r="X239" s="1200"/>
      <c r="AE239" s="1200"/>
      <c r="AF239" s="1200"/>
      <c r="AV239" s="1200"/>
      <c r="AW239" s="1200"/>
      <c r="AX239" s="1200"/>
      <c r="AY239" s="1200"/>
      <c r="AZ239" s="1200"/>
      <c r="BA239" s="1200"/>
      <c r="BC239" s="1200"/>
      <c r="BE239" s="1200"/>
      <c r="BF239" s="1200"/>
      <c r="BG239" s="1200"/>
    </row>
    <row r="240" spans="18:59" x14ac:dyDescent="0.35">
      <c r="R240" s="1200"/>
      <c r="S240" s="1200"/>
      <c r="W240" s="1200"/>
      <c r="X240" s="1200"/>
      <c r="AE240" s="1200"/>
      <c r="AF240" s="1200"/>
      <c r="AV240" s="1200"/>
      <c r="AW240" s="1200"/>
      <c r="AX240" s="1200"/>
      <c r="AY240" s="1200"/>
      <c r="AZ240" s="1200"/>
      <c r="BA240" s="1200"/>
      <c r="BC240" s="1200"/>
      <c r="BE240" s="1200"/>
      <c r="BF240" s="1200"/>
      <c r="BG240" s="1200"/>
    </row>
    <row r="241" spans="18:59" x14ac:dyDescent="0.35">
      <c r="R241" s="1200"/>
      <c r="S241" s="1200"/>
      <c r="W241" s="1200"/>
      <c r="X241" s="1200"/>
      <c r="AE241" s="1200"/>
      <c r="AF241" s="1200"/>
      <c r="AV241" s="1200"/>
      <c r="AW241" s="1200"/>
      <c r="AX241" s="1200"/>
      <c r="AY241" s="1200"/>
      <c r="AZ241" s="1200"/>
      <c r="BA241" s="1200"/>
      <c r="BC241" s="1200"/>
      <c r="BE241" s="1200"/>
      <c r="BF241" s="1200"/>
      <c r="BG241" s="1200"/>
    </row>
    <row r="242" spans="18:59" x14ac:dyDescent="0.35">
      <c r="R242" s="1200"/>
      <c r="S242" s="1200"/>
      <c r="W242" s="1200"/>
      <c r="X242" s="1200"/>
      <c r="AE242" s="1200"/>
      <c r="AF242" s="1200"/>
      <c r="AV242" s="1200"/>
      <c r="AW242" s="1200"/>
      <c r="AX242" s="1200"/>
      <c r="AY242" s="1200"/>
      <c r="AZ242" s="1200"/>
      <c r="BA242" s="1200"/>
      <c r="BC242" s="1200"/>
      <c r="BE242" s="1200"/>
      <c r="BF242" s="1200"/>
      <c r="BG242" s="1200"/>
    </row>
    <row r="243" spans="18:59" x14ac:dyDescent="0.35">
      <c r="R243" s="1200"/>
      <c r="S243" s="1200"/>
      <c r="W243" s="1200"/>
      <c r="X243" s="1200"/>
      <c r="AE243" s="1200"/>
      <c r="AF243" s="1200"/>
      <c r="AV243" s="1200"/>
      <c r="AW243" s="1200"/>
      <c r="AX243" s="1200"/>
      <c r="AY243" s="1200"/>
      <c r="AZ243" s="1200"/>
      <c r="BA243" s="1200"/>
      <c r="BC243" s="1200"/>
      <c r="BE243" s="1200"/>
      <c r="BF243" s="1200"/>
      <c r="BG243" s="1200"/>
    </row>
    <row r="244" spans="18:59" x14ac:dyDescent="0.35">
      <c r="R244" s="1200"/>
      <c r="S244" s="1200"/>
      <c r="W244" s="1200"/>
      <c r="X244" s="1200"/>
      <c r="AE244" s="1200"/>
      <c r="AF244" s="1200"/>
      <c r="AV244" s="1200"/>
      <c r="AW244" s="1200"/>
      <c r="AX244" s="1200"/>
      <c r="AY244" s="1200"/>
      <c r="AZ244" s="1200"/>
      <c r="BA244" s="1200"/>
      <c r="BC244" s="1200"/>
      <c r="BE244" s="1200"/>
      <c r="BF244" s="1200"/>
      <c r="BG244" s="1200"/>
    </row>
    <row r="245" spans="18:59" x14ac:dyDescent="0.35">
      <c r="R245" s="1200"/>
      <c r="S245" s="1200"/>
      <c r="W245" s="1200"/>
      <c r="X245" s="1200"/>
      <c r="AE245" s="1200"/>
      <c r="AF245" s="1200"/>
      <c r="AV245" s="1200"/>
      <c r="AW245" s="1200"/>
      <c r="AX245" s="1200"/>
      <c r="AY245" s="1200"/>
      <c r="AZ245" s="1200"/>
      <c r="BA245" s="1200"/>
      <c r="BC245" s="1200"/>
      <c r="BE245" s="1200"/>
      <c r="BF245" s="1200"/>
      <c r="BG245" s="1200"/>
    </row>
    <row r="246" spans="18:59" x14ac:dyDescent="0.35">
      <c r="R246" s="1200"/>
      <c r="S246" s="1200"/>
      <c r="W246" s="1200"/>
      <c r="X246" s="1200"/>
      <c r="AE246" s="1200"/>
      <c r="AF246" s="1200"/>
      <c r="AV246" s="1200"/>
      <c r="AW246" s="1200"/>
      <c r="AX246" s="1200"/>
      <c r="AY246" s="1200"/>
      <c r="AZ246" s="1200"/>
      <c r="BA246" s="1200"/>
      <c r="BC246" s="1200"/>
      <c r="BE246" s="1200"/>
      <c r="BF246" s="1200"/>
      <c r="BG246" s="1200"/>
    </row>
    <row r="247" spans="18:59" x14ac:dyDescent="0.35">
      <c r="R247" s="1200"/>
      <c r="S247" s="1200"/>
      <c r="W247" s="1200"/>
      <c r="X247" s="1200"/>
      <c r="AE247" s="1200"/>
      <c r="AF247" s="1200"/>
      <c r="AV247" s="1200"/>
      <c r="AW247" s="1200"/>
      <c r="AX247" s="1200"/>
      <c r="AY247" s="1200"/>
      <c r="AZ247" s="1200"/>
      <c r="BA247" s="1200"/>
      <c r="BC247" s="1200"/>
      <c r="BE247" s="1200"/>
      <c r="BF247" s="1200"/>
      <c r="BG247" s="1200"/>
    </row>
    <row r="248" spans="18:59" x14ac:dyDescent="0.35">
      <c r="R248" s="1200"/>
      <c r="S248" s="1200"/>
      <c r="W248" s="1200"/>
      <c r="X248" s="1200"/>
      <c r="AE248" s="1200"/>
      <c r="AF248" s="1200"/>
      <c r="AV248" s="1200"/>
      <c r="AW248" s="1200"/>
      <c r="AX248" s="1200"/>
      <c r="AY248" s="1200"/>
      <c r="AZ248" s="1200"/>
      <c r="BA248" s="1200"/>
      <c r="BC248" s="1200"/>
      <c r="BE248" s="1200"/>
      <c r="BF248" s="1200"/>
      <c r="BG248" s="1200"/>
    </row>
    <row r="249" spans="18:59" x14ac:dyDescent="0.35">
      <c r="R249" s="1200"/>
      <c r="S249" s="1200"/>
      <c r="W249" s="1200"/>
      <c r="X249" s="1200"/>
      <c r="AE249" s="1200"/>
      <c r="AF249" s="1200"/>
      <c r="AV249" s="1200"/>
      <c r="AW249" s="1200"/>
      <c r="AX249" s="1200"/>
      <c r="AY249" s="1200"/>
      <c r="AZ249" s="1200"/>
      <c r="BA249" s="1200"/>
      <c r="BC249" s="1200"/>
      <c r="BE249" s="1200"/>
      <c r="BF249" s="1200"/>
      <c r="BG249" s="1200"/>
    </row>
    <row r="250" spans="18:59" x14ac:dyDescent="0.35">
      <c r="R250" s="1200"/>
      <c r="S250" s="1200"/>
      <c r="W250" s="1200"/>
      <c r="X250" s="1200"/>
      <c r="AE250" s="1200"/>
      <c r="AF250" s="1200"/>
      <c r="AV250" s="1200"/>
      <c r="AW250" s="1200"/>
      <c r="AX250" s="1200"/>
      <c r="AY250" s="1200"/>
      <c r="AZ250" s="1200"/>
      <c r="BA250" s="1200"/>
      <c r="BC250" s="1200"/>
      <c r="BE250" s="1200"/>
      <c r="BF250" s="1200"/>
      <c r="BG250" s="1200"/>
    </row>
    <row r="251" spans="18:59" x14ac:dyDescent="0.35">
      <c r="R251" s="1200"/>
      <c r="S251" s="1200"/>
      <c r="W251" s="1200"/>
      <c r="X251" s="1200"/>
      <c r="AE251" s="1200"/>
      <c r="AF251" s="1200"/>
      <c r="AV251" s="1200"/>
      <c r="AW251" s="1200"/>
      <c r="AX251" s="1200"/>
      <c r="AY251" s="1200"/>
      <c r="AZ251" s="1200"/>
      <c r="BA251" s="1200"/>
      <c r="BC251" s="1200"/>
      <c r="BE251" s="1200"/>
      <c r="BF251" s="1200"/>
      <c r="BG251" s="1200"/>
    </row>
    <row r="252" spans="18:59" x14ac:dyDescent="0.35">
      <c r="R252" s="1200"/>
      <c r="S252" s="1200"/>
      <c r="W252" s="1200"/>
      <c r="X252" s="1200"/>
      <c r="AE252" s="1200"/>
      <c r="AF252" s="1200"/>
      <c r="AV252" s="1200"/>
      <c r="AW252" s="1200"/>
      <c r="AX252" s="1200"/>
      <c r="AY252" s="1200"/>
      <c r="AZ252" s="1200"/>
      <c r="BA252" s="1200"/>
      <c r="BC252" s="1200"/>
      <c r="BE252" s="1200"/>
      <c r="BF252" s="1200"/>
      <c r="BG252" s="1200"/>
    </row>
    <row r="253" spans="18:59" x14ac:dyDescent="0.35">
      <c r="R253" s="1200"/>
      <c r="S253" s="1200"/>
      <c r="W253" s="1200"/>
      <c r="X253" s="1200"/>
      <c r="AE253" s="1200"/>
      <c r="AF253" s="1200"/>
      <c r="AV253" s="1200"/>
      <c r="AW253" s="1200"/>
      <c r="AX253" s="1200"/>
      <c r="AY253" s="1200"/>
      <c r="AZ253" s="1200"/>
      <c r="BA253" s="1200"/>
      <c r="BC253" s="1200"/>
      <c r="BE253" s="1200"/>
      <c r="BF253" s="1200"/>
      <c r="BG253" s="1200"/>
    </row>
    <row r="254" spans="18:59" x14ac:dyDescent="0.35">
      <c r="R254" s="1200"/>
      <c r="S254" s="1200"/>
      <c r="W254" s="1200"/>
      <c r="X254" s="1200"/>
      <c r="AE254" s="1200"/>
      <c r="AF254" s="1200"/>
      <c r="AV254" s="1200"/>
      <c r="AW254" s="1200"/>
      <c r="AX254" s="1200"/>
      <c r="AY254" s="1200"/>
      <c r="AZ254" s="1200"/>
      <c r="BA254" s="1200"/>
      <c r="BC254" s="1200"/>
      <c r="BE254" s="1200"/>
      <c r="BF254" s="1200"/>
      <c r="BG254" s="1200"/>
    </row>
    <row r="255" spans="18:59" x14ac:dyDescent="0.35">
      <c r="R255" s="1200"/>
      <c r="S255" s="1200"/>
      <c r="W255" s="1200"/>
      <c r="X255" s="1200"/>
      <c r="AE255" s="1200"/>
      <c r="AF255" s="1200"/>
      <c r="AV255" s="1200"/>
      <c r="AW255" s="1200"/>
      <c r="AX255" s="1200"/>
      <c r="AY255" s="1200"/>
      <c r="AZ255" s="1200"/>
      <c r="BA255" s="1200"/>
      <c r="BC255" s="1200"/>
      <c r="BE255" s="1200"/>
      <c r="BF255" s="1200"/>
      <c r="BG255" s="1200"/>
    </row>
    <row r="256" spans="18:59" x14ac:dyDescent="0.35">
      <c r="R256" s="1200"/>
      <c r="S256" s="1200"/>
      <c r="W256" s="1200"/>
      <c r="X256" s="1200"/>
      <c r="AE256" s="1200"/>
      <c r="AF256" s="1200"/>
      <c r="AV256" s="1200"/>
      <c r="AW256" s="1200"/>
      <c r="AX256" s="1200"/>
      <c r="AY256" s="1200"/>
      <c r="AZ256" s="1200"/>
      <c r="BA256" s="1200"/>
      <c r="BC256" s="1200"/>
      <c r="BE256" s="1200"/>
      <c r="BF256" s="1200"/>
      <c r="BG256" s="1200"/>
    </row>
    <row r="257" spans="18:59" x14ac:dyDescent="0.35">
      <c r="R257" s="1200"/>
      <c r="S257" s="1200"/>
      <c r="W257" s="1200"/>
      <c r="X257" s="1200"/>
      <c r="AE257" s="1200"/>
      <c r="AF257" s="1200"/>
      <c r="AV257" s="1200"/>
      <c r="AW257" s="1200"/>
      <c r="AX257" s="1200"/>
      <c r="AY257" s="1200"/>
      <c r="AZ257" s="1200"/>
      <c r="BA257" s="1200"/>
      <c r="BC257" s="1200"/>
      <c r="BE257" s="1200"/>
      <c r="BF257" s="1200"/>
      <c r="BG257" s="1200"/>
    </row>
    <row r="258" spans="18:59" x14ac:dyDescent="0.35">
      <c r="R258" s="1200"/>
      <c r="S258" s="1200"/>
      <c r="W258" s="1200"/>
      <c r="X258" s="1200"/>
      <c r="AE258" s="1200"/>
      <c r="AF258" s="1200"/>
      <c r="AV258" s="1200"/>
      <c r="AW258" s="1200"/>
      <c r="AX258" s="1200"/>
      <c r="AY258" s="1200"/>
      <c r="AZ258" s="1200"/>
      <c r="BA258" s="1200"/>
      <c r="BC258" s="1200"/>
      <c r="BE258" s="1200"/>
      <c r="BF258" s="1200"/>
      <c r="BG258" s="1200"/>
    </row>
    <row r="259" spans="18:59" x14ac:dyDescent="0.35">
      <c r="R259" s="1200"/>
      <c r="S259" s="1200"/>
      <c r="W259" s="1200"/>
      <c r="X259" s="1200"/>
      <c r="AE259" s="1200"/>
      <c r="AF259" s="1200"/>
      <c r="AV259" s="1200"/>
      <c r="AW259" s="1200"/>
      <c r="AX259" s="1200"/>
      <c r="AY259" s="1200"/>
      <c r="AZ259" s="1200"/>
      <c r="BA259" s="1200"/>
      <c r="BC259" s="1200"/>
      <c r="BE259" s="1200"/>
      <c r="BF259" s="1200"/>
      <c r="BG259" s="1200"/>
    </row>
    <row r="260" spans="18:59" x14ac:dyDescent="0.35">
      <c r="R260" s="1200"/>
      <c r="S260" s="1200"/>
      <c r="W260" s="1200"/>
      <c r="X260" s="1200"/>
      <c r="AE260" s="1200"/>
      <c r="AF260" s="1200"/>
      <c r="AV260" s="1200"/>
      <c r="AW260" s="1200"/>
      <c r="AX260" s="1200"/>
      <c r="AY260" s="1200"/>
      <c r="AZ260" s="1200"/>
      <c r="BA260" s="1200"/>
      <c r="BC260" s="1200"/>
      <c r="BE260" s="1200"/>
      <c r="BF260" s="1200"/>
      <c r="BG260" s="1200"/>
    </row>
    <row r="261" spans="18:59" x14ac:dyDescent="0.35">
      <c r="R261" s="1200"/>
      <c r="S261" s="1200"/>
      <c r="W261" s="1200"/>
      <c r="X261" s="1200"/>
      <c r="AE261" s="1200"/>
      <c r="AF261" s="1200"/>
      <c r="AV261" s="1200"/>
      <c r="AW261" s="1200"/>
      <c r="AX261" s="1200"/>
      <c r="AY261" s="1200"/>
      <c r="AZ261" s="1200"/>
      <c r="BA261" s="1200"/>
      <c r="BC261" s="1200"/>
      <c r="BE261" s="1200"/>
      <c r="BF261" s="1200"/>
      <c r="BG261" s="1200"/>
    </row>
    <row r="262" spans="18:59" x14ac:dyDescent="0.35">
      <c r="R262" s="1200"/>
      <c r="S262" s="1200"/>
      <c r="W262" s="1200"/>
      <c r="X262" s="1200"/>
      <c r="AE262" s="1200"/>
      <c r="AF262" s="1200"/>
      <c r="AV262" s="1200"/>
      <c r="AW262" s="1200"/>
      <c r="AX262" s="1200"/>
      <c r="AY262" s="1200"/>
      <c r="AZ262" s="1200"/>
      <c r="BA262" s="1200"/>
      <c r="BC262" s="1200"/>
      <c r="BE262" s="1200"/>
      <c r="BF262" s="1200"/>
      <c r="BG262" s="1200"/>
    </row>
    <row r="263" spans="18:59" x14ac:dyDescent="0.35">
      <c r="R263" s="1200"/>
      <c r="S263" s="1200"/>
      <c r="W263" s="1200"/>
      <c r="X263" s="1200"/>
      <c r="AE263" s="1200"/>
      <c r="AF263" s="1200"/>
      <c r="AV263" s="1200"/>
      <c r="AW263" s="1200"/>
      <c r="AX263" s="1200"/>
      <c r="AY263" s="1200"/>
      <c r="AZ263" s="1200"/>
      <c r="BA263" s="1200"/>
      <c r="BC263" s="1200"/>
      <c r="BE263" s="1200"/>
      <c r="BF263" s="1200"/>
      <c r="BG263" s="1200"/>
    </row>
    <row r="264" spans="18:59" x14ac:dyDescent="0.35">
      <c r="R264" s="1200"/>
      <c r="S264" s="1200"/>
      <c r="W264" s="1200"/>
      <c r="X264" s="1200"/>
      <c r="AE264" s="1200"/>
      <c r="AF264" s="1200"/>
      <c r="AV264" s="1200"/>
      <c r="AW264" s="1200"/>
      <c r="AX264" s="1200"/>
      <c r="AY264" s="1200"/>
      <c r="AZ264" s="1200"/>
      <c r="BA264" s="1200"/>
      <c r="BC264" s="1200"/>
      <c r="BE264" s="1200"/>
      <c r="BF264" s="1200"/>
      <c r="BG264" s="1200"/>
    </row>
    <row r="265" spans="18:59" x14ac:dyDescent="0.35">
      <c r="R265" s="1200"/>
      <c r="S265" s="1200"/>
      <c r="W265" s="1200"/>
      <c r="X265" s="1200"/>
      <c r="AE265" s="1200"/>
      <c r="AF265" s="1200"/>
      <c r="AV265" s="1200"/>
      <c r="AW265" s="1200"/>
      <c r="AX265" s="1200"/>
      <c r="AY265" s="1200"/>
      <c r="AZ265" s="1200"/>
      <c r="BA265" s="1200"/>
      <c r="BC265" s="1200"/>
      <c r="BE265" s="1200"/>
      <c r="BF265" s="1200"/>
      <c r="BG265" s="1200"/>
    </row>
    <row r="266" spans="18:59" x14ac:dyDescent="0.35">
      <c r="R266" s="1200"/>
      <c r="S266" s="1200"/>
      <c r="W266" s="1200"/>
      <c r="X266" s="1200"/>
      <c r="AE266" s="1200"/>
      <c r="AF266" s="1200"/>
      <c r="AV266" s="1200"/>
      <c r="AW266" s="1200"/>
      <c r="AX266" s="1200"/>
      <c r="AY266" s="1200"/>
      <c r="AZ266" s="1200"/>
      <c r="BA266" s="1200"/>
      <c r="BC266" s="1200"/>
      <c r="BE266" s="1200"/>
      <c r="BF266" s="1200"/>
      <c r="BG266" s="1200"/>
    </row>
    <row r="267" spans="18:59" x14ac:dyDescent="0.35">
      <c r="R267" s="1200"/>
      <c r="S267" s="1200"/>
      <c r="W267" s="1200"/>
      <c r="X267" s="1200"/>
      <c r="AE267" s="1200"/>
      <c r="AF267" s="1200"/>
      <c r="AV267" s="1200"/>
      <c r="AW267" s="1200"/>
      <c r="AX267" s="1200"/>
      <c r="AY267" s="1200"/>
      <c r="AZ267" s="1200"/>
      <c r="BA267" s="1200"/>
      <c r="BC267" s="1200"/>
      <c r="BE267" s="1200"/>
      <c r="BF267" s="1200"/>
      <c r="BG267" s="1200"/>
    </row>
    <row r="268" spans="18:59" x14ac:dyDescent="0.35">
      <c r="R268" s="1200"/>
      <c r="S268" s="1200"/>
      <c r="W268" s="1200"/>
      <c r="X268" s="1200"/>
      <c r="AE268" s="1200"/>
      <c r="AF268" s="1200"/>
      <c r="AV268" s="1200"/>
      <c r="AW268" s="1200"/>
      <c r="AX268" s="1200"/>
      <c r="AY268" s="1200"/>
      <c r="AZ268" s="1200"/>
      <c r="BA268" s="1200"/>
      <c r="BC268" s="1200"/>
      <c r="BE268" s="1200"/>
      <c r="BF268" s="1200"/>
      <c r="BG268" s="1200"/>
    </row>
    <row r="269" spans="18:59" x14ac:dyDescent="0.35">
      <c r="R269" s="1200"/>
      <c r="S269" s="1200"/>
      <c r="W269" s="1200"/>
      <c r="X269" s="1200"/>
      <c r="AE269" s="1200"/>
      <c r="AF269" s="1200"/>
      <c r="AV269" s="1200"/>
      <c r="AW269" s="1200"/>
      <c r="AX269" s="1200"/>
      <c r="AY269" s="1200"/>
      <c r="AZ269" s="1200"/>
      <c r="BA269" s="1200"/>
      <c r="BC269" s="1200"/>
      <c r="BE269" s="1200"/>
      <c r="BF269" s="1200"/>
      <c r="BG269" s="1200"/>
    </row>
    <row r="270" spans="18:59" x14ac:dyDescent="0.35">
      <c r="R270" s="1200"/>
      <c r="S270" s="1200"/>
      <c r="W270" s="1200"/>
      <c r="X270" s="1200"/>
      <c r="AE270" s="1200"/>
      <c r="AF270" s="1200"/>
      <c r="AV270" s="1200"/>
      <c r="AW270" s="1200"/>
      <c r="AX270" s="1200"/>
      <c r="AY270" s="1200"/>
      <c r="AZ270" s="1200"/>
      <c r="BA270" s="1200"/>
      <c r="BC270" s="1200"/>
      <c r="BE270" s="1200"/>
      <c r="BF270" s="1200"/>
      <c r="BG270" s="1200"/>
    </row>
    <row r="271" spans="18:59" x14ac:dyDescent="0.35">
      <c r="R271" s="1200"/>
      <c r="S271" s="1200"/>
      <c r="W271" s="1200"/>
      <c r="X271" s="1200"/>
      <c r="AE271" s="1200"/>
      <c r="AF271" s="1200"/>
      <c r="AV271" s="1200"/>
      <c r="AW271" s="1200"/>
      <c r="AX271" s="1200"/>
      <c r="AY271" s="1200"/>
      <c r="AZ271" s="1200"/>
      <c r="BA271" s="1200"/>
      <c r="BC271" s="1200"/>
      <c r="BE271" s="1200"/>
      <c r="BF271" s="1200"/>
      <c r="BG271" s="1200"/>
    </row>
    <row r="272" spans="18:59" x14ac:dyDescent="0.35">
      <c r="R272" s="1200"/>
      <c r="S272" s="1200"/>
      <c r="W272" s="1200"/>
      <c r="X272" s="1200"/>
      <c r="AE272" s="1200"/>
      <c r="AF272" s="1200"/>
      <c r="AV272" s="1200"/>
      <c r="AW272" s="1200"/>
      <c r="AX272" s="1200"/>
      <c r="AY272" s="1200"/>
      <c r="AZ272" s="1200"/>
      <c r="BA272" s="1200"/>
      <c r="BC272" s="1200"/>
      <c r="BE272" s="1200"/>
      <c r="BF272" s="1200"/>
      <c r="BG272" s="1200"/>
    </row>
    <row r="273" spans="18:59" x14ac:dyDescent="0.35">
      <c r="R273" s="1200"/>
      <c r="S273" s="1200"/>
      <c r="W273" s="1200"/>
      <c r="X273" s="1200"/>
      <c r="AE273" s="1200"/>
      <c r="AF273" s="1200"/>
      <c r="AV273" s="1200"/>
      <c r="AW273" s="1200"/>
      <c r="AX273" s="1200"/>
      <c r="AY273" s="1200"/>
      <c r="AZ273" s="1200"/>
      <c r="BA273" s="1200"/>
      <c r="BC273" s="1200"/>
      <c r="BE273" s="1200"/>
      <c r="BF273" s="1200"/>
      <c r="BG273" s="1200"/>
    </row>
    <row r="274" spans="18:59" x14ac:dyDescent="0.35">
      <c r="R274" s="1200"/>
      <c r="S274" s="1200"/>
      <c r="W274" s="1200"/>
      <c r="X274" s="1200"/>
      <c r="AE274" s="1200"/>
      <c r="AF274" s="1200"/>
      <c r="AV274" s="1200"/>
      <c r="AW274" s="1200"/>
      <c r="AX274" s="1200"/>
      <c r="AY274" s="1200"/>
      <c r="AZ274" s="1200"/>
      <c r="BA274" s="1200"/>
      <c r="BC274" s="1200"/>
      <c r="BE274" s="1200"/>
      <c r="BF274" s="1200"/>
      <c r="BG274" s="1200"/>
    </row>
    <row r="275" spans="18:59" x14ac:dyDescent="0.35">
      <c r="R275" s="1200"/>
      <c r="S275" s="1200"/>
      <c r="W275" s="1200"/>
      <c r="X275" s="1200"/>
      <c r="AE275" s="1200"/>
      <c r="AF275" s="1200"/>
      <c r="AV275" s="1200"/>
      <c r="AW275" s="1200"/>
      <c r="AX275" s="1200"/>
      <c r="AY275" s="1200"/>
      <c r="AZ275" s="1200"/>
      <c r="BA275" s="1200"/>
      <c r="BC275" s="1200"/>
      <c r="BE275" s="1200"/>
      <c r="BF275" s="1200"/>
      <c r="BG275" s="1200"/>
    </row>
    <row r="276" spans="18:59" x14ac:dyDescent="0.35">
      <c r="R276" s="1200"/>
      <c r="S276" s="1200"/>
      <c r="W276" s="1200"/>
      <c r="X276" s="1200"/>
      <c r="AE276" s="1200"/>
      <c r="AF276" s="1200"/>
      <c r="AV276" s="1200"/>
      <c r="AW276" s="1200"/>
      <c r="AX276" s="1200"/>
      <c r="AY276" s="1200"/>
      <c r="AZ276" s="1200"/>
      <c r="BA276" s="1200"/>
      <c r="BC276" s="1200"/>
      <c r="BE276" s="1200"/>
      <c r="BF276" s="1200"/>
      <c r="BG276" s="1200"/>
    </row>
    <row r="277" spans="18:59" x14ac:dyDescent="0.35">
      <c r="R277" s="1200"/>
      <c r="S277" s="1200"/>
      <c r="W277" s="1200"/>
      <c r="X277" s="1200"/>
      <c r="AE277" s="1200"/>
      <c r="AF277" s="1200"/>
      <c r="AV277" s="1200"/>
      <c r="AW277" s="1200"/>
      <c r="AX277" s="1200"/>
      <c r="AY277" s="1200"/>
      <c r="AZ277" s="1200"/>
      <c r="BA277" s="1200"/>
      <c r="BC277" s="1200"/>
      <c r="BE277" s="1200"/>
      <c r="BF277" s="1200"/>
      <c r="BG277" s="1200"/>
    </row>
    <row r="278" spans="18:59" x14ac:dyDescent="0.35">
      <c r="R278" s="1200"/>
      <c r="S278" s="1200"/>
      <c r="W278" s="1200"/>
      <c r="X278" s="1200"/>
      <c r="AE278" s="1200"/>
      <c r="AF278" s="1200"/>
      <c r="AV278" s="1200"/>
      <c r="AW278" s="1200"/>
      <c r="AX278" s="1200"/>
      <c r="AY278" s="1200"/>
      <c r="AZ278" s="1200"/>
      <c r="BA278" s="1200"/>
      <c r="BC278" s="1200"/>
      <c r="BE278" s="1200"/>
      <c r="BF278" s="1200"/>
      <c r="BG278" s="1200"/>
    </row>
    <row r="279" spans="18:59" x14ac:dyDescent="0.35">
      <c r="R279" s="1200"/>
      <c r="S279" s="1200"/>
      <c r="W279" s="1200"/>
      <c r="X279" s="1200"/>
      <c r="AE279" s="1200"/>
      <c r="AF279" s="1200"/>
      <c r="AV279" s="1200"/>
      <c r="AW279" s="1200"/>
      <c r="AX279" s="1200"/>
      <c r="AY279" s="1200"/>
      <c r="AZ279" s="1200"/>
      <c r="BA279" s="1200"/>
      <c r="BC279" s="1200"/>
      <c r="BE279" s="1200"/>
      <c r="BF279" s="1200"/>
      <c r="BG279" s="1200"/>
    </row>
    <row r="280" spans="18:59" x14ac:dyDescent="0.35">
      <c r="R280" s="1200"/>
      <c r="S280" s="1200"/>
      <c r="W280" s="1200"/>
      <c r="X280" s="1200"/>
      <c r="AE280" s="1200"/>
      <c r="AF280" s="1200"/>
      <c r="AV280" s="1200"/>
      <c r="AW280" s="1200"/>
      <c r="AX280" s="1200"/>
      <c r="AY280" s="1200"/>
      <c r="AZ280" s="1200"/>
      <c r="BA280" s="1200"/>
      <c r="BC280" s="1200"/>
      <c r="BE280" s="1200"/>
      <c r="BF280" s="1200"/>
      <c r="BG280" s="1200"/>
    </row>
    <row r="281" spans="18:59" x14ac:dyDescent="0.35">
      <c r="R281" s="1200"/>
      <c r="S281" s="1200"/>
      <c r="W281" s="1200"/>
      <c r="X281" s="1200"/>
      <c r="AE281" s="1200"/>
      <c r="AF281" s="1200"/>
      <c r="AV281" s="1200"/>
      <c r="AW281" s="1200"/>
      <c r="AX281" s="1200"/>
      <c r="AY281" s="1200"/>
      <c r="AZ281" s="1200"/>
      <c r="BA281" s="1200"/>
      <c r="BC281" s="1200"/>
      <c r="BE281" s="1200"/>
      <c r="BF281" s="1200"/>
      <c r="BG281" s="1200"/>
    </row>
    <row r="282" spans="18:59" x14ac:dyDescent="0.35">
      <c r="R282" s="1200"/>
      <c r="S282" s="1200"/>
      <c r="W282" s="1200"/>
      <c r="X282" s="1200"/>
      <c r="AE282" s="1200"/>
      <c r="AF282" s="1200"/>
      <c r="AV282" s="1200"/>
      <c r="AW282" s="1200"/>
      <c r="AX282" s="1200"/>
      <c r="AY282" s="1200"/>
      <c r="AZ282" s="1200"/>
      <c r="BA282" s="1200"/>
      <c r="BC282" s="1200"/>
      <c r="BE282" s="1200"/>
      <c r="BF282" s="1200"/>
      <c r="BG282" s="1200"/>
    </row>
    <row r="283" spans="18:59" x14ac:dyDescent="0.35">
      <c r="R283" s="1200"/>
      <c r="S283" s="1200"/>
      <c r="W283" s="1200"/>
      <c r="X283" s="1200"/>
      <c r="AE283" s="1200"/>
      <c r="AF283" s="1200"/>
      <c r="AV283" s="1200"/>
      <c r="AW283" s="1200"/>
      <c r="AX283" s="1200"/>
      <c r="AY283" s="1200"/>
      <c r="AZ283" s="1200"/>
      <c r="BA283" s="1200"/>
      <c r="BC283" s="1200"/>
      <c r="BE283" s="1200"/>
      <c r="BF283" s="1200"/>
      <c r="BG283" s="1200"/>
    </row>
    <row r="284" spans="18:59" x14ac:dyDescent="0.35">
      <c r="R284" s="1200"/>
      <c r="S284" s="1200"/>
      <c r="W284" s="1200"/>
      <c r="X284" s="1200"/>
      <c r="AE284" s="1200"/>
      <c r="AF284" s="1200"/>
      <c r="AV284" s="1200"/>
      <c r="AW284" s="1200"/>
      <c r="AX284" s="1200"/>
      <c r="AY284" s="1200"/>
      <c r="AZ284" s="1200"/>
      <c r="BA284" s="1200"/>
      <c r="BC284" s="1200"/>
      <c r="BE284" s="1200"/>
      <c r="BF284" s="1200"/>
      <c r="BG284" s="1200"/>
    </row>
    <row r="285" spans="18:59" x14ac:dyDescent="0.35">
      <c r="R285" s="1200"/>
      <c r="S285" s="1200"/>
      <c r="W285" s="1200"/>
      <c r="X285" s="1200"/>
      <c r="AE285" s="1200"/>
      <c r="AF285" s="1200"/>
      <c r="AV285" s="1200"/>
      <c r="AW285" s="1200"/>
      <c r="AX285" s="1200"/>
      <c r="AY285" s="1200"/>
      <c r="AZ285" s="1200"/>
      <c r="BA285" s="1200"/>
      <c r="BC285" s="1200"/>
      <c r="BE285" s="1200"/>
      <c r="BF285" s="1200"/>
      <c r="BG285" s="1200"/>
    </row>
    <row r="286" spans="18:59" x14ac:dyDescent="0.35">
      <c r="R286" s="1200"/>
      <c r="S286" s="1200"/>
      <c r="W286" s="1200"/>
      <c r="X286" s="1200"/>
      <c r="AE286" s="1200"/>
      <c r="AF286" s="1200"/>
      <c r="AV286" s="1200"/>
      <c r="AW286" s="1200"/>
      <c r="AX286" s="1200"/>
      <c r="AY286" s="1200"/>
      <c r="AZ286" s="1200"/>
      <c r="BA286" s="1200"/>
      <c r="BC286" s="1200"/>
      <c r="BE286" s="1200"/>
      <c r="BF286" s="1200"/>
      <c r="BG286" s="1200"/>
    </row>
    <row r="287" spans="18:59" x14ac:dyDescent="0.35">
      <c r="R287" s="1200"/>
      <c r="S287" s="1200"/>
      <c r="W287" s="1200"/>
      <c r="X287" s="1200"/>
      <c r="AE287" s="1200"/>
      <c r="AF287" s="1200"/>
      <c r="AV287" s="1200"/>
      <c r="AW287" s="1200"/>
      <c r="AX287" s="1200"/>
      <c r="AY287" s="1200"/>
      <c r="AZ287" s="1200"/>
      <c r="BA287" s="1200"/>
      <c r="BC287" s="1200"/>
      <c r="BE287" s="1200"/>
      <c r="BF287" s="1200"/>
      <c r="BG287" s="1200"/>
    </row>
    <row r="288" spans="18:59" x14ac:dyDescent="0.35">
      <c r="R288" s="1200"/>
      <c r="S288" s="1200"/>
      <c r="W288" s="1200"/>
      <c r="X288" s="1200"/>
      <c r="AE288" s="1200"/>
      <c r="AF288" s="1200"/>
      <c r="AV288" s="1200"/>
      <c r="AW288" s="1200"/>
      <c r="AX288" s="1200"/>
      <c r="AY288" s="1200"/>
      <c r="AZ288" s="1200"/>
      <c r="BA288" s="1200"/>
      <c r="BC288" s="1200"/>
      <c r="BE288" s="1200"/>
      <c r="BF288" s="1200"/>
      <c r="BG288" s="1200"/>
    </row>
    <row r="289" spans="18:59" x14ac:dyDescent="0.35">
      <c r="R289" s="1200"/>
      <c r="S289" s="1200"/>
      <c r="W289" s="1200"/>
      <c r="X289" s="1200"/>
      <c r="AE289" s="1200"/>
      <c r="AF289" s="1200"/>
      <c r="AV289" s="1200"/>
      <c r="AW289" s="1200"/>
      <c r="AX289" s="1200"/>
      <c r="AY289" s="1200"/>
      <c r="AZ289" s="1200"/>
      <c r="BA289" s="1200"/>
      <c r="BC289" s="1200"/>
      <c r="BE289" s="1200"/>
      <c r="BF289" s="1200"/>
      <c r="BG289" s="1200"/>
    </row>
    <row r="290" spans="18:59" x14ac:dyDescent="0.35">
      <c r="R290" s="1200"/>
      <c r="S290" s="1200"/>
      <c r="W290" s="1200"/>
      <c r="X290" s="1200"/>
      <c r="AE290" s="1200"/>
      <c r="AF290" s="1200"/>
      <c r="AV290" s="1200"/>
      <c r="AW290" s="1200"/>
      <c r="AX290" s="1200"/>
      <c r="AY290" s="1200"/>
      <c r="AZ290" s="1200"/>
      <c r="BA290" s="1200"/>
      <c r="BC290" s="1200"/>
      <c r="BE290" s="1200"/>
      <c r="BF290" s="1200"/>
      <c r="BG290" s="1200"/>
    </row>
    <row r="291" spans="18:59" x14ac:dyDescent="0.35">
      <c r="R291" s="1200"/>
      <c r="S291" s="1200"/>
      <c r="W291" s="1200"/>
      <c r="X291" s="1200"/>
      <c r="AE291" s="1200"/>
      <c r="AF291" s="1200"/>
      <c r="AV291" s="1200"/>
      <c r="AW291" s="1200"/>
      <c r="AX291" s="1200"/>
      <c r="AY291" s="1200"/>
      <c r="AZ291" s="1200"/>
      <c r="BA291" s="1200"/>
      <c r="BC291" s="1200"/>
      <c r="BE291" s="1200"/>
      <c r="BF291" s="1200"/>
      <c r="BG291" s="1200"/>
    </row>
    <row r="292" spans="18:59" x14ac:dyDescent="0.35">
      <c r="R292" s="1200"/>
      <c r="S292" s="1200"/>
      <c r="W292" s="1200"/>
      <c r="X292" s="1200"/>
      <c r="AE292" s="1200"/>
      <c r="AF292" s="1200"/>
      <c r="AV292" s="1200"/>
      <c r="AW292" s="1200"/>
      <c r="AX292" s="1200"/>
      <c r="AY292" s="1200"/>
      <c r="AZ292" s="1200"/>
      <c r="BA292" s="1200"/>
      <c r="BC292" s="1200"/>
      <c r="BE292" s="1200"/>
      <c r="BF292" s="1200"/>
      <c r="BG292" s="1200"/>
    </row>
    <row r="293" spans="18:59" x14ac:dyDescent="0.35">
      <c r="R293" s="1200"/>
      <c r="S293" s="1200"/>
      <c r="W293" s="1200"/>
      <c r="X293" s="1200"/>
      <c r="AE293" s="1200"/>
      <c r="AF293" s="1200"/>
      <c r="AV293" s="1200"/>
      <c r="AW293" s="1200"/>
      <c r="AX293" s="1200"/>
      <c r="AY293" s="1200"/>
      <c r="AZ293" s="1200"/>
      <c r="BA293" s="1200"/>
      <c r="BC293" s="1200"/>
      <c r="BE293" s="1200"/>
      <c r="BF293" s="1200"/>
      <c r="BG293" s="1200"/>
    </row>
    <row r="294" spans="18:59" x14ac:dyDescent="0.35">
      <c r="R294" s="1200"/>
      <c r="S294" s="1200"/>
      <c r="W294" s="1200"/>
      <c r="X294" s="1200"/>
      <c r="AE294" s="1200"/>
      <c r="AF294" s="1200"/>
      <c r="AV294" s="1200"/>
      <c r="AW294" s="1200"/>
      <c r="AX294" s="1200"/>
      <c r="AY294" s="1200"/>
      <c r="AZ294" s="1200"/>
      <c r="BA294" s="1200"/>
      <c r="BC294" s="1200"/>
      <c r="BE294" s="1200"/>
      <c r="BF294" s="1200"/>
      <c r="BG294" s="1200"/>
    </row>
    <row r="295" spans="18:59" x14ac:dyDescent="0.35">
      <c r="R295" s="1200"/>
      <c r="S295" s="1200"/>
      <c r="W295" s="1200"/>
      <c r="X295" s="1200"/>
      <c r="AE295" s="1200"/>
      <c r="AF295" s="1200"/>
      <c r="AV295" s="1200"/>
      <c r="AW295" s="1200"/>
      <c r="AX295" s="1200"/>
      <c r="AY295" s="1200"/>
      <c r="AZ295" s="1200"/>
      <c r="BA295" s="1200"/>
      <c r="BC295" s="1200"/>
      <c r="BE295" s="1200"/>
      <c r="BF295" s="1200"/>
      <c r="BG295" s="1200"/>
    </row>
    <row r="296" spans="18:59" x14ac:dyDescent="0.35">
      <c r="R296" s="1200"/>
      <c r="S296" s="1200"/>
      <c r="W296" s="1200"/>
      <c r="X296" s="1200"/>
      <c r="AE296" s="1200"/>
      <c r="AF296" s="1200"/>
      <c r="AV296" s="1200"/>
      <c r="AW296" s="1200"/>
      <c r="AX296" s="1200"/>
      <c r="AY296" s="1200"/>
      <c r="AZ296" s="1200"/>
      <c r="BA296" s="1200"/>
      <c r="BC296" s="1200"/>
      <c r="BE296" s="1200"/>
      <c r="BF296" s="1200"/>
      <c r="BG296" s="1200"/>
    </row>
    <row r="297" spans="18:59" x14ac:dyDescent="0.35">
      <c r="R297" s="1200"/>
      <c r="S297" s="1200"/>
      <c r="W297" s="1200"/>
      <c r="X297" s="1200"/>
      <c r="AE297" s="1200"/>
      <c r="AF297" s="1200"/>
      <c r="AV297" s="1200"/>
      <c r="AW297" s="1200"/>
      <c r="AX297" s="1200"/>
      <c r="AY297" s="1200"/>
      <c r="AZ297" s="1200"/>
      <c r="BA297" s="1200"/>
      <c r="BC297" s="1200"/>
      <c r="BE297" s="1200"/>
      <c r="BF297" s="1200"/>
      <c r="BG297" s="1200"/>
    </row>
    <row r="298" spans="18:59" x14ac:dyDescent="0.35">
      <c r="R298" s="1200"/>
      <c r="S298" s="1200"/>
      <c r="W298" s="1200"/>
      <c r="X298" s="1200"/>
      <c r="AE298" s="1200"/>
      <c r="AF298" s="1200"/>
      <c r="AV298" s="1200"/>
      <c r="AW298" s="1200"/>
      <c r="AX298" s="1200"/>
      <c r="AY298" s="1200"/>
      <c r="AZ298" s="1200"/>
      <c r="BA298" s="1200"/>
      <c r="BC298" s="1200"/>
      <c r="BE298" s="1200"/>
      <c r="BF298" s="1200"/>
      <c r="BG298" s="1200"/>
    </row>
    <row r="299" spans="18:59" x14ac:dyDescent="0.35">
      <c r="R299" s="1200"/>
      <c r="S299" s="1200"/>
      <c r="W299" s="1200"/>
      <c r="X299" s="1200"/>
      <c r="AE299" s="1200"/>
      <c r="AF299" s="1200"/>
      <c r="AV299" s="1200"/>
      <c r="AW299" s="1200"/>
      <c r="AX299" s="1200"/>
      <c r="AY299" s="1200"/>
      <c r="AZ299" s="1200"/>
      <c r="BA299" s="1200"/>
      <c r="BC299" s="1200"/>
      <c r="BE299" s="1200"/>
      <c r="BF299" s="1200"/>
      <c r="BG299" s="1200"/>
    </row>
    <row r="300" spans="18:59" x14ac:dyDescent="0.35">
      <c r="R300" s="1200"/>
      <c r="S300" s="1200"/>
      <c r="W300" s="1200"/>
      <c r="X300" s="1200"/>
      <c r="AE300" s="1200"/>
      <c r="AF300" s="1200"/>
      <c r="AV300" s="1200"/>
      <c r="AW300" s="1200"/>
      <c r="AX300" s="1200"/>
      <c r="AY300" s="1200"/>
      <c r="AZ300" s="1200"/>
      <c r="BA300" s="1200"/>
      <c r="BC300" s="1200"/>
      <c r="BE300" s="1200"/>
      <c r="BF300" s="1200"/>
      <c r="BG300" s="1200"/>
    </row>
    <row r="301" spans="18:59" x14ac:dyDescent="0.35">
      <c r="R301" s="1200"/>
      <c r="S301" s="1200"/>
      <c r="W301" s="1200"/>
      <c r="X301" s="1200"/>
      <c r="AE301" s="1200"/>
      <c r="AF301" s="1200"/>
      <c r="AV301" s="1200"/>
      <c r="AW301" s="1200"/>
      <c r="AX301" s="1200"/>
      <c r="AY301" s="1200"/>
      <c r="AZ301" s="1200"/>
      <c r="BA301" s="1200"/>
      <c r="BC301" s="1200"/>
      <c r="BE301" s="1200"/>
      <c r="BF301" s="1200"/>
      <c r="BG301" s="1200"/>
    </row>
    <row r="302" spans="18:59" x14ac:dyDescent="0.35">
      <c r="R302" s="1200"/>
      <c r="S302" s="1200"/>
      <c r="W302" s="1200"/>
      <c r="X302" s="1200"/>
      <c r="AE302" s="1200"/>
      <c r="AF302" s="1200"/>
      <c r="AV302" s="1200"/>
      <c r="AW302" s="1200"/>
      <c r="AX302" s="1200"/>
      <c r="AY302" s="1200"/>
      <c r="AZ302" s="1200"/>
      <c r="BA302" s="1200"/>
      <c r="BC302" s="1200"/>
      <c r="BE302" s="1200"/>
      <c r="BF302" s="1200"/>
      <c r="BG302" s="1200"/>
    </row>
    <row r="303" spans="18:59" x14ac:dyDescent="0.35">
      <c r="R303" s="1200"/>
      <c r="S303" s="1200"/>
      <c r="W303" s="1200"/>
      <c r="X303" s="1200"/>
      <c r="AE303" s="1200"/>
      <c r="AF303" s="1200"/>
      <c r="AV303" s="1200"/>
      <c r="AW303" s="1200"/>
      <c r="AX303" s="1200"/>
      <c r="AY303" s="1200"/>
      <c r="AZ303" s="1200"/>
      <c r="BA303" s="1200"/>
      <c r="BC303" s="1200"/>
      <c r="BE303" s="1200"/>
      <c r="BF303" s="1200"/>
      <c r="BG303" s="1200"/>
    </row>
    <row r="304" spans="18:59" x14ac:dyDescent="0.35">
      <c r="R304" s="1200"/>
      <c r="S304" s="1200"/>
      <c r="W304" s="1200"/>
      <c r="X304" s="1200"/>
      <c r="AE304" s="1200"/>
      <c r="AF304" s="1200"/>
      <c r="AV304" s="1200"/>
      <c r="AW304" s="1200"/>
      <c r="AX304" s="1200"/>
      <c r="AY304" s="1200"/>
      <c r="AZ304" s="1200"/>
      <c r="BA304" s="1200"/>
      <c r="BC304" s="1200"/>
      <c r="BE304" s="1200"/>
      <c r="BF304" s="1200"/>
      <c r="BG304" s="1200"/>
    </row>
    <row r="305" spans="18:59" x14ac:dyDescent="0.35">
      <c r="R305" s="1200"/>
      <c r="S305" s="1200"/>
      <c r="W305" s="1200"/>
      <c r="X305" s="1200"/>
      <c r="AE305" s="1200"/>
      <c r="AF305" s="1200"/>
      <c r="AV305" s="1200"/>
      <c r="AW305" s="1200"/>
      <c r="AX305" s="1200"/>
      <c r="AY305" s="1200"/>
      <c r="AZ305" s="1200"/>
      <c r="BA305" s="1200"/>
      <c r="BC305" s="1200"/>
      <c r="BE305" s="1200"/>
      <c r="BF305" s="1200"/>
      <c r="BG305" s="1200"/>
    </row>
    <row r="306" spans="18:59" x14ac:dyDescent="0.35">
      <c r="R306" s="1200"/>
      <c r="S306" s="1200"/>
      <c r="W306" s="1200"/>
      <c r="X306" s="1200"/>
      <c r="AE306" s="1200"/>
      <c r="AF306" s="1200"/>
      <c r="AV306" s="1200"/>
      <c r="AW306" s="1200"/>
      <c r="AX306" s="1200"/>
      <c r="AY306" s="1200"/>
      <c r="AZ306" s="1200"/>
      <c r="BA306" s="1200"/>
      <c r="BC306" s="1200"/>
      <c r="BE306" s="1200"/>
      <c r="BF306" s="1200"/>
      <c r="BG306" s="1200"/>
    </row>
    <row r="307" spans="18:59" x14ac:dyDescent="0.35">
      <c r="R307" s="1200"/>
      <c r="S307" s="1200"/>
      <c r="W307" s="1200"/>
      <c r="X307" s="1200"/>
      <c r="AE307" s="1200"/>
      <c r="AF307" s="1200"/>
      <c r="AV307" s="1200"/>
      <c r="AW307" s="1200"/>
      <c r="AX307" s="1200"/>
      <c r="AY307" s="1200"/>
      <c r="AZ307" s="1200"/>
      <c r="BA307" s="1200"/>
      <c r="BC307" s="1200"/>
      <c r="BE307" s="1200"/>
      <c r="BF307" s="1200"/>
      <c r="BG307" s="1200"/>
    </row>
    <row r="308" spans="18:59" x14ac:dyDescent="0.35">
      <c r="R308" s="1200"/>
      <c r="S308" s="1200"/>
      <c r="W308" s="1200"/>
      <c r="X308" s="1200"/>
      <c r="AE308" s="1200"/>
      <c r="AF308" s="1200"/>
      <c r="AV308" s="1200"/>
      <c r="AW308" s="1200"/>
      <c r="AX308" s="1200"/>
      <c r="AY308" s="1200"/>
      <c r="AZ308" s="1200"/>
      <c r="BA308" s="1200"/>
      <c r="BC308" s="1200"/>
      <c r="BE308" s="1200"/>
      <c r="BF308" s="1200"/>
      <c r="BG308" s="1200"/>
    </row>
    <row r="309" spans="18:59" x14ac:dyDescent="0.35">
      <c r="R309" s="1200"/>
      <c r="S309" s="1200"/>
      <c r="W309" s="1200"/>
      <c r="X309" s="1200"/>
      <c r="AE309" s="1200"/>
      <c r="AF309" s="1200"/>
      <c r="AV309" s="1200"/>
      <c r="AW309" s="1200"/>
      <c r="AX309" s="1200"/>
      <c r="AY309" s="1200"/>
      <c r="AZ309" s="1200"/>
      <c r="BA309" s="1200"/>
      <c r="BC309" s="1200"/>
      <c r="BE309" s="1200"/>
      <c r="BF309" s="1200"/>
      <c r="BG309" s="1200"/>
    </row>
    <row r="310" spans="18:59" x14ac:dyDescent="0.35">
      <c r="R310" s="1200"/>
      <c r="S310" s="1200"/>
      <c r="W310" s="1200"/>
      <c r="X310" s="1200"/>
      <c r="AE310" s="1200"/>
      <c r="AF310" s="1200"/>
      <c r="AV310" s="1200"/>
      <c r="AW310" s="1200"/>
      <c r="AX310" s="1200"/>
      <c r="AY310" s="1200"/>
      <c r="AZ310" s="1200"/>
      <c r="BA310" s="1200"/>
      <c r="BC310" s="1200"/>
      <c r="BE310" s="1200"/>
      <c r="BF310" s="1200"/>
      <c r="BG310" s="1200"/>
    </row>
    <row r="311" spans="18:59" x14ac:dyDescent="0.35">
      <c r="R311" s="1200"/>
      <c r="S311" s="1200"/>
      <c r="W311" s="1200"/>
      <c r="X311" s="1200"/>
      <c r="AE311" s="1200"/>
      <c r="AF311" s="1200"/>
      <c r="AV311" s="1200"/>
      <c r="AW311" s="1200"/>
      <c r="AX311" s="1200"/>
      <c r="AY311" s="1200"/>
      <c r="AZ311" s="1200"/>
      <c r="BA311" s="1200"/>
      <c r="BC311" s="1200"/>
      <c r="BE311" s="1200"/>
      <c r="BF311" s="1200"/>
      <c r="BG311" s="1200"/>
    </row>
    <row r="312" spans="18:59" x14ac:dyDescent="0.35">
      <c r="R312" s="1200"/>
      <c r="S312" s="1200"/>
      <c r="W312" s="1200"/>
      <c r="X312" s="1200"/>
      <c r="AE312" s="1200"/>
      <c r="AF312" s="1200"/>
      <c r="AV312" s="1200"/>
      <c r="AW312" s="1200"/>
      <c r="AX312" s="1200"/>
      <c r="AY312" s="1200"/>
      <c r="AZ312" s="1200"/>
      <c r="BA312" s="1200"/>
      <c r="BC312" s="1200"/>
      <c r="BE312" s="1200"/>
      <c r="BF312" s="1200"/>
      <c r="BG312" s="1200"/>
    </row>
    <row r="313" spans="18:59" x14ac:dyDescent="0.35">
      <c r="R313" s="1200"/>
      <c r="S313" s="1200"/>
      <c r="W313" s="1200"/>
      <c r="X313" s="1200"/>
      <c r="AE313" s="1200"/>
      <c r="AF313" s="1200"/>
      <c r="AV313" s="1200"/>
      <c r="AW313" s="1200"/>
      <c r="AX313" s="1200"/>
      <c r="AY313" s="1200"/>
      <c r="AZ313" s="1200"/>
      <c r="BA313" s="1200"/>
      <c r="BC313" s="1200"/>
      <c r="BE313" s="1200"/>
      <c r="BF313" s="1200"/>
      <c r="BG313" s="1200"/>
    </row>
    <row r="314" spans="18:59" x14ac:dyDescent="0.35">
      <c r="R314" s="1200"/>
      <c r="S314" s="1200"/>
      <c r="W314" s="1200"/>
      <c r="X314" s="1200"/>
      <c r="AE314" s="1200"/>
      <c r="AF314" s="1200"/>
      <c r="AV314" s="1200"/>
      <c r="AW314" s="1200"/>
      <c r="AX314" s="1200"/>
      <c r="AY314" s="1200"/>
      <c r="AZ314" s="1200"/>
      <c r="BA314" s="1200"/>
      <c r="BC314" s="1200"/>
      <c r="BE314" s="1200"/>
      <c r="BF314" s="1200"/>
      <c r="BG314" s="1200"/>
    </row>
    <row r="315" spans="18:59" x14ac:dyDescent="0.35">
      <c r="R315" s="1200"/>
      <c r="S315" s="1200"/>
      <c r="W315" s="1200"/>
      <c r="X315" s="1200"/>
      <c r="AE315" s="1200"/>
      <c r="AF315" s="1200"/>
      <c r="AV315" s="1200"/>
      <c r="AW315" s="1200"/>
      <c r="AX315" s="1200"/>
      <c r="AY315" s="1200"/>
      <c r="AZ315" s="1200"/>
      <c r="BA315" s="1200"/>
      <c r="BC315" s="1200"/>
      <c r="BE315" s="1200"/>
      <c r="BF315" s="1200"/>
      <c r="BG315" s="1200"/>
    </row>
    <row r="316" spans="18:59" x14ac:dyDescent="0.35">
      <c r="R316" s="1200"/>
      <c r="S316" s="1200"/>
      <c r="W316" s="1200"/>
      <c r="X316" s="1200"/>
      <c r="AE316" s="1200"/>
      <c r="AF316" s="1200"/>
      <c r="AV316" s="1200"/>
      <c r="AW316" s="1200"/>
      <c r="AX316" s="1200"/>
      <c r="AY316" s="1200"/>
      <c r="AZ316" s="1200"/>
      <c r="BA316" s="1200"/>
      <c r="BC316" s="1200"/>
      <c r="BE316" s="1200"/>
      <c r="BF316" s="1200"/>
      <c r="BG316" s="1200"/>
    </row>
    <row r="317" spans="18:59" x14ac:dyDescent="0.35">
      <c r="R317" s="1200"/>
      <c r="S317" s="1200"/>
      <c r="W317" s="1200"/>
      <c r="X317" s="1200"/>
      <c r="AE317" s="1200"/>
      <c r="AF317" s="1200"/>
      <c r="AV317" s="1200"/>
      <c r="AW317" s="1200"/>
      <c r="AX317" s="1200"/>
      <c r="AY317" s="1200"/>
      <c r="AZ317" s="1200"/>
      <c r="BA317" s="1200"/>
      <c r="BC317" s="1200"/>
      <c r="BE317" s="1200"/>
      <c r="BF317" s="1200"/>
      <c r="BG317" s="1200"/>
    </row>
    <row r="318" spans="18:59" x14ac:dyDescent="0.35">
      <c r="R318" s="1200"/>
      <c r="S318" s="1200"/>
      <c r="W318" s="1200"/>
      <c r="X318" s="1200"/>
      <c r="AE318" s="1200"/>
      <c r="AF318" s="1200"/>
      <c r="AV318" s="1200"/>
      <c r="AW318" s="1200"/>
      <c r="AX318" s="1200"/>
      <c r="AY318" s="1200"/>
      <c r="AZ318" s="1200"/>
      <c r="BA318" s="1200"/>
      <c r="BC318" s="1200"/>
      <c r="BE318" s="1200"/>
      <c r="BF318" s="1200"/>
      <c r="BG318" s="1200"/>
    </row>
    <row r="319" spans="18:59" x14ac:dyDescent="0.35">
      <c r="R319" s="1200"/>
      <c r="S319" s="1200"/>
      <c r="W319" s="1200"/>
      <c r="X319" s="1200"/>
      <c r="AE319" s="1200"/>
      <c r="AF319" s="1200"/>
      <c r="AV319" s="1200"/>
      <c r="AW319" s="1200"/>
      <c r="AX319" s="1200"/>
      <c r="AY319" s="1200"/>
      <c r="AZ319" s="1200"/>
      <c r="BA319" s="1200"/>
      <c r="BC319" s="1200"/>
      <c r="BE319" s="1200"/>
      <c r="BF319" s="1200"/>
      <c r="BG319" s="1200"/>
    </row>
    <row r="320" spans="18:59" x14ac:dyDescent="0.35">
      <c r="R320" s="1200"/>
      <c r="S320" s="1200"/>
      <c r="W320" s="1200"/>
      <c r="X320" s="1200"/>
      <c r="AE320" s="1200"/>
      <c r="AF320" s="1200"/>
      <c r="AV320" s="1200"/>
      <c r="AW320" s="1200"/>
      <c r="AX320" s="1200"/>
      <c r="AY320" s="1200"/>
      <c r="AZ320" s="1200"/>
      <c r="BA320" s="1200"/>
      <c r="BC320" s="1200"/>
      <c r="BE320" s="1200"/>
      <c r="BF320" s="1200"/>
      <c r="BG320" s="1200"/>
    </row>
    <row r="321" spans="18:59" x14ac:dyDescent="0.35">
      <c r="R321" s="1200"/>
      <c r="S321" s="1200"/>
      <c r="W321" s="1200"/>
      <c r="X321" s="1200"/>
      <c r="AE321" s="1200"/>
      <c r="AF321" s="1200"/>
      <c r="AV321" s="1200"/>
      <c r="AW321" s="1200"/>
      <c r="AX321" s="1200"/>
      <c r="AY321" s="1200"/>
      <c r="AZ321" s="1200"/>
      <c r="BA321" s="1200"/>
      <c r="BC321" s="1200"/>
      <c r="BE321" s="1200"/>
      <c r="BF321" s="1200"/>
      <c r="BG321" s="1200"/>
    </row>
    <row r="322" spans="18:59" x14ac:dyDescent="0.35">
      <c r="R322" s="1200"/>
      <c r="S322" s="1200"/>
      <c r="W322" s="1200"/>
      <c r="X322" s="1200"/>
      <c r="AE322" s="1200"/>
      <c r="AF322" s="1200"/>
      <c r="AV322" s="1200"/>
      <c r="AW322" s="1200"/>
      <c r="AX322" s="1200"/>
      <c r="AY322" s="1200"/>
      <c r="AZ322" s="1200"/>
      <c r="BA322" s="1200"/>
      <c r="BC322" s="1200"/>
      <c r="BE322" s="1200"/>
      <c r="BF322" s="1200"/>
      <c r="BG322" s="1200"/>
    </row>
    <row r="323" spans="18:59" x14ac:dyDescent="0.35">
      <c r="R323" s="1200"/>
      <c r="S323" s="1200"/>
      <c r="W323" s="1200"/>
      <c r="X323" s="1200"/>
      <c r="AE323" s="1200"/>
      <c r="AF323" s="1200"/>
      <c r="AV323" s="1200"/>
      <c r="AW323" s="1200"/>
      <c r="AX323" s="1200"/>
      <c r="AY323" s="1200"/>
      <c r="AZ323" s="1200"/>
      <c r="BA323" s="1200"/>
      <c r="BC323" s="1200"/>
      <c r="BE323" s="1200"/>
      <c r="BF323" s="1200"/>
      <c r="BG323" s="1200"/>
    </row>
    <row r="324" spans="18:59" x14ac:dyDescent="0.35">
      <c r="R324" s="1200"/>
      <c r="S324" s="1200"/>
      <c r="W324" s="1200"/>
      <c r="X324" s="1200"/>
      <c r="AE324" s="1200"/>
      <c r="AF324" s="1200"/>
      <c r="AV324" s="1200"/>
      <c r="AW324" s="1200"/>
      <c r="AX324" s="1200"/>
      <c r="AY324" s="1200"/>
      <c r="AZ324" s="1200"/>
      <c r="BA324" s="1200"/>
      <c r="BC324" s="1200"/>
      <c r="BE324" s="1200"/>
      <c r="BF324" s="1200"/>
      <c r="BG324" s="1200"/>
    </row>
    <row r="325" spans="18:59" x14ac:dyDescent="0.35">
      <c r="R325" s="1200"/>
      <c r="S325" s="1200"/>
      <c r="W325" s="1200"/>
      <c r="X325" s="1200"/>
      <c r="AE325" s="1200"/>
      <c r="AF325" s="1200"/>
      <c r="AV325" s="1200"/>
      <c r="AW325" s="1200"/>
      <c r="AX325" s="1200"/>
      <c r="AY325" s="1200"/>
      <c r="AZ325" s="1200"/>
      <c r="BA325" s="1200"/>
      <c r="BC325" s="1200"/>
      <c r="BE325" s="1200"/>
      <c r="BF325" s="1200"/>
      <c r="BG325" s="1200"/>
    </row>
    <row r="326" spans="18:59" x14ac:dyDescent="0.35">
      <c r="R326" s="1200"/>
      <c r="S326" s="1200"/>
      <c r="W326" s="1200"/>
      <c r="X326" s="1200"/>
      <c r="AE326" s="1200"/>
      <c r="AF326" s="1200"/>
      <c r="AV326" s="1200"/>
      <c r="AW326" s="1200"/>
      <c r="AX326" s="1200"/>
      <c r="AY326" s="1200"/>
      <c r="AZ326" s="1200"/>
      <c r="BA326" s="1200"/>
      <c r="BC326" s="1200"/>
      <c r="BE326" s="1200"/>
      <c r="BF326" s="1200"/>
      <c r="BG326" s="1200"/>
    </row>
    <row r="327" spans="18:59" x14ac:dyDescent="0.35">
      <c r="R327" s="1200"/>
      <c r="S327" s="1200"/>
      <c r="W327" s="1200"/>
      <c r="X327" s="1200"/>
      <c r="AE327" s="1200"/>
      <c r="AF327" s="1200"/>
      <c r="AV327" s="1200"/>
      <c r="AW327" s="1200"/>
      <c r="AX327" s="1200"/>
      <c r="AY327" s="1200"/>
      <c r="AZ327" s="1200"/>
      <c r="BA327" s="1200"/>
      <c r="BC327" s="1200"/>
      <c r="BE327" s="1200"/>
      <c r="BF327" s="1200"/>
      <c r="BG327" s="1200"/>
    </row>
    <row r="328" spans="18:59" x14ac:dyDescent="0.35">
      <c r="R328" s="1200"/>
      <c r="S328" s="1200"/>
      <c r="W328" s="1200"/>
      <c r="X328" s="1200"/>
      <c r="AE328" s="1200"/>
      <c r="AF328" s="1200"/>
      <c r="AV328" s="1200"/>
      <c r="AW328" s="1200"/>
      <c r="AX328" s="1200"/>
      <c r="AY328" s="1200"/>
      <c r="AZ328" s="1200"/>
      <c r="BA328" s="1200"/>
      <c r="BC328" s="1200"/>
      <c r="BE328" s="1200"/>
      <c r="BF328" s="1200"/>
      <c r="BG328" s="1200"/>
    </row>
    <row r="329" spans="18:59" x14ac:dyDescent="0.35">
      <c r="R329" s="1200"/>
      <c r="S329" s="1200"/>
      <c r="W329" s="1200"/>
      <c r="X329" s="1200"/>
      <c r="AE329" s="1200"/>
      <c r="AF329" s="1200"/>
      <c r="AV329" s="1200"/>
      <c r="AW329" s="1200"/>
      <c r="AX329" s="1200"/>
      <c r="AY329" s="1200"/>
      <c r="AZ329" s="1200"/>
      <c r="BA329" s="1200"/>
      <c r="BC329" s="1200"/>
      <c r="BE329" s="1200"/>
      <c r="BF329" s="1200"/>
      <c r="BG329" s="1200"/>
    </row>
    <row r="330" spans="18:59" x14ac:dyDescent="0.35">
      <c r="R330" s="1200"/>
      <c r="S330" s="1200"/>
      <c r="W330" s="1200"/>
      <c r="X330" s="1200"/>
      <c r="AE330" s="1200"/>
      <c r="AF330" s="1200"/>
      <c r="AV330" s="1200"/>
      <c r="AW330" s="1200"/>
      <c r="AX330" s="1200"/>
      <c r="AY330" s="1200"/>
      <c r="AZ330" s="1200"/>
      <c r="BA330" s="1200"/>
      <c r="BC330" s="1200"/>
      <c r="BE330" s="1200"/>
      <c r="BF330" s="1200"/>
      <c r="BG330" s="1200"/>
    </row>
    <row r="331" spans="18:59" x14ac:dyDescent="0.35">
      <c r="R331" s="1200"/>
      <c r="S331" s="1200"/>
      <c r="W331" s="1200"/>
      <c r="X331" s="1200"/>
      <c r="AE331" s="1200"/>
      <c r="AF331" s="1200"/>
      <c r="AV331" s="1200"/>
      <c r="AW331" s="1200"/>
      <c r="AX331" s="1200"/>
      <c r="AY331" s="1200"/>
      <c r="AZ331" s="1200"/>
      <c r="BA331" s="1200"/>
      <c r="BC331" s="1200"/>
      <c r="BE331" s="1200"/>
      <c r="BF331" s="1200"/>
      <c r="BG331" s="1200"/>
    </row>
    <row r="332" spans="18:59" x14ac:dyDescent="0.35">
      <c r="R332" s="1200"/>
      <c r="S332" s="1200"/>
      <c r="W332" s="1200"/>
      <c r="X332" s="1200"/>
      <c r="AE332" s="1200"/>
      <c r="AF332" s="1200"/>
      <c r="AV332" s="1200"/>
      <c r="AW332" s="1200"/>
      <c r="AX332" s="1200"/>
      <c r="AY332" s="1200"/>
      <c r="AZ332" s="1200"/>
      <c r="BA332" s="1200"/>
      <c r="BC332" s="1200"/>
      <c r="BE332" s="1200"/>
      <c r="BF332" s="1200"/>
      <c r="BG332" s="1200"/>
    </row>
    <row r="333" spans="18:59" x14ac:dyDescent="0.35">
      <c r="R333" s="1200"/>
      <c r="S333" s="1200"/>
      <c r="W333" s="1200"/>
      <c r="X333" s="1200"/>
      <c r="AE333" s="1200"/>
      <c r="AF333" s="1200"/>
      <c r="AV333" s="1200"/>
      <c r="AW333" s="1200"/>
      <c r="AX333" s="1200"/>
      <c r="AY333" s="1200"/>
      <c r="AZ333" s="1200"/>
      <c r="BA333" s="1200"/>
      <c r="BC333" s="1200"/>
      <c r="BE333" s="1200"/>
      <c r="BF333" s="1200"/>
      <c r="BG333" s="1200"/>
    </row>
    <row r="334" spans="18:59" x14ac:dyDescent="0.35">
      <c r="R334" s="1200"/>
      <c r="S334" s="1200"/>
      <c r="W334" s="1200"/>
      <c r="X334" s="1200"/>
      <c r="AE334" s="1200"/>
      <c r="AF334" s="1200"/>
      <c r="AV334" s="1200"/>
      <c r="AW334" s="1200"/>
      <c r="AX334" s="1200"/>
      <c r="AY334" s="1200"/>
      <c r="AZ334" s="1200"/>
      <c r="BA334" s="1200"/>
      <c r="BC334" s="1200"/>
      <c r="BE334" s="1200"/>
      <c r="BF334" s="1200"/>
      <c r="BG334" s="1200"/>
    </row>
    <row r="335" spans="18:59" x14ac:dyDescent="0.35">
      <c r="R335" s="1200"/>
      <c r="S335" s="1200"/>
      <c r="W335" s="1200"/>
      <c r="X335" s="1200"/>
      <c r="AE335" s="1200"/>
      <c r="AF335" s="1200"/>
      <c r="AV335" s="1200"/>
      <c r="AW335" s="1200"/>
      <c r="AX335" s="1200"/>
      <c r="AY335" s="1200"/>
      <c r="AZ335" s="1200"/>
      <c r="BA335" s="1200"/>
      <c r="BC335" s="1200"/>
      <c r="BE335" s="1200"/>
      <c r="BF335" s="1200"/>
      <c r="BG335" s="1200"/>
    </row>
    <row r="336" spans="18:59" x14ac:dyDescent="0.35">
      <c r="R336" s="1200"/>
      <c r="S336" s="1200"/>
      <c r="W336" s="1200"/>
      <c r="X336" s="1200"/>
      <c r="AE336" s="1200"/>
      <c r="AF336" s="1200"/>
      <c r="AV336" s="1200"/>
      <c r="AW336" s="1200"/>
      <c r="AX336" s="1200"/>
      <c r="AY336" s="1200"/>
      <c r="AZ336" s="1200"/>
      <c r="BA336" s="1200"/>
      <c r="BC336" s="1200"/>
      <c r="BE336" s="1200"/>
      <c r="BF336" s="1200"/>
      <c r="BG336" s="1200"/>
    </row>
    <row r="337" spans="18:59" x14ac:dyDescent="0.35">
      <c r="R337" s="1200"/>
      <c r="S337" s="1200"/>
      <c r="W337" s="1200"/>
      <c r="X337" s="1200"/>
      <c r="AE337" s="1200"/>
      <c r="AF337" s="1200"/>
      <c r="AV337" s="1200"/>
      <c r="AW337" s="1200"/>
      <c r="AX337" s="1200"/>
      <c r="AY337" s="1200"/>
      <c r="AZ337" s="1200"/>
      <c r="BA337" s="1200"/>
      <c r="BC337" s="1200"/>
      <c r="BE337" s="1200"/>
      <c r="BF337" s="1200"/>
      <c r="BG337" s="1200"/>
    </row>
    <row r="338" spans="18:59" x14ac:dyDescent="0.35">
      <c r="R338" s="1200"/>
      <c r="S338" s="1200"/>
      <c r="W338" s="1200"/>
      <c r="X338" s="1200"/>
      <c r="AE338" s="1200"/>
      <c r="AF338" s="1200"/>
      <c r="AV338" s="1200"/>
      <c r="AW338" s="1200"/>
      <c r="AX338" s="1200"/>
      <c r="AY338" s="1200"/>
      <c r="AZ338" s="1200"/>
      <c r="BA338" s="1200"/>
      <c r="BC338" s="1200"/>
      <c r="BE338" s="1200"/>
      <c r="BF338" s="1200"/>
      <c r="BG338" s="1200"/>
    </row>
    <row r="339" spans="18:59" x14ac:dyDescent="0.35">
      <c r="R339" s="1200"/>
      <c r="S339" s="1200"/>
      <c r="W339" s="1200"/>
      <c r="X339" s="1200"/>
      <c r="AE339" s="1200"/>
      <c r="AF339" s="1200"/>
      <c r="AV339" s="1200"/>
      <c r="AW339" s="1200"/>
      <c r="AX339" s="1200"/>
      <c r="AY339" s="1200"/>
      <c r="AZ339" s="1200"/>
      <c r="BA339" s="1200"/>
      <c r="BC339" s="1200"/>
      <c r="BE339" s="1200"/>
      <c r="BF339" s="1200"/>
      <c r="BG339" s="1200"/>
    </row>
    <row r="340" spans="18:59" x14ac:dyDescent="0.35">
      <c r="R340" s="1200"/>
      <c r="S340" s="1200"/>
      <c r="W340" s="1200"/>
      <c r="X340" s="1200"/>
      <c r="AE340" s="1200"/>
      <c r="AF340" s="1200"/>
      <c r="AV340" s="1200"/>
      <c r="AW340" s="1200"/>
      <c r="AX340" s="1200"/>
      <c r="AY340" s="1200"/>
      <c r="AZ340" s="1200"/>
      <c r="BA340" s="1200"/>
      <c r="BC340" s="1200"/>
      <c r="BE340" s="1200"/>
      <c r="BF340" s="1200"/>
      <c r="BG340" s="1200"/>
    </row>
    <row r="341" spans="18:59" x14ac:dyDescent="0.35">
      <c r="R341" s="1200"/>
      <c r="S341" s="1200"/>
      <c r="W341" s="1200"/>
      <c r="X341" s="1200"/>
      <c r="AE341" s="1200"/>
      <c r="AF341" s="1200"/>
      <c r="AV341" s="1200"/>
      <c r="AW341" s="1200"/>
      <c r="AX341" s="1200"/>
      <c r="AY341" s="1200"/>
      <c r="AZ341" s="1200"/>
      <c r="BA341" s="1200"/>
      <c r="BC341" s="1200"/>
      <c r="BE341" s="1200"/>
      <c r="BF341" s="1200"/>
      <c r="BG341" s="1200"/>
    </row>
    <row r="342" spans="18:59" x14ac:dyDescent="0.35">
      <c r="R342" s="1200"/>
      <c r="S342" s="1200"/>
      <c r="W342" s="1200"/>
      <c r="X342" s="1200"/>
      <c r="AE342" s="1200"/>
      <c r="AF342" s="1200"/>
      <c r="AV342" s="1200"/>
      <c r="AW342" s="1200"/>
      <c r="AX342" s="1200"/>
      <c r="AY342" s="1200"/>
      <c r="AZ342" s="1200"/>
      <c r="BA342" s="1200"/>
      <c r="BC342" s="1200"/>
      <c r="BE342" s="1200"/>
      <c r="BF342" s="1200"/>
      <c r="BG342" s="1200"/>
    </row>
    <row r="343" spans="18:59" x14ac:dyDescent="0.35">
      <c r="R343" s="1200"/>
      <c r="S343" s="1200"/>
      <c r="W343" s="1200"/>
      <c r="X343" s="1200"/>
      <c r="AE343" s="1200"/>
      <c r="AF343" s="1200"/>
      <c r="AV343" s="1200"/>
      <c r="AW343" s="1200"/>
      <c r="AX343" s="1200"/>
      <c r="AY343" s="1200"/>
      <c r="AZ343" s="1200"/>
      <c r="BA343" s="1200"/>
      <c r="BC343" s="1200"/>
      <c r="BE343" s="1200"/>
      <c r="BF343" s="1200"/>
      <c r="BG343" s="1200"/>
    </row>
    <row r="344" spans="18:59" x14ac:dyDescent="0.35">
      <c r="R344" s="1200"/>
      <c r="S344" s="1200"/>
      <c r="W344" s="1200"/>
      <c r="X344" s="1200"/>
      <c r="AE344" s="1200"/>
      <c r="AF344" s="1200"/>
      <c r="AV344" s="1200"/>
      <c r="AW344" s="1200"/>
      <c r="AX344" s="1200"/>
      <c r="AY344" s="1200"/>
      <c r="AZ344" s="1200"/>
      <c r="BA344" s="1200"/>
      <c r="BC344" s="1200"/>
      <c r="BE344" s="1200"/>
      <c r="BF344" s="1200"/>
      <c r="BG344" s="1200"/>
    </row>
    <row r="345" spans="18:59" x14ac:dyDescent="0.35">
      <c r="R345" s="1200"/>
      <c r="S345" s="1200"/>
      <c r="W345" s="1200"/>
      <c r="X345" s="1200"/>
      <c r="AE345" s="1200"/>
      <c r="AF345" s="1200"/>
      <c r="AV345" s="1200"/>
      <c r="AW345" s="1200"/>
      <c r="AX345" s="1200"/>
      <c r="AY345" s="1200"/>
      <c r="AZ345" s="1200"/>
      <c r="BA345" s="1200"/>
      <c r="BC345" s="1200"/>
      <c r="BE345" s="1200"/>
      <c r="BF345" s="1200"/>
      <c r="BG345" s="1200"/>
    </row>
    <row r="346" spans="18:59" x14ac:dyDescent="0.35">
      <c r="R346" s="1200"/>
      <c r="S346" s="1200"/>
      <c r="W346" s="1200"/>
      <c r="X346" s="1200"/>
      <c r="AE346" s="1200"/>
      <c r="AF346" s="1200"/>
      <c r="AV346" s="1200"/>
      <c r="AW346" s="1200"/>
      <c r="AX346" s="1200"/>
      <c r="AY346" s="1200"/>
      <c r="AZ346" s="1200"/>
      <c r="BA346" s="1200"/>
      <c r="BC346" s="1200"/>
      <c r="BE346" s="1200"/>
      <c r="BF346" s="1200"/>
      <c r="BG346" s="1200"/>
    </row>
    <row r="347" spans="18:59" x14ac:dyDescent="0.35">
      <c r="R347" s="1200"/>
      <c r="S347" s="1200"/>
      <c r="W347" s="1200"/>
      <c r="X347" s="1200"/>
      <c r="AE347" s="1200"/>
      <c r="AF347" s="1200"/>
      <c r="AV347" s="1200"/>
      <c r="AW347" s="1200"/>
      <c r="AX347" s="1200"/>
      <c r="AY347" s="1200"/>
      <c r="AZ347" s="1200"/>
      <c r="BA347" s="1200"/>
      <c r="BC347" s="1200"/>
      <c r="BE347" s="1200"/>
      <c r="BF347" s="1200"/>
      <c r="BG347" s="1200"/>
    </row>
    <row r="348" spans="18:59" x14ac:dyDescent="0.35">
      <c r="R348" s="1200"/>
      <c r="S348" s="1200"/>
      <c r="W348" s="1200"/>
      <c r="X348" s="1200"/>
      <c r="AE348" s="1200"/>
      <c r="AF348" s="1200"/>
      <c r="AV348" s="1200"/>
      <c r="AW348" s="1200"/>
      <c r="AX348" s="1200"/>
      <c r="AY348" s="1200"/>
      <c r="AZ348" s="1200"/>
      <c r="BA348" s="1200"/>
      <c r="BC348" s="1200"/>
      <c r="BE348" s="1200"/>
      <c r="BF348" s="1200"/>
      <c r="BG348" s="1200"/>
    </row>
    <row r="349" spans="18:59" x14ac:dyDescent="0.35">
      <c r="R349" s="1200"/>
      <c r="S349" s="1200"/>
      <c r="W349" s="1200"/>
      <c r="X349" s="1200"/>
      <c r="AE349" s="1200"/>
      <c r="AF349" s="1200"/>
      <c r="AV349" s="1200"/>
      <c r="AW349" s="1200"/>
      <c r="AX349" s="1200"/>
      <c r="AY349" s="1200"/>
      <c r="AZ349" s="1200"/>
      <c r="BA349" s="1200"/>
      <c r="BC349" s="1200"/>
      <c r="BE349" s="1200"/>
      <c r="BF349" s="1200"/>
      <c r="BG349" s="1200"/>
    </row>
    <row r="350" spans="18:59" x14ac:dyDescent="0.35">
      <c r="R350" s="1200"/>
      <c r="S350" s="1200"/>
      <c r="W350" s="1200"/>
      <c r="X350" s="1200"/>
      <c r="AE350" s="1200"/>
      <c r="AF350" s="1200"/>
      <c r="AV350" s="1200"/>
      <c r="AW350" s="1200"/>
      <c r="AX350" s="1200"/>
      <c r="AY350" s="1200"/>
      <c r="AZ350" s="1200"/>
      <c r="BA350" s="1200"/>
      <c r="BC350" s="1200"/>
      <c r="BE350" s="1200"/>
      <c r="BF350" s="1200"/>
      <c r="BG350" s="1200"/>
    </row>
    <row r="351" spans="18:59" x14ac:dyDescent="0.35">
      <c r="R351" s="1200"/>
      <c r="S351" s="1200"/>
      <c r="W351" s="1200"/>
      <c r="X351" s="1200"/>
      <c r="AE351" s="1200"/>
      <c r="AF351" s="1200"/>
      <c r="AV351" s="1200"/>
      <c r="AW351" s="1200"/>
      <c r="AX351" s="1200"/>
      <c r="AY351" s="1200"/>
      <c r="AZ351" s="1200"/>
      <c r="BA351" s="1200"/>
      <c r="BC351" s="1200"/>
      <c r="BE351" s="1200"/>
      <c r="BF351" s="1200"/>
      <c r="BG351" s="1200"/>
    </row>
    <row r="352" spans="18:59" x14ac:dyDescent="0.35">
      <c r="R352" s="1200"/>
      <c r="S352" s="1200"/>
      <c r="W352" s="1200"/>
      <c r="X352" s="1200"/>
      <c r="AE352" s="1200"/>
      <c r="AF352" s="1200"/>
      <c r="AV352" s="1200"/>
      <c r="AW352" s="1200"/>
      <c r="AX352" s="1200"/>
      <c r="AY352" s="1200"/>
      <c r="AZ352" s="1200"/>
      <c r="BA352" s="1200"/>
      <c r="BC352" s="1200"/>
      <c r="BE352" s="1200"/>
      <c r="BF352" s="1200"/>
      <c r="BG352" s="1200"/>
    </row>
    <row r="353" spans="18:59" x14ac:dyDescent="0.35">
      <c r="R353" s="1200"/>
      <c r="S353" s="1200"/>
      <c r="W353" s="1200"/>
      <c r="X353" s="1200"/>
      <c r="AE353" s="1200"/>
      <c r="AF353" s="1200"/>
      <c r="AV353" s="1200"/>
      <c r="AW353" s="1200"/>
      <c r="AX353" s="1200"/>
      <c r="AY353" s="1200"/>
      <c r="AZ353" s="1200"/>
      <c r="BA353" s="1200"/>
      <c r="BC353" s="1200"/>
      <c r="BE353" s="1200"/>
      <c r="BF353" s="1200"/>
      <c r="BG353" s="1200"/>
    </row>
    <row r="354" spans="18:59" x14ac:dyDescent="0.35">
      <c r="R354" s="1200"/>
      <c r="S354" s="1200"/>
      <c r="W354" s="1200"/>
      <c r="X354" s="1200"/>
      <c r="AE354" s="1200"/>
      <c r="AF354" s="1200"/>
      <c r="AV354" s="1200"/>
      <c r="AW354" s="1200"/>
      <c r="AX354" s="1200"/>
      <c r="AY354" s="1200"/>
      <c r="AZ354" s="1200"/>
      <c r="BA354" s="1200"/>
      <c r="BC354" s="1200"/>
      <c r="BE354" s="1200"/>
      <c r="BF354" s="1200"/>
      <c r="BG354" s="1200"/>
    </row>
    <row r="355" spans="18:59" x14ac:dyDescent="0.35">
      <c r="R355" s="1200"/>
      <c r="S355" s="1200"/>
      <c r="W355" s="1200"/>
      <c r="X355" s="1200"/>
      <c r="AE355" s="1200"/>
      <c r="AF355" s="1200"/>
      <c r="AV355" s="1200"/>
      <c r="AW355" s="1200"/>
      <c r="AX355" s="1200"/>
      <c r="AY355" s="1200"/>
      <c r="AZ355" s="1200"/>
      <c r="BA355" s="1200"/>
      <c r="BC355" s="1200"/>
      <c r="BE355" s="1200"/>
      <c r="BF355" s="1200"/>
      <c r="BG355" s="1200"/>
    </row>
    <row r="356" spans="18:59" x14ac:dyDescent="0.35">
      <c r="R356" s="1200"/>
      <c r="S356" s="1200"/>
      <c r="W356" s="1200"/>
      <c r="X356" s="1200"/>
      <c r="AE356" s="1200"/>
      <c r="AF356" s="1200"/>
      <c r="AV356" s="1200"/>
      <c r="AW356" s="1200"/>
      <c r="AX356" s="1200"/>
      <c r="AY356" s="1200"/>
      <c r="AZ356" s="1200"/>
      <c r="BA356" s="1200"/>
      <c r="BC356" s="1200"/>
      <c r="BE356" s="1200"/>
      <c r="BF356" s="1200"/>
      <c r="BG356" s="1200"/>
    </row>
    <row r="357" spans="18:59" x14ac:dyDescent="0.35">
      <c r="R357" s="1200"/>
      <c r="S357" s="1200"/>
      <c r="W357" s="1200"/>
      <c r="X357" s="1200"/>
      <c r="AE357" s="1200"/>
      <c r="AF357" s="1200"/>
      <c r="AV357" s="1200"/>
      <c r="AW357" s="1200"/>
      <c r="AX357" s="1200"/>
      <c r="AY357" s="1200"/>
      <c r="AZ357" s="1200"/>
      <c r="BA357" s="1200"/>
      <c r="BC357" s="1200"/>
      <c r="BE357" s="1200"/>
      <c r="BF357" s="1200"/>
      <c r="BG357" s="1200"/>
    </row>
    <row r="358" spans="18:59" x14ac:dyDescent="0.35">
      <c r="R358" s="1200"/>
      <c r="S358" s="1200"/>
      <c r="W358" s="1200"/>
      <c r="X358" s="1200"/>
      <c r="AE358" s="1200"/>
      <c r="AF358" s="1200"/>
      <c r="AV358" s="1200"/>
      <c r="AW358" s="1200"/>
      <c r="AX358" s="1200"/>
      <c r="AY358" s="1200"/>
      <c r="AZ358" s="1200"/>
      <c r="BA358" s="1200"/>
      <c r="BC358" s="1200"/>
      <c r="BE358" s="1200"/>
      <c r="BF358" s="1200"/>
      <c r="BG358" s="1200"/>
    </row>
    <row r="359" spans="18:59" x14ac:dyDescent="0.35">
      <c r="R359" s="1200"/>
      <c r="S359" s="1200"/>
      <c r="W359" s="1200"/>
      <c r="X359" s="1200"/>
      <c r="AE359" s="1200"/>
      <c r="AF359" s="1200"/>
      <c r="AV359" s="1200"/>
      <c r="AW359" s="1200"/>
      <c r="AX359" s="1200"/>
      <c r="AY359" s="1200"/>
      <c r="AZ359" s="1200"/>
      <c r="BA359" s="1200"/>
      <c r="BC359" s="1200"/>
      <c r="BE359" s="1200"/>
      <c r="BF359" s="1200"/>
      <c r="BG359" s="1200"/>
    </row>
    <row r="360" spans="18:59" x14ac:dyDescent="0.35">
      <c r="R360" s="1200"/>
      <c r="S360" s="1200"/>
      <c r="W360" s="1200"/>
      <c r="X360" s="1200"/>
      <c r="AE360" s="1200"/>
      <c r="AF360" s="1200"/>
      <c r="AV360" s="1200"/>
      <c r="AW360" s="1200"/>
      <c r="AX360" s="1200"/>
      <c r="AY360" s="1200"/>
      <c r="AZ360" s="1200"/>
      <c r="BA360" s="1200"/>
      <c r="BC360" s="1200"/>
      <c r="BE360" s="1200"/>
      <c r="BF360" s="1200"/>
      <c r="BG360" s="1200"/>
    </row>
    <row r="361" spans="18:59" x14ac:dyDescent="0.35">
      <c r="R361" s="1200"/>
      <c r="S361" s="1200"/>
      <c r="W361" s="1200"/>
      <c r="X361" s="1200"/>
      <c r="AE361" s="1200"/>
      <c r="AF361" s="1200"/>
      <c r="AV361" s="1200"/>
      <c r="AW361" s="1200"/>
      <c r="AX361" s="1200"/>
      <c r="AY361" s="1200"/>
      <c r="AZ361" s="1200"/>
      <c r="BA361" s="1200"/>
      <c r="BC361" s="1200"/>
      <c r="BE361" s="1200"/>
      <c r="BF361" s="1200"/>
      <c r="BG361" s="1200"/>
    </row>
    <row r="362" spans="18:59" x14ac:dyDescent="0.35">
      <c r="R362" s="1200"/>
      <c r="S362" s="1200"/>
      <c r="W362" s="1200"/>
      <c r="X362" s="1200"/>
      <c r="AE362" s="1200"/>
      <c r="AF362" s="1200"/>
      <c r="AV362" s="1200"/>
      <c r="AW362" s="1200"/>
      <c r="AX362" s="1200"/>
      <c r="AY362" s="1200"/>
      <c r="AZ362" s="1200"/>
      <c r="BA362" s="1200"/>
      <c r="BC362" s="1200"/>
      <c r="BE362" s="1200"/>
      <c r="BF362" s="1200"/>
      <c r="BG362" s="1200"/>
    </row>
    <row r="363" spans="18:59" x14ac:dyDescent="0.35">
      <c r="R363" s="1200"/>
      <c r="S363" s="1200"/>
      <c r="W363" s="1200"/>
      <c r="X363" s="1200"/>
      <c r="AE363" s="1200"/>
      <c r="AF363" s="1200"/>
      <c r="AV363" s="1200"/>
      <c r="AW363" s="1200"/>
      <c r="AX363" s="1200"/>
      <c r="AY363" s="1200"/>
      <c r="AZ363" s="1200"/>
      <c r="BA363" s="1200"/>
      <c r="BC363" s="1200"/>
      <c r="BE363" s="1200"/>
      <c r="BF363" s="1200"/>
      <c r="BG363" s="1200"/>
    </row>
    <row r="364" spans="18:59" x14ac:dyDescent="0.35">
      <c r="R364" s="1200"/>
      <c r="S364" s="1200"/>
      <c r="W364" s="1200"/>
      <c r="X364" s="1200"/>
      <c r="AE364" s="1200"/>
      <c r="AF364" s="1200"/>
      <c r="AV364" s="1200"/>
      <c r="AW364" s="1200"/>
      <c r="AX364" s="1200"/>
      <c r="AY364" s="1200"/>
      <c r="AZ364" s="1200"/>
      <c r="BA364" s="1200"/>
      <c r="BC364" s="1200"/>
      <c r="BE364" s="1200"/>
      <c r="BF364" s="1200"/>
      <c r="BG364" s="1200"/>
    </row>
    <row r="365" spans="18:59" x14ac:dyDescent="0.35">
      <c r="R365" s="1200"/>
      <c r="S365" s="1200"/>
      <c r="W365" s="1200"/>
      <c r="X365" s="1200"/>
      <c r="AE365" s="1200"/>
      <c r="AF365" s="1200"/>
      <c r="AV365" s="1200"/>
      <c r="AW365" s="1200"/>
      <c r="AX365" s="1200"/>
      <c r="AY365" s="1200"/>
      <c r="AZ365" s="1200"/>
      <c r="BA365" s="1200"/>
      <c r="BC365" s="1200"/>
      <c r="BE365" s="1200"/>
      <c r="BF365" s="1200"/>
      <c r="BG365" s="1200"/>
    </row>
    <row r="366" spans="18:59" x14ac:dyDescent="0.35">
      <c r="R366" s="1200"/>
      <c r="S366" s="1200"/>
      <c r="W366" s="1200"/>
      <c r="X366" s="1200"/>
      <c r="AE366" s="1200"/>
      <c r="AF366" s="1200"/>
      <c r="AV366" s="1200"/>
      <c r="AW366" s="1200"/>
      <c r="AX366" s="1200"/>
      <c r="AY366" s="1200"/>
      <c r="AZ366" s="1200"/>
      <c r="BA366" s="1200"/>
      <c r="BC366" s="1200"/>
      <c r="BE366" s="1200"/>
      <c r="BF366" s="1200"/>
      <c r="BG366" s="1200"/>
    </row>
    <row r="367" spans="18:59" x14ac:dyDescent="0.35">
      <c r="R367" s="1200"/>
      <c r="S367" s="1200"/>
      <c r="W367" s="1200"/>
      <c r="X367" s="1200"/>
      <c r="AE367" s="1200"/>
      <c r="AF367" s="1200"/>
      <c r="AV367" s="1200"/>
      <c r="AW367" s="1200"/>
      <c r="AX367" s="1200"/>
      <c r="AY367" s="1200"/>
      <c r="AZ367" s="1200"/>
      <c r="BA367" s="1200"/>
      <c r="BC367" s="1200"/>
      <c r="BE367" s="1200"/>
      <c r="BF367" s="1200"/>
      <c r="BG367" s="1200"/>
    </row>
    <row r="368" spans="18:59" x14ac:dyDescent="0.35">
      <c r="R368" s="1200"/>
      <c r="S368" s="1200"/>
      <c r="W368" s="1200"/>
      <c r="X368" s="1200"/>
      <c r="AE368" s="1200"/>
      <c r="AF368" s="1200"/>
      <c r="AV368" s="1200"/>
      <c r="AW368" s="1200"/>
      <c r="AX368" s="1200"/>
      <c r="AY368" s="1200"/>
      <c r="AZ368" s="1200"/>
      <c r="BA368" s="1200"/>
      <c r="BC368" s="1200"/>
      <c r="BE368" s="1200"/>
      <c r="BF368" s="1200"/>
      <c r="BG368" s="1200"/>
    </row>
    <row r="369" spans="18:59" x14ac:dyDescent="0.35">
      <c r="R369" s="1200"/>
      <c r="S369" s="1200"/>
      <c r="W369" s="1200"/>
      <c r="X369" s="1200"/>
      <c r="AE369" s="1200"/>
      <c r="AF369" s="1200"/>
      <c r="AV369" s="1200"/>
      <c r="AW369" s="1200"/>
      <c r="AX369" s="1200"/>
      <c r="AY369" s="1200"/>
      <c r="AZ369" s="1200"/>
      <c r="BA369" s="1200"/>
      <c r="BC369" s="1200"/>
      <c r="BE369" s="1200"/>
      <c r="BF369" s="1200"/>
      <c r="BG369" s="1200"/>
    </row>
    <row r="370" spans="18:59" x14ac:dyDescent="0.35">
      <c r="R370" s="1200"/>
      <c r="S370" s="1200"/>
      <c r="W370" s="1200"/>
      <c r="X370" s="1200"/>
      <c r="AE370" s="1200"/>
      <c r="AF370" s="1200"/>
      <c r="AV370" s="1200"/>
      <c r="AW370" s="1200"/>
      <c r="AX370" s="1200"/>
      <c r="AY370" s="1200"/>
      <c r="AZ370" s="1200"/>
      <c r="BA370" s="1200"/>
      <c r="BC370" s="1200"/>
      <c r="BE370" s="1200"/>
      <c r="BF370" s="1200"/>
      <c r="BG370" s="1200"/>
    </row>
    <row r="371" spans="18:59" x14ac:dyDescent="0.35">
      <c r="R371" s="1200"/>
      <c r="S371" s="1200"/>
      <c r="W371" s="1200"/>
      <c r="X371" s="1200"/>
      <c r="AE371" s="1200"/>
      <c r="AF371" s="1200"/>
      <c r="AV371" s="1200"/>
      <c r="AW371" s="1200"/>
      <c r="AX371" s="1200"/>
      <c r="AY371" s="1200"/>
      <c r="AZ371" s="1200"/>
      <c r="BA371" s="1200"/>
      <c r="BC371" s="1200"/>
      <c r="BE371" s="1200"/>
      <c r="BF371" s="1200"/>
      <c r="BG371" s="1200"/>
    </row>
    <row r="372" spans="18:59" x14ac:dyDescent="0.35">
      <c r="R372" s="1200"/>
      <c r="S372" s="1200"/>
      <c r="W372" s="1200"/>
      <c r="X372" s="1200"/>
      <c r="AE372" s="1200"/>
      <c r="AF372" s="1200"/>
      <c r="AV372" s="1200"/>
      <c r="AW372" s="1200"/>
      <c r="AX372" s="1200"/>
      <c r="AY372" s="1200"/>
      <c r="AZ372" s="1200"/>
      <c r="BA372" s="1200"/>
      <c r="BC372" s="1200"/>
      <c r="BE372" s="1200"/>
      <c r="BF372" s="1200"/>
      <c r="BG372" s="1200"/>
    </row>
    <row r="373" spans="18:59" x14ac:dyDescent="0.35">
      <c r="R373" s="1200"/>
      <c r="S373" s="1200"/>
      <c r="W373" s="1200"/>
      <c r="X373" s="1200"/>
      <c r="AE373" s="1200"/>
      <c r="AF373" s="1200"/>
      <c r="AV373" s="1200"/>
      <c r="AW373" s="1200"/>
      <c r="AX373" s="1200"/>
      <c r="AY373" s="1200"/>
      <c r="AZ373" s="1200"/>
      <c r="BA373" s="1200"/>
      <c r="BC373" s="1200"/>
      <c r="BE373" s="1200"/>
      <c r="BF373" s="1200"/>
      <c r="BG373" s="1200"/>
    </row>
    <row r="374" spans="18:59" x14ac:dyDescent="0.35">
      <c r="R374" s="1200"/>
      <c r="S374" s="1200"/>
      <c r="W374" s="1200"/>
      <c r="X374" s="1200"/>
      <c r="AE374" s="1200"/>
      <c r="AF374" s="1200"/>
      <c r="AV374" s="1200"/>
      <c r="AW374" s="1200"/>
      <c r="AX374" s="1200"/>
      <c r="AY374" s="1200"/>
      <c r="AZ374" s="1200"/>
      <c r="BA374" s="1200"/>
      <c r="BC374" s="1200"/>
      <c r="BE374" s="1200"/>
      <c r="BF374" s="1200"/>
      <c r="BG374" s="1200"/>
    </row>
    <row r="375" spans="18:59" x14ac:dyDescent="0.35">
      <c r="R375" s="1200"/>
      <c r="S375" s="1200"/>
      <c r="W375" s="1200"/>
      <c r="X375" s="1200"/>
      <c r="AE375" s="1200"/>
      <c r="AF375" s="1200"/>
      <c r="AV375" s="1200"/>
      <c r="AW375" s="1200"/>
      <c r="AX375" s="1200"/>
      <c r="AY375" s="1200"/>
      <c r="AZ375" s="1200"/>
      <c r="BA375" s="1200"/>
      <c r="BC375" s="1200"/>
      <c r="BE375" s="1200"/>
      <c r="BF375" s="1200"/>
      <c r="BG375" s="1200"/>
    </row>
    <row r="376" spans="18:59" x14ac:dyDescent="0.35">
      <c r="R376" s="1200"/>
      <c r="S376" s="1200"/>
      <c r="W376" s="1200"/>
      <c r="X376" s="1200"/>
      <c r="AE376" s="1200"/>
      <c r="AF376" s="1200"/>
      <c r="AV376" s="1200"/>
      <c r="AW376" s="1200"/>
      <c r="AX376" s="1200"/>
      <c r="AY376" s="1200"/>
      <c r="AZ376" s="1200"/>
      <c r="BA376" s="1200"/>
      <c r="BC376" s="1200"/>
      <c r="BE376" s="1200"/>
      <c r="BF376" s="1200"/>
      <c r="BG376" s="1200"/>
    </row>
    <row r="377" spans="18:59" x14ac:dyDescent="0.35">
      <c r="R377" s="1200"/>
      <c r="S377" s="1200"/>
      <c r="W377" s="1200"/>
      <c r="X377" s="1200"/>
      <c r="AE377" s="1200"/>
      <c r="AF377" s="1200"/>
      <c r="AV377" s="1200"/>
      <c r="AW377" s="1200"/>
      <c r="AX377" s="1200"/>
      <c r="AY377" s="1200"/>
      <c r="AZ377" s="1200"/>
      <c r="BA377" s="1200"/>
      <c r="BC377" s="1200"/>
      <c r="BE377" s="1200"/>
      <c r="BF377" s="1200"/>
      <c r="BG377" s="1200"/>
    </row>
    <row r="378" spans="18:59" x14ac:dyDescent="0.35">
      <c r="R378" s="1200"/>
      <c r="S378" s="1200"/>
      <c r="W378" s="1200"/>
      <c r="X378" s="1200"/>
      <c r="AE378" s="1200"/>
      <c r="AF378" s="1200"/>
      <c r="AV378" s="1200"/>
      <c r="AW378" s="1200"/>
      <c r="AX378" s="1200"/>
      <c r="AY378" s="1200"/>
      <c r="AZ378" s="1200"/>
      <c r="BA378" s="1200"/>
      <c r="BC378" s="1200"/>
      <c r="BE378" s="1200"/>
      <c r="BF378" s="1200"/>
      <c r="BG378" s="1200"/>
    </row>
    <row r="379" spans="18:59" x14ac:dyDescent="0.35">
      <c r="R379" s="1200"/>
      <c r="S379" s="1200"/>
      <c r="W379" s="1200"/>
      <c r="X379" s="1200"/>
      <c r="AE379" s="1200"/>
      <c r="AF379" s="1200"/>
      <c r="AV379" s="1200"/>
      <c r="AW379" s="1200"/>
      <c r="AX379" s="1200"/>
      <c r="AY379" s="1200"/>
      <c r="AZ379" s="1200"/>
      <c r="BA379" s="1200"/>
      <c r="BC379" s="1200"/>
      <c r="BE379" s="1200"/>
      <c r="BF379" s="1200"/>
      <c r="BG379" s="1200"/>
    </row>
    <row r="380" spans="18:59" x14ac:dyDescent="0.35">
      <c r="R380" s="1200"/>
      <c r="S380" s="1200"/>
      <c r="W380" s="1200"/>
      <c r="X380" s="1200"/>
      <c r="AE380" s="1200"/>
      <c r="AF380" s="1200"/>
      <c r="AV380" s="1200"/>
      <c r="AW380" s="1200"/>
      <c r="AX380" s="1200"/>
      <c r="AY380" s="1200"/>
      <c r="AZ380" s="1200"/>
      <c r="BA380" s="1200"/>
      <c r="BC380" s="1200"/>
      <c r="BE380" s="1200"/>
      <c r="BF380" s="1200"/>
      <c r="BG380" s="1200"/>
    </row>
    <row r="381" spans="18:59" x14ac:dyDescent="0.35">
      <c r="R381" s="1200"/>
      <c r="S381" s="1200"/>
      <c r="W381" s="1200"/>
      <c r="X381" s="1200"/>
      <c r="AE381" s="1200"/>
      <c r="AF381" s="1200"/>
      <c r="AV381" s="1200"/>
      <c r="AW381" s="1200"/>
      <c r="AX381" s="1200"/>
      <c r="AY381" s="1200"/>
      <c r="AZ381" s="1200"/>
      <c r="BA381" s="1200"/>
      <c r="BC381" s="1200"/>
      <c r="BE381" s="1200"/>
      <c r="BF381" s="1200"/>
      <c r="BG381" s="1200"/>
    </row>
    <row r="382" spans="18:59" x14ac:dyDescent="0.35">
      <c r="R382" s="1200"/>
      <c r="S382" s="1200"/>
      <c r="W382" s="1200"/>
      <c r="X382" s="1200"/>
      <c r="AE382" s="1200"/>
      <c r="AF382" s="1200"/>
      <c r="AV382" s="1200"/>
      <c r="AW382" s="1200"/>
      <c r="AX382" s="1200"/>
      <c r="AY382" s="1200"/>
      <c r="AZ382" s="1200"/>
      <c r="BA382" s="1200"/>
      <c r="BC382" s="1200"/>
      <c r="BE382" s="1200"/>
      <c r="BF382" s="1200"/>
      <c r="BG382" s="1200"/>
    </row>
    <row r="383" spans="18:59" x14ac:dyDescent="0.35">
      <c r="R383" s="1200"/>
      <c r="S383" s="1200"/>
      <c r="W383" s="1200"/>
      <c r="X383" s="1200"/>
      <c r="AE383" s="1200"/>
      <c r="AF383" s="1200"/>
      <c r="AV383" s="1200"/>
      <c r="AW383" s="1200"/>
      <c r="AX383" s="1200"/>
      <c r="AY383" s="1200"/>
      <c r="AZ383" s="1200"/>
      <c r="BA383" s="1200"/>
      <c r="BC383" s="1200"/>
      <c r="BE383" s="1200"/>
      <c r="BF383" s="1200"/>
      <c r="BG383" s="1200"/>
    </row>
    <row r="384" spans="18:59" x14ac:dyDescent="0.35">
      <c r="R384" s="1200"/>
      <c r="S384" s="1200"/>
      <c r="W384" s="1200"/>
      <c r="X384" s="1200"/>
      <c r="AE384" s="1200"/>
      <c r="AF384" s="1200"/>
      <c r="AV384" s="1200"/>
      <c r="AW384" s="1200"/>
      <c r="AX384" s="1200"/>
      <c r="AY384" s="1200"/>
      <c r="AZ384" s="1200"/>
      <c r="BA384" s="1200"/>
      <c r="BC384" s="1200"/>
      <c r="BE384" s="1200"/>
      <c r="BF384" s="1200"/>
      <c r="BG384" s="1200"/>
    </row>
    <row r="385" spans="18:59" x14ac:dyDescent="0.35">
      <c r="R385" s="1200"/>
      <c r="S385" s="1200"/>
      <c r="W385" s="1200"/>
      <c r="X385" s="1200"/>
      <c r="AE385" s="1200"/>
      <c r="AF385" s="1200"/>
      <c r="AV385" s="1200"/>
      <c r="AW385" s="1200"/>
      <c r="AX385" s="1200"/>
      <c r="AY385" s="1200"/>
      <c r="AZ385" s="1200"/>
      <c r="BA385" s="1200"/>
      <c r="BC385" s="1200"/>
      <c r="BE385" s="1200"/>
      <c r="BF385" s="1200"/>
      <c r="BG385" s="1200"/>
    </row>
    <row r="386" spans="18:59" x14ac:dyDescent="0.35">
      <c r="R386" s="1200"/>
      <c r="S386" s="1200"/>
      <c r="W386" s="1200"/>
      <c r="X386" s="1200"/>
      <c r="AE386" s="1200"/>
      <c r="AF386" s="1200"/>
      <c r="AV386" s="1200"/>
      <c r="AW386" s="1200"/>
      <c r="AX386" s="1200"/>
      <c r="AY386" s="1200"/>
      <c r="AZ386" s="1200"/>
      <c r="BA386" s="1200"/>
      <c r="BC386" s="1200"/>
      <c r="BE386" s="1200"/>
      <c r="BF386" s="1200"/>
      <c r="BG386" s="1200"/>
    </row>
    <row r="387" spans="18:59" x14ac:dyDescent="0.35">
      <c r="R387" s="1200"/>
      <c r="S387" s="1200"/>
      <c r="W387" s="1200"/>
      <c r="X387" s="1200"/>
      <c r="AE387" s="1200"/>
      <c r="AF387" s="1200"/>
      <c r="AV387" s="1200"/>
      <c r="AW387" s="1200"/>
      <c r="AX387" s="1200"/>
      <c r="AY387" s="1200"/>
      <c r="AZ387" s="1200"/>
      <c r="BA387" s="1200"/>
      <c r="BC387" s="1200"/>
      <c r="BE387" s="1200"/>
      <c r="BF387" s="1200"/>
      <c r="BG387" s="1200"/>
    </row>
    <row r="388" spans="18:59" x14ac:dyDescent="0.35">
      <c r="R388" s="1200"/>
      <c r="S388" s="1200"/>
      <c r="W388" s="1200"/>
      <c r="X388" s="1200"/>
      <c r="AE388" s="1200"/>
      <c r="AF388" s="1200"/>
      <c r="AV388" s="1200"/>
      <c r="AW388" s="1200"/>
      <c r="AX388" s="1200"/>
      <c r="AY388" s="1200"/>
      <c r="AZ388" s="1200"/>
      <c r="BA388" s="1200"/>
      <c r="BC388" s="1200"/>
      <c r="BE388" s="1200"/>
      <c r="BF388" s="1200"/>
      <c r="BG388" s="1200"/>
    </row>
    <row r="389" spans="18:59" x14ac:dyDescent="0.35">
      <c r="R389" s="1200"/>
      <c r="S389" s="1200"/>
      <c r="W389" s="1200"/>
      <c r="X389" s="1200"/>
      <c r="AE389" s="1200"/>
      <c r="AF389" s="1200"/>
      <c r="AV389" s="1200"/>
      <c r="AW389" s="1200"/>
      <c r="AX389" s="1200"/>
      <c r="AY389" s="1200"/>
      <c r="AZ389" s="1200"/>
      <c r="BA389" s="1200"/>
      <c r="BC389" s="1200"/>
      <c r="BE389" s="1200"/>
      <c r="BF389" s="1200"/>
      <c r="BG389" s="1200"/>
    </row>
    <row r="390" spans="18:59" x14ac:dyDescent="0.35">
      <c r="R390" s="1200"/>
      <c r="S390" s="1200"/>
      <c r="W390" s="1200"/>
      <c r="X390" s="1200"/>
      <c r="AE390" s="1200"/>
      <c r="AF390" s="1200"/>
      <c r="AV390" s="1200"/>
      <c r="AW390" s="1200"/>
      <c r="AX390" s="1200"/>
      <c r="AY390" s="1200"/>
      <c r="AZ390" s="1200"/>
      <c r="BA390" s="1200"/>
      <c r="BC390" s="1200"/>
      <c r="BE390" s="1200"/>
      <c r="BF390" s="1200"/>
      <c r="BG390" s="1200"/>
    </row>
    <row r="391" spans="18:59" x14ac:dyDescent="0.35">
      <c r="R391" s="1200"/>
      <c r="S391" s="1200"/>
      <c r="W391" s="1200"/>
      <c r="X391" s="1200"/>
      <c r="AE391" s="1200"/>
      <c r="AF391" s="1200"/>
      <c r="AV391" s="1200"/>
      <c r="AW391" s="1200"/>
      <c r="AX391" s="1200"/>
      <c r="AY391" s="1200"/>
      <c r="AZ391" s="1200"/>
      <c r="BA391" s="1200"/>
      <c r="BC391" s="1200"/>
      <c r="BE391" s="1200"/>
      <c r="BF391" s="1200"/>
      <c r="BG391" s="1200"/>
    </row>
    <row r="392" spans="18:59" x14ac:dyDescent="0.35">
      <c r="R392" s="1200"/>
      <c r="S392" s="1200"/>
      <c r="W392" s="1200"/>
      <c r="X392" s="1200"/>
      <c r="AE392" s="1200"/>
      <c r="AF392" s="1200"/>
      <c r="AV392" s="1200"/>
      <c r="AW392" s="1200"/>
      <c r="AX392" s="1200"/>
      <c r="AY392" s="1200"/>
      <c r="AZ392" s="1200"/>
      <c r="BA392" s="1200"/>
      <c r="BC392" s="1200"/>
      <c r="BE392" s="1200"/>
      <c r="BF392" s="1200"/>
      <c r="BG392" s="1200"/>
    </row>
    <row r="393" spans="18:59" x14ac:dyDescent="0.35">
      <c r="R393" s="1200"/>
      <c r="S393" s="1200"/>
      <c r="W393" s="1200"/>
      <c r="X393" s="1200"/>
      <c r="AE393" s="1200"/>
      <c r="AF393" s="1200"/>
      <c r="AV393" s="1200"/>
      <c r="AW393" s="1200"/>
      <c r="AX393" s="1200"/>
      <c r="AY393" s="1200"/>
      <c r="AZ393" s="1200"/>
      <c r="BA393" s="1200"/>
      <c r="BC393" s="1200"/>
      <c r="BE393" s="1200"/>
      <c r="BF393" s="1200"/>
      <c r="BG393" s="1200"/>
    </row>
    <row r="394" spans="18:59" x14ac:dyDescent="0.35">
      <c r="R394" s="1200"/>
      <c r="S394" s="1200"/>
      <c r="W394" s="1200"/>
      <c r="X394" s="1200"/>
      <c r="AE394" s="1200"/>
      <c r="AF394" s="1200"/>
      <c r="AV394" s="1200"/>
      <c r="AW394" s="1200"/>
      <c r="AX394" s="1200"/>
      <c r="AY394" s="1200"/>
      <c r="AZ394" s="1200"/>
      <c r="BA394" s="1200"/>
      <c r="BC394" s="1200"/>
      <c r="BE394" s="1200"/>
      <c r="BF394" s="1200"/>
      <c r="BG394" s="1200"/>
    </row>
    <row r="395" spans="18:59" x14ac:dyDescent="0.35">
      <c r="R395" s="1200"/>
      <c r="S395" s="1200"/>
      <c r="W395" s="1200"/>
      <c r="X395" s="1200"/>
      <c r="AE395" s="1200"/>
      <c r="AF395" s="1200"/>
      <c r="AV395" s="1200"/>
      <c r="AW395" s="1200"/>
      <c r="AX395" s="1200"/>
      <c r="AY395" s="1200"/>
      <c r="AZ395" s="1200"/>
      <c r="BA395" s="1200"/>
      <c r="BC395" s="1200"/>
      <c r="BE395" s="1200"/>
      <c r="BF395" s="1200"/>
      <c r="BG395" s="1200"/>
    </row>
    <row r="396" spans="18:59" x14ac:dyDescent="0.35">
      <c r="R396" s="1200"/>
      <c r="S396" s="1200"/>
      <c r="W396" s="1200"/>
      <c r="X396" s="1200"/>
      <c r="AE396" s="1200"/>
      <c r="AF396" s="1200"/>
      <c r="AV396" s="1200"/>
      <c r="AW396" s="1200"/>
      <c r="AX396" s="1200"/>
      <c r="AY396" s="1200"/>
      <c r="AZ396" s="1200"/>
      <c r="BA396" s="1200"/>
      <c r="BC396" s="1200"/>
      <c r="BE396" s="1200"/>
      <c r="BF396" s="1200"/>
      <c r="BG396" s="1200"/>
    </row>
    <row r="397" spans="18:59" x14ac:dyDescent="0.35">
      <c r="R397" s="1200"/>
      <c r="S397" s="1200"/>
      <c r="W397" s="1200"/>
      <c r="X397" s="1200"/>
      <c r="AE397" s="1200"/>
      <c r="AF397" s="1200"/>
      <c r="AV397" s="1200"/>
      <c r="AW397" s="1200"/>
      <c r="AX397" s="1200"/>
      <c r="AY397" s="1200"/>
      <c r="AZ397" s="1200"/>
      <c r="BA397" s="1200"/>
      <c r="BC397" s="1200"/>
      <c r="BE397" s="1200"/>
      <c r="BF397" s="1200"/>
      <c r="BG397" s="1200"/>
    </row>
    <row r="398" spans="18:59" x14ac:dyDescent="0.35">
      <c r="R398" s="1200"/>
      <c r="S398" s="1200"/>
      <c r="W398" s="1200"/>
      <c r="X398" s="1200"/>
      <c r="AE398" s="1200"/>
      <c r="AF398" s="1200"/>
      <c r="AV398" s="1200"/>
      <c r="AW398" s="1200"/>
      <c r="AX398" s="1200"/>
      <c r="AY398" s="1200"/>
      <c r="AZ398" s="1200"/>
      <c r="BA398" s="1200"/>
      <c r="BC398" s="1200"/>
      <c r="BE398" s="1200"/>
      <c r="BF398" s="1200"/>
      <c r="BG398" s="1200"/>
    </row>
    <row r="399" spans="18:59" x14ac:dyDescent="0.35">
      <c r="R399" s="1200"/>
      <c r="S399" s="1200"/>
      <c r="W399" s="1200"/>
      <c r="X399" s="1200"/>
      <c r="AE399" s="1200"/>
      <c r="AF399" s="1200"/>
      <c r="AV399" s="1200"/>
      <c r="AW399" s="1200"/>
      <c r="AX399" s="1200"/>
      <c r="AY399" s="1200"/>
      <c r="AZ399" s="1200"/>
      <c r="BA399" s="1200"/>
      <c r="BC399" s="1200"/>
      <c r="BE399" s="1200"/>
      <c r="BF399" s="1200"/>
      <c r="BG399" s="1200"/>
    </row>
    <row r="400" spans="18:59" x14ac:dyDescent="0.35">
      <c r="R400" s="1200"/>
      <c r="S400" s="1200"/>
      <c r="W400" s="1200"/>
      <c r="X400" s="1200"/>
      <c r="AE400" s="1200"/>
      <c r="AF400" s="1200"/>
      <c r="AV400" s="1200"/>
      <c r="AW400" s="1200"/>
      <c r="AX400" s="1200"/>
      <c r="AY400" s="1200"/>
      <c r="AZ400" s="1200"/>
      <c r="BA400" s="1200"/>
      <c r="BC400" s="1200"/>
      <c r="BE400" s="1200"/>
      <c r="BF400" s="1200"/>
      <c r="BG400" s="1200"/>
    </row>
    <row r="401" spans="18:59" x14ac:dyDescent="0.35">
      <c r="R401" s="1200"/>
      <c r="S401" s="1200"/>
      <c r="W401" s="1200"/>
      <c r="X401" s="1200"/>
      <c r="AE401" s="1200"/>
      <c r="AF401" s="1200"/>
      <c r="AV401" s="1200"/>
      <c r="AW401" s="1200"/>
      <c r="AX401" s="1200"/>
      <c r="AY401" s="1200"/>
      <c r="AZ401" s="1200"/>
      <c r="BA401" s="1200"/>
      <c r="BC401" s="1200"/>
      <c r="BE401" s="1200"/>
      <c r="BF401" s="1200"/>
      <c r="BG401" s="1200"/>
    </row>
    <row r="402" spans="18:59" x14ac:dyDescent="0.35">
      <c r="R402" s="1200"/>
      <c r="S402" s="1200"/>
      <c r="W402" s="1200"/>
      <c r="X402" s="1200"/>
      <c r="AE402" s="1200"/>
      <c r="AF402" s="1200"/>
      <c r="AV402" s="1200"/>
      <c r="AW402" s="1200"/>
      <c r="AX402" s="1200"/>
      <c r="AY402" s="1200"/>
      <c r="AZ402" s="1200"/>
      <c r="BA402" s="1200"/>
      <c r="BC402" s="1200"/>
      <c r="BE402" s="1200"/>
      <c r="BF402" s="1200"/>
      <c r="BG402" s="1200"/>
    </row>
    <row r="403" spans="18:59" x14ac:dyDescent="0.35">
      <c r="R403" s="1200"/>
      <c r="S403" s="1200"/>
      <c r="W403" s="1200"/>
      <c r="X403" s="1200"/>
      <c r="AE403" s="1200"/>
      <c r="AF403" s="1200"/>
      <c r="AV403" s="1200"/>
      <c r="AW403" s="1200"/>
      <c r="AX403" s="1200"/>
      <c r="AY403" s="1200"/>
      <c r="AZ403" s="1200"/>
      <c r="BA403" s="1200"/>
      <c r="BC403" s="1200"/>
      <c r="BE403" s="1200"/>
      <c r="BF403" s="1200"/>
      <c r="BG403" s="1200"/>
    </row>
    <row r="404" spans="18:59" x14ac:dyDescent="0.35">
      <c r="R404" s="1200"/>
      <c r="S404" s="1200"/>
      <c r="W404" s="1200"/>
      <c r="X404" s="1200"/>
      <c r="AE404" s="1200"/>
      <c r="AF404" s="1200"/>
      <c r="AV404" s="1200"/>
      <c r="AW404" s="1200"/>
      <c r="AX404" s="1200"/>
      <c r="AY404" s="1200"/>
      <c r="AZ404" s="1200"/>
      <c r="BA404" s="1200"/>
      <c r="BC404" s="1200"/>
      <c r="BE404" s="1200"/>
      <c r="BF404" s="1200"/>
      <c r="BG404" s="1200"/>
    </row>
    <row r="405" spans="18:59" x14ac:dyDescent="0.35">
      <c r="R405" s="1200"/>
      <c r="S405" s="1200"/>
      <c r="W405" s="1200"/>
      <c r="X405" s="1200"/>
      <c r="AE405" s="1200"/>
      <c r="AF405" s="1200"/>
      <c r="AV405" s="1200"/>
      <c r="AW405" s="1200"/>
      <c r="AX405" s="1200"/>
      <c r="AY405" s="1200"/>
      <c r="AZ405" s="1200"/>
      <c r="BA405" s="1200"/>
      <c r="BC405" s="1200"/>
      <c r="BE405" s="1200"/>
      <c r="BF405" s="1200"/>
      <c r="BG405" s="1200"/>
    </row>
    <row r="406" spans="18:59" x14ac:dyDescent="0.35">
      <c r="R406" s="1200"/>
      <c r="S406" s="1200"/>
      <c r="W406" s="1200"/>
      <c r="X406" s="1200"/>
      <c r="AE406" s="1200"/>
      <c r="AF406" s="1200"/>
      <c r="AV406" s="1200"/>
      <c r="AW406" s="1200"/>
      <c r="AX406" s="1200"/>
      <c r="AY406" s="1200"/>
      <c r="AZ406" s="1200"/>
      <c r="BA406" s="1200"/>
      <c r="BC406" s="1200"/>
      <c r="BE406" s="1200"/>
      <c r="BF406" s="1200"/>
      <c r="BG406" s="1200"/>
    </row>
    <row r="407" spans="18:59" x14ac:dyDescent="0.35">
      <c r="R407" s="1200"/>
      <c r="S407" s="1200"/>
      <c r="W407" s="1200"/>
      <c r="X407" s="1200"/>
      <c r="AE407" s="1200"/>
      <c r="AF407" s="1200"/>
      <c r="AV407" s="1200"/>
      <c r="AW407" s="1200"/>
      <c r="AX407" s="1200"/>
      <c r="AY407" s="1200"/>
      <c r="AZ407" s="1200"/>
      <c r="BA407" s="1200"/>
      <c r="BC407" s="1200"/>
      <c r="BE407" s="1200"/>
      <c r="BF407" s="1200"/>
      <c r="BG407" s="1200"/>
    </row>
    <row r="408" spans="18:59" x14ac:dyDescent="0.35">
      <c r="R408" s="1200"/>
      <c r="S408" s="1200"/>
      <c r="W408" s="1200"/>
      <c r="X408" s="1200"/>
      <c r="AE408" s="1200"/>
      <c r="AF408" s="1200"/>
      <c r="AV408" s="1200"/>
      <c r="AW408" s="1200"/>
      <c r="AX408" s="1200"/>
      <c r="AY408" s="1200"/>
      <c r="AZ408" s="1200"/>
      <c r="BA408" s="1200"/>
      <c r="BC408" s="1200"/>
      <c r="BE408" s="1200"/>
      <c r="BF408" s="1200"/>
      <c r="BG408" s="1200"/>
    </row>
    <row r="409" spans="18:59" x14ac:dyDescent="0.35">
      <c r="R409" s="1200"/>
      <c r="S409" s="1200"/>
      <c r="W409" s="1200"/>
      <c r="X409" s="1200"/>
      <c r="AE409" s="1200"/>
      <c r="AF409" s="1200"/>
      <c r="AV409" s="1200"/>
      <c r="AW409" s="1200"/>
      <c r="AX409" s="1200"/>
      <c r="AY409" s="1200"/>
      <c r="AZ409" s="1200"/>
      <c r="BA409" s="1200"/>
      <c r="BC409" s="1200"/>
      <c r="BE409" s="1200"/>
      <c r="BF409" s="1200"/>
      <c r="BG409" s="1200"/>
    </row>
    <row r="410" spans="18:59" x14ac:dyDescent="0.35">
      <c r="R410" s="1200"/>
      <c r="S410" s="1200"/>
      <c r="W410" s="1200"/>
      <c r="X410" s="1200"/>
      <c r="AE410" s="1200"/>
      <c r="AF410" s="1200"/>
      <c r="AV410" s="1200"/>
      <c r="AW410" s="1200"/>
      <c r="AX410" s="1200"/>
      <c r="AY410" s="1200"/>
      <c r="AZ410" s="1200"/>
      <c r="BA410" s="1200"/>
      <c r="BC410" s="1200"/>
      <c r="BE410" s="1200"/>
      <c r="BF410" s="1200"/>
      <c r="BG410" s="1200"/>
    </row>
    <row r="411" spans="18:59" x14ac:dyDescent="0.35">
      <c r="R411" s="1200"/>
      <c r="S411" s="1200"/>
      <c r="W411" s="1200"/>
      <c r="X411" s="1200"/>
      <c r="AE411" s="1200"/>
      <c r="AF411" s="1200"/>
      <c r="AV411" s="1200"/>
      <c r="AW411" s="1200"/>
      <c r="AX411" s="1200"/>
      <c r="AY411" s="1200"/>
      <c r="AZ411" s="1200"/>
      <c r="BA411" s="1200"/>
      <c r="BC411" s="1200"/>
      <c r="BE411" s="1200"/>
      <c r="BF411" s="1200"/>
      <c r="BG411" s="1200"/>
    </row>
    <row r="412" spans="18:59" x14ac:dyDescent="0.35">
      <c r="R412" s="1200"/>
      <c r="S412" s="1200"/>
      <c r="W412" s="1200"/>
      <c r="X412" s="1200"/>
      <c r="AE412" s="1200"/>
      <c r="AF412" s="1200"/>
      <c r="AV412" s="1200"/>
      <c r="AW412" s="1200"/>
      <c r="AX412" s="1200"/>
      <c r="AY412" s="1200"/>
      <c r="AZ412" s="1200"/>
      <c r="BA412" s="1200"/>
      <c r="BC412" s="1200"/>
      <c r="BE412" s="1200"/>
      <c r="BF412" s="1200"/>
      <c r="BG412" s="1200"/>
    </row>
    <row r="413" spans="18:59" x14ac:dyDescent="0.35">
      <c r="R413" s="1200"/>
      <c r="S413" s="1200"/>
      <c r="W413" s="1200"/>
      <c r="X413" s="1200"/>
      <c r="AE413" s="1200"/>
      <c r="AF413" s="1200"/>
      <c r="AV413" s="1200"/>
      <c r="AW413" s="1200"/>
      <c r="AX413" s="1200"/>
      <c r="AY413" s="1200"/>
      <c r="AZ413" s="1200"/>
      <c r="BA413" s="1200"/>
      <c r="BC413" s="1200"/>
      <c r="BE413" s="1200"/>
      <c r="BF413" s="1200"/>
      <c r="BG413" s="1200"/>
    </row>
    <row r="414" spans="18:59" x14ac:dyDescent="0.35">
      <c r="R414" s="1200"/>
      <c r="S414" s="1200"/>
      <c r="W414" s="1200"/>
      <c r="X414" s="1200"/>
      <c r="AE414" s="1200"/>
      <c r="AF414" s="1200"/>
      <c r="AV414" s="1200"/>
      <c r="AW414" s="1200"/>
      <c r="AX414" s="1200"/>
      <c r="AY414" s="1200"/>
      <c r="AZ414" s="1200"/>
      <c r="BA414" s="1200"/>
      <c r="BC414" s="1200"/>
      <c r="BE414" s="1200"/>
      <c r="BF414" s="1200"/>
      <c r="BG414" s="1200"/>
    </row>
    <row r="415" spans="18:59" x14ac:dyDescent="0.35">
      <c r="R415" s="1200"/>
      <c r="S415" s="1200"/>
      <c r="W415" s="1200"/>
      <c r="X415" s="1200"/>
      <c r="AE415" s="1200"/>
      <c r="AF415" s="1200"/>
      <c r="AV415" s="1200"/>
      <c r="AW415" s="1200"/>
      <c r="AX415" s="1200"/>
      <c r="AY415" s="1200"/>
      <c r="AZ415" s="1200"/>
      <c r="BA415" s="1200"/>
      <c r="BC415" s="1200"/>
      <c r="BE415" s="1200"/>
      <c r="BF415" s="1200"/>
      <c r="BG415" s="1200"/>
    </row>
    <row r="416" spans="18:59" x14ac:dyDescent="0.35">
      <c r="R416" s="1200"/>
      <c r="S416" s="1200"/>
      <c r="W416" s="1200"/>
      <c r="X416" s="1200"/>
      <c r="AE416" s="1200"/>
      <c r="AF416" s="1200"/>
      <c r="AV416" s="1200"/>
      <c r="AW416" s="1200"/>
      <c r="AX416" s="1200"/>
      <c r="AY416" s="1200"/>
      <c r="AZ416" s="1200"/>
      <c r="BA416" s="1200"/>
      <c r="BC416" s="1200"/>
      <c r="BE416" s="1200"/>
      <c r="BF416" s="1200"/>
      <c r="BG416" s="1200"/>
    </row>
    <row r="417" spans="18:59" x14ac:dyDescent="0.35">
      <c r="R417" s="1200"/>
      <c r="S417" s="1200"/>
      <c r="W417" s="1200"/>
      <c r="X417" s="1200"/>
      <c r="AE417" s="1200"/>
      <c r="AF417" s="1200"/>
      <c r="AV417" s="1200"/>
      <c r="AW417" s="1200"/>
      <c r="AX417" s="1200"/>
      <c r="AY417" s="1200"/>
      <c r="AZ417" s="1200"/>
      <c r="BA417" s="1200"/>
      <c r="BC417" s="1200"/>
      <c r="BE417" s="1200"/>
      <c r="BF417" s="1200"/>
      <c r="BG417" s="1200"/>
    </row>
    <row r="418" spans="18:59" x14ac:dyDescent="0.35">
      <c r="R418" s="1200"/>
      <c r="S418" s="1200"/>
      <c r="W418" s="1200"/>
      <c r="X418" s="1200"/>
      <c r="AE418" s="1200"/>
      <c r="AF418" s="1200"/>
      <c r="AV418" s="1200"/>
      <c r="AW418" s="1200"/>
      <c r="AX418" s="1200"/>
      <c r="AY418" s="1200"/>
      <c r="AZ418" s="1200"/>
      <c r="BA418" s="1200"/>
      <c r="BC418" s="1200"/>
      <c r="BE418" s="1200"/>
      <c r="BF418" s="1200"/>
      <c r="BG418" s="1200"/>
    </row>
    <row r="419" spans="18:59" x14ac:dyDescent="0.35">
      <c r="R419" s="1200"/>
      <c r="S419" s="1200"/>
      <c r="W419" s="1200"/>
      <c r="X419" s="1200"/>
      <c r="AE419" s="1200"/>
      <c r="AF419" s="1200"/>
      <c r="AV419" s="1200"/>
      <c r="AW419" s="1200"/>
      <c r="AX419" s="1200"/>
      <c r="AY419" s="1200"/>
      <c r="AZ419" s="1200"/>
      <c r="BA419" s="1200"/>
      <c r="BC419" s="1200"/>
      <c r="BE419" s="1200"/>
      <c r="BF419" s="1200"/>
      <c r="BG419" s="1200"/>
    </row>
    <row r="420" spans="18:59" x14ac:dyDescent="0.35">
      <c r="R420" s="1200"/>
      <c r="S420" s="1200"/>
      <c r="W420" s="1200"/>
      <c r="X420" s="1200"/>
      <c r="AE420" s="1200"/>
      <c r="AF420" s="1200"/>
      <c r="AV420" s="1200"/>
      <c r="AW420" s="1200"/>
      <c r="AX420" s="1200"/>
      <c r="AY420" s="1200"/>
      <c r="AZ420" s="1200"/>
      <c r="BA420" s="1200"/>
      <c r="BC420" s="1200"/>
      <c r="BE420" s="1200"/>
      <c r="BF420" s="1200"/>
      <c r="BG420" s="1200"/>
    </row>
    <row r="421" spans="18:59" x14ac:dyDescent="0.35">
      <c r="R421" s="1200"/>
      <c r="S421" s="1200"/>
      <c r="W421" s="1200"/>
      <c r="X421" s="1200"/>
      <c r="AE421" s="1200"/>
      <c r="AF421" s="1200"/>
      <c r="AV421" s="1200"/>
      <c r="AW421" s="1200"/>
      <c r="AX421" s="1200"/>
      <c r="AY421" s="1200"/>
      <c r="AZ421" s="1200"/>
      <c r="BA421" s="1200"/>
      <c r="BC421" s="1200"/>
      <c r="BE421" s="1200"/>
      <c r="BF421" s="1200"/>
      <c r="BG421" s="1200"/>
    </row>
    <row r="422" spans="18:59" x14ac:dyDescent="0.35">
      <c r="R422" s="1200"/>
      <c r="S422" s="1200"/>
      <c r="W422" s="1200"/>
      <c r="X422" s="1200"/>
      <c r="AE422" s="1200"/>
      <c r="AF422" s="1200"/>
      <c r="AV422" s="1200"/>
      <c r="AW422" s="1200"/>
      <c r="AX422" s="1200"/>
      <c r="AY422" s="1200"/>
      <c r="AZ422" s="1200"/>
      <c r="BA422" s="1200"/>
      <c r="BC422" s="1200"/>
      <c r="BE422" s="1200"/>
      <c r="BF422" s="1200"/>
      <c r="BG422" s="1200"/>
    </row>
    <row r="423" spans="18:59" x14ac:dyDescent="0.35">
      <c r="R423" s="1200"/>
      <c r="S423" s="1200"/>
      <c r="W423" s="1200"/>
      <c r="X423" s="1200"/>
      <c r="AE423" s="1200"/>
      <c r="AF423" s="1200"/>
      <c r="AV423" s="1200"/>
      <c r="AW423" s="1200"/>
      <c r="AX423" s="1200"/>
      <c r="AY423" s="1200"/>
      <c r="AZ423" s="1200"/>
      <c r="BA423" s="1200"/>
      <c r="BC423" s="1200"/>
      <c r="BE423" s="1200"/>
      <c r="BF423" s="1200"/>
      <c r="BG423" s="1200"/>
    </row>
    <row r="424" spans="18:59" x14ac:dyDescent="0.35">
      <c r="R424" s="1200"/>
      <c r="S424" s="1200"/>
      <c r="W424" s="1200"/>
      <c r="X424" s="1200"/>
      <c r="AE424" s="1200"/>
      <c r="AF424" s="1200"/>
      <c r="AV424" s="1200"/>
      <c r="AW424" s="1200"/>
      <c r="AX424" s="1200"/>
      <c r="AY424" s="1200"/>
      <c r="AZ424" s="1200"/>
      <c r="BA424" s="1200"/>
      <c r="BC424" s="1200"/>
      <c r="BE424" s="1200"/>
      <c r="BF424" s="1200"/>
      <c r="BG424" s="1200"/>
    </row>
    <row r="425" spans="18:59" x14ac:dyDescent="0.35">
      <c r="R425" s="1200"/>
      <c r="S425" s="1200"/>
      <c r="W425" s="1200"/>
      <c r="X425" s="1200"/>
      <c r="AE425" s="1200"/>
      <c r="AF425" s="1200"/>
      <c r="AV425" s="1200"/>
      <c r="AW425" s="1200"/>
      <c r="AX425" s="1200"/>
      <c r="AY425" s="1200"/>
      <c r="AZ425" s="1200"/>
      <c r="BA425" s="1200"/>
      <c r="BC425" s="1200"/>
      <c r="BE425" s="1200"/>
      <c r="BF425" s="1200"/>
      <c r="BG425" s="1200"/>
    </row>
    <row r="426" spans="18:59" x14ac:dyDescent="0.35">
      <c r="R426" s="1200"/>
      <c r="S426" s="1200"/>
      <c r="W426" s="1200"/>
      <c r="X426" s="1200"/>
      <c r="AE426" s="1200"/>
      <c r="AF426" s="1200"/>
      <c r="AV426" s="1200"/>
      <c r="AW426" s="1200"/>
      <c r="AX426" s="1200"/>
      <c r="AY426" s="1200"/>
      <c r="AZ426" s="1200"/>
      <c r="BA426" s="1200"/>
      <c r="BC426" s="1200"/>
      <c r="BE426" s="1200"/>
      <c r="BF426" s="1200"/>
      <c r="BG426" s="1200"/>
    </row>
    <row r="427" spans="18:59" x14ac:dyDescent="0.35">
      <c r="R427" s="1200"/>
      <c r="S427" s="1200"/>
      <c r="W427" s="1200"/>
      <c r="X427" s="1200"/>
      <c r="AE427" s="1200"/>
      <c r="AF427" s="1200"/>
      <c r="AV427" s="1200"/>
      <c r="AW427" s="1200"/>
      <c r="AX427" s="1200"/>
      <c r="AY427" s="1200"/>
      <c r="AZ427" s="1200"/>
      <c r="BA427" s="1200"/>
      <c r="BC427" s="1200"/>
      <c r="BE427" s="1200"/>
      <c r="BF427" s="1200"/>
      <c r="BG427" s="1200"/>
    </row>
    <row r="428" spans="18:59" x14ac:dyDescent="0.35">
      <c r="R428" s="1200"/>
      <c r="S428" s="1200"/>
      <c r="W428" s="1200"/>
      <c r="X428" s="1200"/>
      <c r="AE428" s="1200"/>
      <c r="AF428" s="1200"/>
      <c r="AV428" s="1200"/>
      <c r="AW428" s="1200"/>
      <c r="AX428" s="1200"/>
      <c r="AY428" s="1200"/>
      <c r="AZ428" s="1200"/>
      <c r="BA428" s="1200"/>
      <c r="BC428" s="1200"/>
      <c r="BE428" s="1200"/>
      <c r="BF428" s="1200"/>
      <c r="BG428" s="1200"/>
    </row>
    <row r="429" spans="18:59" x14ac:dyDescent="0.35">
      <c r="R429" s="1200"/>
      <c r="S429" s="1200"/>
      <c r="W429" s="1200"/>
      <c r="X429" s="1200"/>
      <c r="AE429" s="1200"/>
      <c r="AF429" s="1200"/>
      <c r="AV429" s="1200"/>
      <c r="AW429" s="1200"/>
      <c r="AX429" s="1200"/>
      <c r="AY429" s="1200"/>
      <c r="AZ429" s="1200"/>
      <c r="BA429" s="1200"/>
      <c r="BC429" s="1200"/>
      <c r="BE429" s="1200"/>
      <c r="BF429" s="1200"/>
      <c r="BG429" s="1200"/>
    </row>
    <row r="430" spans="18:59" x14ac:dyDescent="0.35">
      <c r="R430" s="1200"/>
      <c r="S430" s="1200"/>
      <c r="W430" s="1200"/>
      <c r="X430" s="1200"/>
      <c r="AE430" s="1200"/>
      <c r="AF430" s="1200"/>
      <c r="AV430" s="1200"/>
      <c r="AW430" s="1200"/>
      <c r="AX430" s="1200"/>
      <c r="AY430" s="1200"/>
      <c r="AZ430" s="1200"/>
      <c r="BA430" s="1200"/>
      <c r="BC430" s="1200"/>
      <c r="BE430" s="1200"/>
      <c r="BF430" s="1200"/>
      <c r="BG430" s="1200"/>
    </row>
    <row r="431" spans="18:59" x14ac:dyDescent="0.35">
      <c r="R431" s="1200"/>
      <c r="S431" s="1200"/>
      <c r="W431" s="1200"/>
      <c r="X431" s="1200"/>
      <c r="AE431" s="1200"/>
      <c r="AF431" s="1200"/>
      <c r="AV431" s="1200"/>
      <c r="AW431" s="1200"/>
      <c r="AX431" s="1200"/>
      <c r="AY431" s="1200"/>
      <c r="AZ431" s="1200"/>
      <c r="BA431" s="1200"/>
      <c r="BC431" s="1200"/>
      <c r="BE431" s="1200"/>
      <c r="BF431" s="1200"/>
      <c r="BG431" s="1200"/>
    </row>
    <row r="432" spans="18:59" x14ac:dyDescent="0.35">
      <c r="R432" s="1200"/>
      <c r="S432" s="1200"/>
      <c r="W432" s="1200"/>
      <c r="X432" s="1200"/>
      <c r="AE432" s="1200"/>
      <c r="AF432" s="1200"/>
      <c r="AV432" s="1200"/>
      <c r="AW432" s="1200"/>
      <c r="AX432" s="1200"/>
      <c r="AY432" s="1200"/>
      <c r="AZ432" s="1200"/>
      <c r="BA432" s="1200"/>
      <c r="BC432" s="1200"/>
      <c r="BE432" s="1200"/>
      <c r="BF432" s="1200"/>
      <c r="BG432" s="1200"/>
    </row>
    <row r="433" spans="18:59" x14ac:dyDescent="0.35">
      <c r="R433" s="1200"/>
      <c r="S433" s="1200"/>
      <c r="W433" s="1200"/>
      <c r="X433" s="1200"/>
      <c r="AE433" s="1200"/>
      <c r="AF433" s="1200"/>
      <c r="AV433" s="1200"/>
      <c r="AW433" s="1200"/>
      <c r="AX433" s="1200"/>
      <c r="AY433" s="1200"/>
      <c r="AZ433" s="1200"/>
      <c r="BA433" s="1200"/>
      <c r="BC433" s="1200"/>
      <c r="BE433" s="1200"/>
      <c r="BF433" s="1200"/>
      <c r="BG433" s="1200"/>
    </row>
    <row r="434" spans="18:59" x14ac:dyDescent="0.35">
      <c r="R434" s="1200"/>
      <c r="S434" s="1200"/>
      <c r="W434" s="1200"/>
      <c r="X434" s="1200"/>
      <c r="AE434" s="1200"/>
      <c r="AF434" s="1200"/>
      <c r="AV434" s="1200"/>
      <c r="AW434" s="1200"/>
      <c r="AX434" s="1200"/>
      <c r="AY434" s="1200"/>
      <c r="AZ434" s="1200"/>
      <c r="BA434" s="1200"/>
      <c r="BC434" s="1200"/>
      <c r="BE434" s="1200"/>
      <c r="BF434" s="1200"/>
      <c r="BG434" s="1200"/>
    </row>
    <row r="435" spans="18:59" x14ac:dyDescent="0.35">
      <c r="R435" s="1200"/>
      <c r="S435" s="1200"/>
      <c r="W435" s="1200"/>
      <c r="X435" s="1200"/>
      <c r="AE435" s="1200"/>
      <c r="AF435" s="1200"/>
      <c r="AV435" s="1200"/>
      <c r="AW435" s="1200"/>
      <c r="AX435" s="1200"/>
      <c r="AY435" s="1200"/>
      <c r="AZ435" s="1200"/>
      <c r="BA435" s="1200"/>
      <c r="BC435" s="1200"/>
      <c r="BE435" s="1200"/>
      <c r="BF435" s="1200"/>
      <c r="BG435" s="1200"/>
    </row>
    <row r="436" spans="18:59" x14ac:dyDescent="0.35">
      <c r="R436" s="1200"/>
      <c r="S436" s="1200"/>
      <c r="W436" s="1200"/>
      <c r="X436" s="1200"/>
      <c r="AE436" s="1200"/>
      <c r="AF436" s="1200"/>
      <c r="AV436" s="1200"/>
      <c r="AW436" s="1200"/>
      <c r="AX436" s="1200"/>
      <c r="AY436" s="1200"/>
      <c r="AZ436" s="1200"/>
      <c r="BA436" s="1200"/>
      <c r="BC436" s="1200"/>
      <c r="BE436" s="1200"/>
      <c r="BF436" s="1200"/>
      <c r="BG436" s="1200"/>
    </row>
    <row r="437" spans="18:59" x14ac:dyDescent="0.35">
      <c r="R437" s="1200"/>
      <c r="S437" s="1200"/>
      <c r="W437" s="1200"/>
      <c r="X437" s="1200"/>
      <c r="AE437" s="1200"/>
      <c r="AF437" s="1200"/>
      <c r="AV437" s="1200"/>
      <c r="AW437" s="1200"/>
      <c r="AX437" s="1200"/>
      <c r="AY437" s="1200"/>
      <c r="AZ437" s="1200"/>
      <c r="BA437" s="1200"/>
      <c r="BC437" s="1200"/>
      <c r="BE437" s="1200"/>
      <c r="BF437" s="1200"/>
      <c r="BG437" s="1200"/>
    </row>
    <row r="438" spans="18:59" x14ac:dyDescent="0.35">
      <c r="R438" s="1200"/>
      <c r="S438" s="1200"/>
      <c r="W438" s="1200"/>
      <c r="X438" s="1200"/>
      <c r="AE438" s="1200"/>
      <c r="AF438" s="1200"/>
      <c r="AV438" s="1200"/>
      <c r="AW438" s="1200"/>
      <c r="AX438" s="1200"/>
      <c r="AY438" s="1200"/>
      <c r="AZ438" s="1200"/>
      <c r="BA438" s="1200"/>
      <c r="BC438" s="1200"/>
      <c r="BE438" s="1200"/>
      <c r="BF438" s="1200"/>
      <c r="BG438" s="1200"/>
    </row>
    <row r="439" spans="18:59" x14ac:dyDescent="0.35">
      <c r="R439" s="1200"/>
      <c r="S439" s="1200"/>
      <c r="W439" s="1200"/>
      <c r="X439" s="1200"/>
      <c r="AE439" s="1200"/>
      <c r="AF439" s="1200"/>
      <c r="AV439" s="1200"/>
      <c r="AW439" s="1200"/>
      <c r="AX439" s="1200"/>
      <c r="AY439" s="1200"/>
      <c r="AZ439" s="1200"/>
      <c r="BA439" s="1200"/>
      <c r="BC439" s="1200"/>
      <c r="BE439" s="1200"/>
      <c r="BF439" s="1200"/>
      <c r="BG439" s="1200"/>
    </row>
    <row r="440" spans="18:59" x14ac:dyDescent="0.35">
      <c r="R440" s="1200"/>
      <c r="S440" s="1200"/>
      <c r="W440" s="1200"/>
      <c r="X440" s="1200"/>
      <c r="AE440" s="1200"/>
      <c r="AF440" s="1200"/>
      <c r="AV440" s="1200"/>
      <c r="AW440" s="1200"/>
      <c r="AX440" s="1200"/>
      <c r="AY440" s="1200"/>
      <c r="AZ440" s="1200"/>
      <c r="BA440" s="1200"/>
      <c r="BC440" s="1200"/>
      <c r="BE440" s="1200"/>
      <c r="BF440" s="1200"/>
      <c r="BG440" s="1200"/>
    </row>
    <row r="441" spans="18:59" x14ac:dyDescent="0.35">
      <c r="R441" s="1200"/>
      <c r="S441" s="1200"/>
      <c r="W441" s="1200"/>
      <c r="X441" s="1200"/>
      <c r="AE441" s="1200"/>
      <c r="AF441" s="1200"/>
      <c r="AV441" s="1200"/>
      <c r="AW441" s="1200"/>
      <c r="AX441" s="1200"/>
      <c r="AY441" s="1200"/>
      <c r="AZ441" s="1200"/>
      <c r="BA441" s="1200"/>
      <c r="BC441" s="1200"/>
      <c r="BE441" s="1200"/>
      <c r="BF441" s="1200"/>
      <c r="BG441" s="1200"/>
    </row>
    <row r="442" spans="18:59" x14ac:dyDescent="0.35">
      <c r="R442" s="1200"/>
      <c r="S442" s="1200"/>
      <c r="W442" s="1200"/>
      <c r="X442" s="1200"/>
      <c r="AE442" s="1200"/>
      <c r="AF442" s="1200"/>
      <c r="AV442" s="1200"/>
      <c r="AW442" s="1200"/>
      <c r="AX442" s="1200"/>
      <c r="AY442" s="1200"/>
      <c r="AZ442" s="1200"/>
      <c r="BA442" s="1200"/>
      <c r="BC442" s="1200"/>
      <c r="BE442" s="1200"/>
      <c r="BF442" s="1200"/>
      <c r="BG442" s="1200"/>
    </row>
    <row r="443" spans="18:59" x14ac:dyDescent="0.35">
      <c r="R443" s="1200"/>
      <c r="S443" s="1200"/>
      <c r="W443" s="1200"/>
      <c r="X443" s="1200"/>
      <c r="AE443" s="1200"/>
      <c r="AF443" s="1200"/>
      <c r="AV443" s="1200"/>
      <c r="AW443" s="1200"/>
      <c r="AX443" s="1200"/>
      <c r="AY443" s="1200"/>
      <c r="AZ443" s="1200"/>
      <c r="BA443" s="1200"/>
      <c r="BC443" s="1200"/>
      <c r="BE443" s="1200"/>
      <c r="BF443" s="1200"/>
      <c r="BG443" s="1200"/>
    </row>
    <row r="444" spans="18:59" x14ac:dyDescent="0.35">
      <c r="R444" s="1200"/>
      <c r="S444" s="1200"/>
      <c r="W444" s="1200"/>
      <c r="X444" s="1200"/>
      <c r="AE444" s="1200"/>
      <c r="AF444" s="1200"/>
      <c r="AV444" s="1200"/>
      <c r="AW444" s="1200"/>
      <c r="AX444" s="1200"/>
      <c r="AY444" s="1200"/>
      <c r="AZ444" s="1200"/>
      <c r="BA444" s="1200"/>
      <c r="BC444" s="1200"/>
      <c r="BE444" s="1200"/>
      <c r="BF444" s="1200"/>
      <c r="BG444" s="1200"/>
    </row>
    <row r="445" spans="18:59" x14ac:dyDescent="0.35">
      <c r="R445" s="1200"/>
      <c r="S445" s="1200"/>
      <c r="W445" s="1200"/>
      <c r="X445" s="1200"/>
      <c r="AE445" s="1200"/>
      <c r="AF445" s="1200"/>
      <c r="AV445" s="1200"/>
      <c r="AW445" s="1200"/>
      <c r="AX445" s="1200"/>
      <c r="AY445" s="1200"/>
      <c r="AZ445" s="1200"/>
      <c r="BA445" s="1200"/>
      <c r="BC445" s="1200"/>
      <c r="BE445" s="1200"/>
      <c r="BF445" s="1200"/>
      <c r="BG445" s="1200"/>
    </row>
    <row r="446" spans="18:59" x14ac:dyDescent="0.35">
      <c r="R446" s="1200"/>
      <c r="S446" s="1200"/>
      <c r="W446" s="1200"/>
      <c r="X446" s="1200"/>
      <c r="AE446" s="1200"/>
      <c r="AF446" s="1200"/>
      <c r="AV446" s="1200"/>
      <c r="AW446" s="1200"/>
      <c r="AX446" s="1200"/>
      <c r="AY446" s="1200"/>
      <c r="AZ446" s="1200"/>
      <c r="BA446" s="1200"/>
      <c r="BC446" s="1200"/>
      <c r="BE446" s="1200"/>
      <c r="BF446" s="1200"/>
      <c r="BG446" s="1200"/>
    </row>
    <row r="447" spans="18:59" x14ac:dyDescent="0.35">
      <c r="R447" s="1200"/>
      <c r="S447" s="1200"/>
      <c r="W447" s="1200"/>
      <c r="X447" s="1200"/>
      <c r="AE447" s="1200"/>
      <c r="AF447" s="1200"/>
      <c r="AV447" s="1200"/>
      <c r="AW447" s="1200"/>
      <c r="AX447" s="1200"/>
      <c r="AY447" s="1200"/>
      <c r="AZ447" s="1200"/>
      <c r="BA447" s="1200"/>
      <c r="BC447" s="1200"/>
      <c r="BE447" s="1200"/>
      <c r="BF447" s="1200"/>
      <c r="BG447" s="1200"/>
    </row>
    <row r="448" spans="18:59" x14ac:dyDescent="0.35">
      <c r="R448" s="1200"/>
      <c r="S448" s="1200"/>
      <c r="W448" s="1200"/>
      <c r="X448" s="1200"/>
      <c r="AE448" s="1200"/>
      <c r="AF448" s="1200"/>
      <c r="AV448" s="1200"/>
      <c r="AW448" s="1200"/>
      <c r="AX448" s="1200"/>
      <c r="AY448" s="1200"/>
      <c r="AZ448" s="1200"/>
      <c r="BA448" s="1200"/>
      <c r="BC448" s="1200"/>
      <c r="BE448" s="1200"/>
      <c r="BF448" s="1200"/>
      <c r="BG448" s="1200"/>
    </row>
    <row r="449" spans="18:59" x14ac:dyDescent="0.35">
      <c r="R449" s="1200"/>
      <c r="S449" s="1200"/>
      <c r="W449" s="1200"/>
      <c r="X449" s="1200"/>
      <c r="AE449" s="1200"/>
      <c r="AF449" s="1200"/>
      <c r="AV449" s="1200"/>
      <c r="AW449" s="1200"/>
      <c r="AX449" s="1200"/>
      <c r="AY449" s="1200"/>
      <c r="AZ449" s="1200"/>
      <c r="BA449" s="1200"/>
      <c r="BC449" s="1200"/>
      <c r="BE449" s="1200"/>
      <c r="BF449" s="1200"/>
      <c r="BG449" s="1200"/>
    </row>
    <row r="450" spans="18:59" x14ac:dyDescent="0.35">
      <c r="R450" s="1200"/>
      <c r="S450" s="1200"/>
      <c r="W450" s="1200"/>
      <c r="X450" s="1200"/>
      <c r="AE450" s="1200"/>
      <c r="AF450" s="1200"/>
      <c r="AV450" s="1200"/>
      <c r="AW450" s="1200"/>
      <c r="AX450" s="1200"/>
      <c r="AY450" s="1200"/>
      <c r="AZ450" s="1200"/>
      <c r="BA450" s="1200"/>
      <c r="BC450" s="1200"/>
      <c r="BE450" s="1200"/>
      <c r="BF450" s="1200"/>
      <c r="BG450" s="1200"/>
    </row>
    <row r="451" spans="18:59" x14ac:dyDescent="0.35">
      <c r="R451" s="1200"/>
      <c r="S451" s="1200"/>
      <c r="W451" s="1200"/>
      <c r="X451" s="1200"/>
      <c r="AE451" s="1200"/>
      <c r="AF451" s="1200"/>
      <c r="AV451" s="1200"/>
      <c r="AW451" s="1200"/>
      <c r="AX451" s="1200"/>
      <c r="AY451" s="1200"/>
      <c r="AZ451" s="1200"/>
      <c r="BA451" s="1200"/>
      <c r="BC451" s="1200"/>
      <c r="BE451" s="1200"/>
      <c r="BF451" s="1200"/>
      <c r="BG451" s="1200"/>
    </row>
    <row r="452" spans="18:59" x14ac:dyDescent="0.35">
      <c r="R452" s="1200"/>
      <c r="S452" s="1200"/>
      <c r="W452" s="1200"/>
      <c r="X452" s="1200"/>
      <c r="AE452" s="1200"/>
      <c r="AF452" s="1200"/>
      <c r="AV452" s="1200"/>
      <c r="AW452" s="1200"/>
      <c r="AX452" s="1200"/>
      <c r="AY452" s="1200"/>
      <c r="AZ452" s="1200"/>
      <c r="BA452" s="1200"/>
      <c r="BC452" s="1200"/>
      <c r="BE452" s="1200"/>
      <c r="BF452" s="1200"/>
      <c r="BG452" s="1200"/>
    </row>
    <row r="453" spans="18:59" x14ac:dyDescent="0.35">
      <c r="R453" s="1200"/>
      <c r="S453" s="1200"/>
      <c r="W453" s="1200"/>
      <c r="X453" s="1200"/>
      <c r="AE453" s="1200"/>
      <c r="AF453" s="1200"/>
      <c r="AV453" s="1200"/>
      <c r="AW453" s="1200"/>
      <c r="AX453" s="1200"/>
      <c r="AY453" s="1200"/>
      <c r="AZ453" s="1200"/>
      <c r="BA453" s="1200"/>
      <c r="BC453" s="1200"/>
      <c r="BE453" s="1200"/>
      <c r="BF453" s="1200"/>
      <c r="BG453" s="1200"/>
    </row>
    <row r="454" spans="18:59" x14ac:dyDescent="0.35">
      <c r="R454" s="1200"/>
      <c r="S454" s="1200"/>
      <c r="W454" s="1200"/>
      <c r="X454" s="1200"/>
      <c r="AE454" s="1200"/>
      <c r="AF454" s="1200"/>
      <c r="AV454" s="1200"/>
      <c r="AW454" s="1200"/>
      <c r="AX454" s="1200"/>
      <c r="AY454" s="1200"/>
      <c r="AZ454" s="1200"/>
      <c r="BA454" s="1200"/>
      <c r="BC454" s="1200"/>
      <c r="BE454" s="1200"/>
      <c r="BF454" s="1200"/>
      <c r="BG454" s="1200"/>
    </row>
    <row r="455" spans="18:59" x14ac:dyDescent="0.35">
      <c r="R455" s="1200"/>
      <c r="S455" s="1200"/>
      <c r="W455" s="1200"/>
      <c r="X455" s="1200"/>
      <c r="AE455" s="1200"/>
      <c r="AF455" s="1200"/>
      <c r="AV455" s="1200"/>
      <c r="AW455" s="1200"/>
      <c r="AX455" s="1200"/>
      <c r="AY455" s="1200"/>
      <c r="AZ455" s="1200"/>
      <c r="BA455" s="1200"/>
      <c r="BC455" s="1200"/>
      <c r="BE455" s="1200"/>
      <c r="BF455" s="1200"/>
      <c r="BG455" s="1200"/>
    </row>
    <row r="456" spans="18:59" x14ac:dyDescent="0.35">
      <c r="R456" s="1200"/>
      <c r="S456" s="1200"/>
      <c r="W456" s="1200"/>
      <c r="X456" s="1200"/>
      <c r="AE456" s="1200"/>
      <c r="AF456" s="1200"/>
      <c r="AV456" s="1200"/>
      <c r="AW456" s="1200"/>
      <c r="AX456" s="1200"/>
      <c r="AY456" s="1200"/>
      <c r="AZ456" s="1200"/>
      <c r="BA456" s="1200"/>
      <c r="BC456" s="1200"/>
      <c r="BE456" s="1200"/>
      <c r="BF456" s="1200"/>
      <c r="BG456" s="1200"/>
    </row>
    <row r="457" spans="18:59" x14ac:dyDescent="0.35">
      <c r="R457" s="1200"/>
      <c r="S457" s="1200"/>
      <c r="W457" s="1200"/>
      <c r="X457" s="1200"/>
      <c r="AE457" s="1200"/>
      <c r="AF457" s="1200"/>
      <c r="AV457" s="1200"/>
      <c r="AW457" s="1200"/>
      <c r="AX457" s="1200"/>
      <c r="AY457" s="1200"/>
      <c r="AZ457" s="1200"/>
      <c r="BA457" s="1200"/>
      <c r="BC457" s="1200"/>
      <c r="BE457" s="1200"/>
      <c r="BF457" s="1200"/>
      <c r="BG457" s="1200"/>
    </row>
    <row r="458" spans="18:59" x14ac:dyDescent="0.35">
      <c r="R458" s="1200"/>
      <c r="S458" s="1200"/>
      <c r="W458" s="1200"/>
      <c r="X458" s="1200"/>
      <c r="AE458" s="1200"/>
      <c r="AF458" s="1200"/>
      <c r="AV458" s="1200"/>
      <c r="AW458" s="1200"/>
      <c r="AX458" s="1200"/>
      <c r="AY458" s="1200"/>
      <c r="AZ458" s="1200"/>
      <c r="BA458" s="1200"/>
      <c r="BC458" s="1200"/>
      <c r="BE458" s="1200"/>
      <c r="BF458" s="1200"/>
      <c r="BG458" s="1200"/>
    </row>
    <row r="459" spans="18:59" x14ac:dyDescent="0.35">
      <c r="R459" s="1200"/>
      <c r="S459" s="1200"/>
      <c r="W459" s="1200"/>
      <c r="X459" s="1200"/>
      <c r="AE459" s="1200"/>
      <c r="AF459" s="1200"/>
      <c r="AV459" s="1200"/>
      <c r="AW459" s="1200"/>
      <c r="AX459" s="1200"/>
      <c r="AY459" s="1200"/>
      <c r="AZ459" s="1200"/>
      <c r="BA459" s="1200"/>
      <c r="BC459" s="1200"/>
      <c r="BE459" s="1200"/>
      <c r="BF459" s="1200"/>
      <c r="BG459" s="1200"/>
    </row>
    <row r="460" spans="18:59" x14ac:dyDescent="0.35">
      <c r="R460" s="1200"/>
      <c r="S460" s="1200"/>
      <c r="W460" s="1200"/>
      <c r="X460" s="1200"/>
      <c r="AE460" s="1200"/>
      <c r="AF460" s="1200"/>
      <c r="AV460" s="1200"/>
      <c r="AW460" s="1200"/>
      <c r="AX460" s="1200"/>
      <c r="AY460" s="1200"/>
      <c r="AZ460" s="1200"/>
      <c r="BA460" s="1200"/>
      <c r="BC460" s="1200"/>
      <c r="BE460" s="1200"/>
      <c r="BF460" s="1200"/>
      <c r="BG460" s="1200"/>
    </row>
    <row r="461" spans="18:59" x14ac:dyDescent="0.35">
      <c r="R461" s="1200"/>
      <c r="S461" s="1200"/>
      <c r="W461" s="1200"/>
      <c r="X461" s="1200"/>
      <c r="AE461" s="1200"/>
      <c r="AF461" s="1200"/>
      <c r="AV461" s="1200"/>
      <c r="AW461" s="1200"/>
      <c r="AX461" s="1200"/>
      <c r="AY461" s="1200"/>
      <c r="AZ461" s="1200"/>
      <c r="BA461" s="1200"/>
      <c r="BC461" s="1200"/>
      <c r="BE461" s="1200"/>
      <c r="BF461" s="1200"/>
      <c r="BG461" s="1200"/>
    </row>
    <row r="462" spans="18:59" x14ac:dyDescent="0.35">
      <c r="R462" s="1200"/>
      <c r="S462" s="1200"/>
      <c r="W462" s="1200"/>
      <c r="X462" s="1200"/>
      <c r="AE462" s="1200"/>
      <c r="AF462" s="1200"/>
      <c r="AV462" s="1200"/>
      <c r="AW462" s="1200"/>
      <c r="AX462" s="1200"/>
      <c r="AY462" s="1200"/>
      <c r="AZ462" s="1200"/>
      <c r="BA462" s="1200"/>
      <c r="BC462" s="1200"/>
      <c r="BE462" s="1200"/>
      <c r="BF462" s="1200"/>
      <c r="BG462" s="1200"/>
    </row>
    <row r="463" spans="18:59" x14ac:dyDescent="0.35">
      <c r="R463" s="1200"/>
      <c r="S463" s="1200"/>
      <c r="W463" s="1200"/>
      <c r="X463" s="1200"/>
      <c r="AE463" s="1200"/>
      <c r="AF463" s="1200"/>
      <c r="AV463" s="1200"/>
      <c r="AW463" s="1200"/>
      <c r="AX463" s="1200"/>
      <c r="AY463" s="1200"/>
      <c r="AZ463" s="1200"/>
      <c r="BA463" s="1200"/>
      <c r="BC463" s="1200"/>
      <c r="BE463" s="1200"/>
      <c r="BF463" s="1200"/>
      <c r="BG463" s="1200"/>
    </row>
    <row r="464" spans="18:59" x14ac:dyDescent="0.35">
      <c r="R464" s="1200"/>
      <c r="S464" s="1200"/>
      <c r="W464" s="1200"/>
      <c r="X464" s="1200"/>
      <c r="AE464" s="1200"/>
      <c r="AF464" s="1200"/>
      <c r="AV464" s="1200"/>
      <c r="AW464" s="1200"/>
      <c r="AX464" s="1200"/>
      <c r="AY464" s="1200"/>
      <c r="AZ464" s="1200"/>
      <c r="BA464" s="1200"/>
      <c r="BC464" s="1200"/>
      <c r="BE464" s="1200"/>
      <c r="BF464" s="1200"/>
      <c r="BG464" s="1200"/>
    </row>
    <row r="465" spans="18:59" x14ac:dyDescent="0.35">
      <c r="R465" s="1200"/>
      <c r="S465" s="1200"/>
      <c r="W465" s="1200"/>
      <c r="X465" s="1200"/>
      <c r="AE465" s="1200"/>
      <c r="AF465" s="1200"/>
      <c r="AV465" s="1200"/>
      <c r="AW465" s="1200"/>
      <c r="AX465" s="1200"/>
      <c r="AY465" s="1200"/>
      <c r="AZ465" s="1200"/>
      <c r="BA465" s="1200"/>
      <c r="BC465" s="1200"/>
      <c r="BE465" s="1200"/>
      <c r="BF465" s="1200"/>
      <c r="BG465" s="1200"/>
    </row>
    <row r="466" spans="18:59" x14ac:dyDescent="0.35">
      <c r="R466" s="1200"/>
      <c r="S466" s="1200"/>
      <c r="W466" s="1200"/>
      <c r="X466" s="1200"/>
      <c r="AE466" s="1200"/>
      <c r="AF466" s="1200"/>
      <c r="AV466" s="1200"/>
      <c r="AW466" s="1200"/>
      <c r="AX466" s="1200"/>
      <c r="AY466" s="1200"/>
      <c r="AZ466" s="1200"/>
      <c r="BA466" s="1200"/>
      <c r="BC466" s="1200"/>
      <c r="BE466" s="1200"/>
      <c r="BF466" s="1200"/>
      <c r="BG466" s="1200"/>
    </row>
    <row r="467" spans="18:59" x14ac:dyDescent="0.35">
      <c r="R467" s="1200"/>
      <c r="S467" s="1200"/>
      <c r="W467" s="1200"/>
      <c r="X467" s="1200"/>
      <c r="AE467" s="1200"/>
      <c r="AF467" s="1200"/>
      <c r="AV467" s="1200"/>
      <c r="AW467" s="1200"/>
      <c r="AX467" s="1200"/>
      <c r="AY467" s="1200"/>
      <c r="AZ467" s="1200"/>
      <c r="BA467" s="1200"/>
      <c r="BC467" s="1200"/>
      <c r="BE467" s="1200"/>
      <c r="BF467" s="1200"/>
      <c r="BG467" s="1200"/>
    </row>
    <row r="468" spans="18:59" x14ac:dyDescent="0.35">
      <c r="R468" s="1200"/>
      <c r="S468" s="1200"/>
      <c r="W468" s="1200"/>
      <c r="X468" s="1200"/>
      <c r="AE468" s="1200"/>
      <c r="AF468" s="1200"/>
      <c r="AV468" s="1200"/>
      <c r="AW468" s="1200"/>
      <c r="AX468" s="1200"/>
      <c r="AY468" s="1200"/>
      <c r="AZ468" s="1200"/>
      <c r="BA468" s="1200"/>
      <c r="BC468" s="1200"/>
      <c r="BE468" s="1200"/>
      <c r="BF468" s="1200"/>
      <c r="BG468" s="1200"/>
    </row>
    <row r="469" spans="18:59" x14ac:dyDescent="0.35">
      <c r="R469" s="1200"/>
      <c r="S469" s="1200"/>
      <c r="W469" s="1200"/>
      <c r="X469" s="1200"/>
      <c r="AE469" s="1200"/>
      <c r="AF469" s="1200"/>
      <c r="AV469" s="1200"/>
      <c r="AW469" s="1200"/>
      <c r="AX469" s="1200"/>
      <c r="AY469" s="1200"/>
      <c r="AZ469" s="1200"/>
      <c r="BA469" s="1200"/>
      <c r="BC469" s="1200"/>
      <c r="BE469" s="1200"/>
      <c r="BF469" s="1200"/>
      <c r="BG469" s="1200"/>
    </row>
    <row r="470" spans="18:59" x14ac:dyDescent="0.35">
      <c r="R470" s="1200"/>
      <c r="S470" s="1200"/>
      <c r="W470" s="1200"/>
      <c r="X470" s="1200"/>
      <c r="AE470" s="1200"/>
      <c r="AF470" s="1200"/>
      <c r="AV470" s="1200"/>
      <c r="AW470" s="1200"/>
      <c r="AX470" s="1200"/>
      <c r="AY470" s="1200"/>
      <c r="AZ470" s="1200"/>
      <c r="BA470" s="1200"/>
      <c r="BC470" s="1200"/>
      <c r="BE470" s="1200"/>
      <c r="BF470" s="1200"/>
      <c r="BG470" s="1200"/>
    </row>
    <row r="471" spans="18:59" x14ac:dyDescent="0.35">
      <c r="R471" s="1200"/>
      <c r="S471" s="1200"/>
      <c r="W471" s="1200"/>
      <c r="X471" s="1200"/>
      <c r="AE471" s="1200"/>
      <c r="AF471" s="1200"/>
      <c r="AV471" s="1200"/>
      <c r="AW471" s="1200"/>
      <c r="AX471" s="1200"/>
      <c r="AY471" s="1200"/>
      <c r="AZ471" s="1200"/>
      <c r="BA471" s="1200"/>
      <c r="BC471" s="1200"/>
      <c r="BE471" s="1200"/>
      <c r="BF471" s="1200"/>
      <c r="BG471" s="1200"/>
    </row>
    <row r="472" spans="18:59" x14ac:dyDescent="0.35">
      <c r="R472" s="1200"/>
      <c r="S472" s="1200"/>
      <c r="W472" s="1200"/>
      <c r="X472" s="1200"/>
      <c r="AE472" s="1200"/>
      <c r="AF472" s="1200"/>
      <c r="AV472" s="1200"/>
      <c r="AW472" s="1200"/>
      <c r="AX472" s="1200"/>
      <c r="AY472" s="1200"/>
      <c r="AZ472" s="1200"/>
      <c r="BA472" s="1200"/>
      <c r="BC472" s="1200"/>
      <c r="BE472" s="1200"/>
      <c r="BF472" s="1200"/>
      <c r="BG472" s="1200"/>
    </row>
    <row r="473" spans="18:59" x14ac:dyDescent="0.35">
      <c r="R473" s="1200"/>
      <c r="S473" s="1200"/>
      <c r="W473" s="1200"/>
      <c r="X473" s="1200"/>
      <c r="AE473" s="1200"/>
      <c r="AF473" s="1200"/>
      <c r="AV473" s="1200"/>
      <c r="AW473" s="1200"/>
      <c r="AX473" s="1200"/>
      <c r="AY473" s="1200"/>
      <c r="AZ473" s="1200"/>
      <c r="BA473" s="1200"/>
      <c r="BC473" s="1200"/>
      <c r="BE473" s="1200"/>
      <c r="BF473" s="1200"/>
      <c r="BG473" s="1200"/>
    </row>
    <row r="474" spans="18:59" x14ac:dyDescent="0.35">
      <c r="R474" s="1200"/>
      <c r="S474" s="1200"/>
      <c r="W474" s="1200"/>
      <c r="X474" s="1200"/>
      <c r="AE474" s="1200"/>
      <c r="AF474" s="1200"/>
      <c r="AV474" s="1200"/>
      <c r="AW474" s="1200"/>
      <c r="AX474" s="1200"/>
      <c r="AY474" s="1200"/>
      <c r="AZ474" s="1200"/>
      <c r="BA474" s="1200"/>
      <c r="BC474" s="1200"/>
      <c r="BE474" s="1200"/>
      <c r="BF474" s="1200"/>
      <c r="BG474" s="1200"/>
    </row>
    <row r="475" spans="18:59" x14ac:dyDescent="0.35">
      <c r="R475" s="1200"/>
      <c r="S475" s="1200"/>
      <c r="W475" s="1200"/>
      <c r="X475" s="1200"/>
      <c r="AE475" s="1200"/>
      <c r="AF475" s="1200"/>
      <c r="AV475" s="1200"/>
      <c r="AW475" s="1200"/>
      <c r="AX475" s="1200"/>
      <c r="AY475" s="1200"/>
      <c r="AZ475" s="1200"/>
      <c r="BA475" s="1200"/>
      <c r="BC475" s="1200"/>
      <c r="BE475" s="1200"/>
      <c r="BF475" s="1200"/>
      <c r="BG475" s="1200"/>
    </row>
    <row r="476" spans="18:59" x14ac:dyDescent="0.35">
      <c r="R476" s="1200"/>
      <c r="S476" s="1200"/>
      <c r="W476" s="1200"/>
      <c r="X476" s="1200"/>
      <c r="AE476" s="1200"/>
      <c r="AF476" s="1200"/>
      <c r="AV476" s="1200"/>
      <c r="AW476" s="1200"/>
      <c r="AX476" s="1200"/>
      <c r="AY476" s="1200"/>
      <c r="AZ476" s="1200"/>
      <c r="BA476" s="1200"/>
      <c r="BC476" s="1200"/>
      <c r="BE476" s="1200"/>
      <c r="BF476" s="1200"/>
      <c r="BG476" s="1200"/>
    </row>
    <row r="477" spans="18:59" x14ac:dyDescent="0.35">
      <c r="R477" s="1200"/>
      <c r="S477" s="1200"/>
      <c r="W477" s="1200"/>
      <c r="X477" s="1200"/>
      <c r="AE477" s="1200"/>
      <c r="AF477" s="1200"/>
      <c r="AV477" s="1200"/>
      <c r="AW477" s="1200"/>
      <c r="AX477" s="1200"/>
      <c r="AY477" s="1200"/>
      <c r="AZ477" s="1200"/>
      <c r="BA477" s="1200"/>
      <c r="BC477" s="1200"/>
      <c r="BE477" s="1200"/>
      <c r="BF477" s="1200"/>
      <c r="BG477" s="1200"/>
    </row>
    <row r="478" spans="18:59" x14ac:dyDescent="0.35">
      <c r="R478" s="1200"/>
      <c r="S478" s="1200"/>
      <c r="W478" s="1200"/>
      <c r="X478" s="1200"/>
      <c r="AE478" s="1200"/>
      <c r="AF478" s="1200"/>
      <c r="AV478" s="1200"/>
      <c r="AW478" s="1200"/>
      <c r="AX478" s="1200"/>
      <c r="AY478" s="1200"/>
      <c r="AZ478" s="1200"/>
      <c r="BA478" s="1200"/>
      <c r="BC478" s="1200"/>
      <c r="BE478" s="1200"/>
      <c r="BF478" s="1200"/>
      <c r="BG478" s="1200"/>
    </row>
    <row r="479" spans="18:59" x14ac:dyDescent="0.35">
      <c r="R479" s="1200"/>
      <c r="S479" s="1200"/>
      <c r="W479" s="1200"/>
      <c r="X479" s="1200"/>
      <c r="AE479" s="1200"/>
      <c r="AF479" s="1200"/>
      <c r="AV479" s="1200"/>
      <c r="AW479" s="1200"/>
      <c r="AX479" s="1200"/>
      <c r="AY479" s="1200"/>
      <c r="AZ479" s="1200"/>
      <c r="BA479" s="1200"/>
      <c r="BC479" s="1200"/>
      <c r="BE479" s="1200"/>
      <c r="BF479" s="1200"/>
      <c r="BG479" s="1200"/>
    </row>
    <row r="480" spans="18:59" x14ac:dyDescent="0.35">
      <c r="R480" s="1200"/>
      <c r="S480" s="1200"/>
      <c r="W480" s="1200"/>
      <c r="X480" s="1200"/>
      <c r="AE480" s="1200"/>
      <c r="AF480" s="1200"/>
      <c r="AV480" s="1200"/>
      <c r="AW480" s="1200"/>
      <c r="AX480" s="1200"/>
      <c r="AY480" s="1200"/>
      <c r="AZ480" s="1200"/>
      <c r="BA480" s="1200"/>
      <c r="BC480" s="1200"/>
      <c r="BE480" s="1200"/>
      <c r="BF480" s="1200"/>
      <c r="BG480" s="1200"/>
    </row>
    <row r="481" spans="18:59" x14ac:dyDescent="0.35">
      <c r="R481" s="1200"/>
      <c r="S481" s="1200"/>
      <c r="W481" s="1200"/>
      <c r="X481" s="1200"/>
      <c r="AE481" s="1200"/>
      <c r="AF481" s="1200"/>
      <c r="AV481" s="1200"/>
      <c r="AW481" s="1200"/>
      <c r="AX481" s="1200"/>
      <c r="AY481" s="1200"/>
      <c r="AZ481" s="1200"/>
      <c r="BA481" s="1200"/>
      <c r="BC481" s="1200"/>
      <c r="BE481" s="1200"/>
      <c r="BF481" s="1200"/>
      <c r="BG481" s="1200"/>
    </row>
    <row r="482" spans="18:59" x14ac:dyDescent="0.35">
      <c r="R482" s="1200"/>
      <c r="S482" s="1200"/>
      <c r="W482" s="1200"/>
      <c r="X482" s="1200"/>
      <c r="AE482" s="1200"/>
      <c r="AF482" s="1200"/>
      <c r="AV482" s="1200"/>
      <c r="AW482" s="1200"/>
      <c r="AX482" s="1200"/>
      <c r="AY482" s="1200"/>
      <c r="AZ482" s="1200"/>
      <c r="BA482" s="1200"/>
      <c r="BC482" s="1200"/>
      <c r="BE482" s="1200"/>
      <c r="BF482" s="1200"/>
      <c r="BG482" s="1200"/>
    </row>
    <row r="483" spans="18:59" x14ac:dyDescent="0.35">
      <c r="R483" s="1200"/>
      <c r="S483" s="1200"/>
      <c r="W483" s="1200"/>
      <c r="X483" s="1200"/>
      <c r="AE483" s="1200"/>
      <c r="AF483" s="1200"/>
      <c r="AV483" s="1200"/>
      <c r="AW483" s="1200"/>
      <c r="AX483" s="1200"/>
      <c r="AY483" s="1200"/>
      <c r="AZ483" s="1200"/>
      <c r="BA483" s="1200"/>
      <c r="BC483" s="1200"/>
      <c r="BE483" s="1200"/>
      <c r="BF483" s="1200"/>
      <c r="BG483" s="1200"/>
    </row>
    <row r="484" spans="18:59" x14ac:dyDescent="0.35">
      <c r="R484" s="1200"/>
      <c r="S484" s="1200"/>
      <c r="W484" s="1200"/>
      <c r="X484" s="1200"/>
      <c r="AE484" s="1200"/>
      <c r="AF484" s="1200"/>
      <c r="AV484" s="1200"/>
      <c r="AW484" s="1200"/>
      <c r="AX484" s="1200"/>
      <c r="AY484" s="1200"/>
      <c r="AZ484" s="1200"/>
      <c r="BA484" s="1200"/>
      <c r="BC484" s="1200"/>
      <c r="BE484" s="1200"/>
      <c r="BF484" s="1200"/>
      <c r="BG484" s="1200"/>
    </row>
    <row r="485" spans="18:59" x14ac:dyDescent="0.35">
      <c r="R485" s="1200"/>
      <c r="S485" s="1200"/>
      <c r="W485" s="1200"/>
      <c r="X485" s="1200"/>
      <c r="AE485" s="1200"/>
      <c r="AF485" s="1200"/>
      <c r="AV485" s="1200"/>
      <c r="AW485" s="1200"/>
      <c r="AX485" s="1200"/>
      <c r="AY485" s="1200"/>
      <c r="AZ485" s="1200"/>
      <c r="BA485" s="1200"/>
      <c r="BC485" s="1200"/>
      <c r="BE485" s="1200"/>
      <c r="BF485" s="1200"/>
      <c r="BG485" s="1200"/>
    </row>
    <row r="486" spans="18:59" x14ac:dyDescent="0.35">
      <c r="R486" s="1200"/>
      <c r="S486" s="1200"/>
      <c r="W486" s="1200"/>
      <c r="X486" s="1200"/>
      <c r="AE486" s="1200"/>
      <c r="AF486" s="1200"/>
      <c r="AV486" s="1200"/>
      <c r="AW486" s="1200"/>
      <c r="AX486" s="1200"/>
      <c r="AY486" s="1200"/>
      <c r="AZ486" s="1200"/>
      <c r="BA486" s="1200"/>
      <c r="BC486" s="1200"/>
      <c r="BE486" s="1200"/>
      <c r="BF486" s="1200"/>
      <c r="BG486" s="1200"/>
    </row>
    <row r="487" spans="18:59" x14ac:dyDescent="0.35">
      <c r="R487" s="1200"/>
      <c r="S487" s="1200"/>
      <c r="W487" s="1200"/>
      <c r="X487" s="1200"/>
      <c r="AE487" s="1200"/>
      <c r="AF487" s="1200"/>
      <c r="AV487" s="1200"/>
      <c r="AW487" s="1200"/>
      <c r="AX487" s="1200"/>
      <c r="AY487" s="1200"/>
      <c r="AZ487" s="1200"/>
      <c r="BA487" s="1200"/>
      <c r="BC487" s="1200"/>
      <c r="BE487" s="1200"/>
      <c r="BF487" s="1200"/>
      <c r="BG487" s="1200"/>
    </row>
    <row r="488" spans="18:59" x14ac:dyDescent="0.35">
      <c r="R488" s="1200"/>
      <c r="S488" s="1200"/>
      <c r="W488" s="1200"/>
      <c r="X488" s="1200"/>
      <c r="AE488" s="1200"/>
      <c r="AF488" s="1200"/>
      <c r="AV488" s="1200"/>
      <c r="AW488" s="1200"/>
      <c r="AX488" s="1200"/>
      <c r="AY488" s="1200"/>
      <c r="AZ488" s="1200"/>
      <c r="BA488" s="1200"/>
      <c r="BC488" s="1200"/>
      <c r="BE488" s="1200"/>
      <c r="BF488" s="1200"/>
      <c r="BG488" s="1200"/>
    </row>
    <row r="489" spans="18:59" x14ac:dyDescent="0.35">
      <c r="R489" s="1200"/>
      <c r="S489" s="1200"/>
      <c r="W489" s="1200"/>
      <c r="X489" s="1200"/>
      <c r="AE489" s="1200"/>
      <c r="AF489" s="1200"/>
      <c r="AV489" s="1200"/>
      <c r="AW489" s="1200"/>
      <c r="AX489" s="1200"/>
      <c r="AY489" s="1200"/>
      <c r="AZ489" s="1200"/>
      <c r="BA489" s="1200"/>
      <c r="BC489" s="1200"/>
      <c r="BE489" s="1200"/>
      <c r="BF489" s="1200"/>
      <c r="BG489" s="1200"/>
    </row>
    <row r="490" spans="18:59" x14ac:dyDescent="0.35">
      <c r="R490" s="1200"/>
      <c r="S490" s="1200"/>
      <c r="W490" s="1200"/>
      <c r="X490" s="1200"/>
      <c r="AE490" s="1200"/>
      <c r="AF490" s="1200"/>
      <c r="AV490" s="1200"/>
      <c r="AW490" s="1200"/>
      <c r="AX490" s="1200"/>
      <c r="AY490" s="1200"/>
      <c r="AZ490" s="1200"/>
      <c r="BA490" s="1200"/>
      <c r="BC490" s="1200"/>
      <c r="BE490" s="1200"/>
      <c r="BF490" s="1200"/>
      <c r="BG490" s="1200"/>
    </row>
    <row r="491" spans="18:59" x14ac:dyDescent="0.35">
      <c r="R491" s="1200"/>
      <c r="S491" s="1200"/>
      <c r="W491" s="1200"/>
      <c r="X491" s="1200"/>
      <c r="AE491" s="1200"/>
      <c r="AF491" s="1200"/>
      <c r="AV491" s="1200"/>
      <c r="AW491" s="1200"/>
      <c r="AX491" s="1200"/>
      <c r="AY491" s="1200"/>
      <c r="AZ491" s="1200"/>
      <c r="BA491" s="1200"/>
      <c r="BC491" s="1200"/>
      <c r="BE491" s="1200"/>
      <c r="BF491" s="1200"/>
      <c r="BG491" s="1200"/>
    </row>
    <row r="492" spans="18:59" x14ac:dyDescent="0.35">
      <c r="R492" s="1200"/>
      <c r="S492" s="1200"/>
      <c r="W492" s="1200"/>
      <c r="X492" s="1200"/>
      <c r="AE492" s="1200"/>
      <c r="AF492" s="1200"/>
      <c r="AV492" s="1200"/>
      <c r="AW492" s="1200"/>
      <c r="AX492" s="1200"/>
      <c r="AY492" s="1200"/>
      <c r="AZ492" s="1200"/>
      <c r="BA492" s="1200"/>
      <c r="BC492" s="1200"/>
      <c r="BE492" s="1200"/>
      <c r="BF492" s="1200"/>
      <c r="BG492" s="1200"/>
    </row>
    <row r="493" spans="18:59" x14ac:dyDescent="0.35">
      <c r="R493" s="1200"/>
      <c r="S493" s="1200"/>
      <c r="W493" s="1200"/>
      <c r="X493" s="1200"/>
      <c r="AE493" s="1200"/>
      <c r="AF493" s="1200"/>
      <c r="AV493" s="1200"/>
      <c r="AW493" s="1200"/>
      <c r="AX493" s="1200"/>
      <c r="AY493" s="1200"/>
      <c r="AZ493" s="1200"/>
      <c r="BA493" s="1200"/>
      <c r="BC493" s="1200"/>
      <c r="BE493" s="1200"/>
      <c r="BF493" s="1200"/>
      <c r="BG493" s="1200"/>
    </row>
    <row r="494" spans="18:59" x14ac:dyDescent="0.35">
      <c r="R494" s="1200"/>
      <c r="S494" s="1200"/>
      <c r="W494" s="1200"/>
      <c r="X494" s="1200"/>
      <c r="AE494" s="1200"/>
      <c r="AF494" s="1200"/>
      <c r="AV494" s="1200"/>
      <c r="AW494" s="1200"/>
      <c r="AX494" s="1200"/>
      <c r="AY494" s="1200"/>
      <c r="AZ494" s="1200"/>
      <c r="BA494" s="1200"/>
      <c r="BC494" s="1200"/>
      <c r="BE494" s="1200"/>
      <c r="BF494" s="1200"/>
      <c r="BG494" s="1200"/>
    </row>
    <row r="495" spans="18:59" x14ac:dyDescent="0.35">
      <c r="R495" s="1200"/>
      <c r="S495" s="1200"/>
      <c r="W495" s="1200"/>
      <c r="X495" s="1200"/>
      <c r="AE495" s="1200"/>
      <c r="AF495" s="1200"/>
      <c r="AV495" s="1200"/>
      <c r="AW495" s="1200"/>
      <c r="AX495" s="1200"/>
      <c r="AY495" s="1200"/>
      <c r="AZ495" s="1200"/>
      <c r="BA495" s="1200"/>
      <c r="BC495" s="1200"/>
      <c r="BE495" s="1200"/>
      <c r="BF495" s="1200"/>
      <c r="BG495" s="1200"/>
    </row>
    <row r="496" spans="18:59" x14ac:dyDescent="0.35">
      <c r="R496" s="1200"/>
      <c r="S496" s="1200"/>
      <c r="W496" s="1200"/>
      <c r="X496" s="1200"/>
      <c r="AE496" s="1200"/>
      <c r="AF496" s="1200"/>
      <c r="AV496" s="1200"/>
      <c r="AW496" s="1200"/>
      <c r="AX496" s="1200"/>
      <c r="AY496" s="1200"/>
      <c r="AZ496" s="1200"/>
      <c r="BA496" s="1200"/>
      <c r="BC496" s="1200"/>
      <c r="BE496" s="1200"/>
      <c r="BF496" s="1200"/>
      <c r="BG496" s="1200"/>
    </row>
    <row r="497" spans="18:59" x14ac:dyDescent="0.35">
      <c r="R497" s="1200"/>
      <c r="S497" s="1200"/>
      <c r="W497" s="1200"/>
      <c r="X497" s="1200"/>
      <c r="AE497" s="1200"/>
      <c r="AF497" s="1200"/>
      <c r="AV497" s="1200"/>
      <c r="AW497" s="1200"/>
      <c r="AX497" s="1200"/>
      <c r="AY497" s="1200"/>
      <c r="AZ497" s="1200"/>
      <c r="BA497" s="1200"/>
      <c r="BC497" s="1200"/>
      <c r="BE497" s="1200"/>
      <c r="BF497" s="1200"/>
      <c r="BG497" s="1200"/>
    </row>
    <row r="498" spans="18:59" x14ac:dyDescent="0.35">
      <c r="R498" s="1200"/>
      <c r="S498" s="1200"/>
      <c r="W498" s="1200"/>
      <c r="X498" s="1200"/>
      <c r="AE498" s="1200"/>
      <c r="AF498" s="1200"/>
      <c r="AV498" s="1200"/>
      <c r="AW498" s="1200"/>
      <c r="AX498" s="1200"/>
      <c r="AY498" s="1200"/>
      <c r="AZ498" s="1200"/>
      <c r="BA498" s="1200"/>
      <c r="BC498" s="1200"/>
      <c r="BE498" s="1200"/>
      <c r="BF498" s="1200"/>
      <c r="BG498" s="1200"/>
    </row>
    <row r="499" spans="18:59" x14ac:dyDescent="0.35">
      <c r="R499" s="1200"/>
      <c r="S499" s="1200"/>
      <c r="W499" s="1200"/>
      <c r="X499" s="1200"/>
      <c r="AE499" s="1200"/>
      <c r="AF499" s="1200"/>
      <c r="AV499" s="1200"/>
      <c r="AW499" s="1200"/>
      <c r="AX499" s="1200"/>
      <c r="AY499" s="1200"/>
      <c r="AZ499" s="1200"/>
      <c r="BA499" s="1200"/>
      <c r="BC499" s="1200"/>
      <c r="BE499" s="1200"/>
      <c r="BF499" s="1200"/>
      <c r="BG499" s="1200"/>
    </row>
    <row r="500" spans="18:59" x14ac:dyDescent="0.35">
      <c r="R500" s="1200"/>
      <c r="S500" s="1200"/>
      <c r="W500" s="1200"/>
      <c r="X500" s="1200"/>
      <c r="AE500" s="1200"/>
      <c r="AF500" s="1200"/>
      <c r="AV500" s="1200"/>
      <c r="AW500" s="1200"/>
      <c r="AX500" s="1200"/>
      <c r="AY500" s="1200"/>
      <c r="AZ500" s="1200"/>
      <c r="BA500" s="1200"/>
      <c r="BC500" s="1200"/>
      <c r="BE500" s="1200"/>
      <c r="BF500" s="1200"/>
      <c r="BG500" s="1200"/>
    </row>
    <row r="501" spans="18:59" x14ac:dyDescent="0.35">
      <c r="R501" s="1200"/>
      <c r="S501" s="1200"/>
      <c r="W501" s="1200"/>
      <c r="X501" s="1200"/>
      <c r="AE501" s="1200"/>
      <c r="AF501" s="1200"/>
      <c r="AV501" s="1200"/>
      <c r="AW501" s="1200"/>
      <c r="AX501" s="1200"/>
      <c r="AY501" s="1200"/>
      <c r="AZ501" s="1200"/>
      <c r="BA501" s="1200"/>
      <c r="BC501" s="1200"/>
      <c r="BE501" s="1200"/>
      <c r="BF501" s="1200"/>
      <c r="BG501" s="1200"/>
    </row>
    <row r="502" spans="18:59" x14ac:dyDescent="0.35">
      <c r="R502" s="1200"/>
      <c r="S502" s="1200"/>
      <c r="W502" s="1200"/>
      <c r="X502" s="1200"/>
      <c r="AE502" s="1200"/>
      <c r="AF502" s="1200"/>
      <c r="AV502" s="1200"/>
      <c r="AW502" s="1200"/>
      <c r="AX502" s="1200"/>
      <c r="AY502" s="1200"/>
      <c r="AZ502" s="1200"/>
      <c r="BA502" s="1200"/>
      <c r="BC502" s="1200"/>
      <c r="BE502" s="1200"/>
      <c r="BF502" s="1200"/>
      <c r="BG502" s="1200"/>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204" t="s">
        <v>725</v>
      </c>
      <c r="B1" s="1204"/>
      <c r="C1" s="1204"/>
      <c r="D1" s="1204"/>
    </row>
    <row r="2" spans="1:22" x14ac:dyDescent="0.35">
      <c r="A2" t="s">
        <v>726</v>
      </c>
      <c r="B2" s="629">
        <v>2021</v>
      </c>
      <c r="C2" s="629">
        <v>2021</v>
      </c>
      <c r="D2" s="629">
        <v>2021</v>
      </c>
      <c r="E2" s="629">
        <v>2022</v>
      </c>
      <c r="F2" s="629">
        <v>2022</v>
      </c>
      <c r="G2" s="629">
        <v>2022</v>
      </c>
      <c r="H2" s="629">
        <v>2022</v>
      </c>
      <c r="I2" s="629">
        <v>2023</v>
      </c>
      <c r="J2" s="629">
        <v>2023</v>
      </c>
      <c r="K2" s="629">
        <v>2023</v>
      </c>
      <c r="L2" s="629">
        <v>2023</v>
      </c>
      <c r="M2" s="629">
        <v>2024</v>
      </c>
      <c r="N2" s="629">
        <v>2024</v>
      </c>
      <c r="O2" s="629">
        <v>2024</v>
      </c>
      <c r="P2" s="629">
        <v>2024</v>
      </c>
      <c r="Q2" s="629">
        <v>2025</v>
      </c>
      <c r="R2" s="629">
        <v>2025</v>
      </c>
      <c r="S2" s="629">
        <v>2025</v>
      </c>
      <c r="T2" s="629">
        <v>2025</v>
      </c>
      <c r="U2" s="629">
        <v>2026</v>
      </c>
    </row>
    <row r="3" spans="1:22" x14ac:dyDescent="0.35">
      <c r="A3" s="930" t="s">
        <v>727</v>
      </c>
      <c r="B3" s="748" t="s">
        <v>728</v>
      </c>
      <c r="C3" s="748" t="s">
        <v>729</v>
      </c>
      <c r="D3" s="748" t="s">
        <v>730</v>
      </c>
      <c r="E3" s="748" t="s">
        <v>731</v>
      </c>
      <c r="F3" s="748" t="s">
        <v>732</v>
      </c>
      <c r="G3" s="748" t="s">
        <v>733</v>
      </c>
      <c r="H3" s="748" t="s">
        <v>734</v>
      </c>
      <c r="I3" s="748" t="s">
        <v>735</v>
      </c>
      <c r="J3" s="748" t="s">
        <v>736</v>
      </c>
      <c r="K3" s="748" t="s">
        <v>737</v>
      </c>
      <c r="L3" s="748" t="s">
        <v>738</v>
      </c>
      <c r="M3" s="748" t="s">
        <v>739</v>
      </c>
      <c r="N3" s="748" t="s">
        <v>740</v>
      </c>
      <c r="O3" s="748" t="s">
        <v>741</v>
      </c>
      <c r="P3" s="748" t="s">
        <v>742</v>
      </c>
      <c r="Q3" s="748" t="s">
        <v>743</v>
      </c>
      <c r="R3" s="748" t="s">
        <v>744</v>
      </c>
      <c r="S3" s="748" t="s">
        <v>745</v>
      </c>
      <c r="T3" s="748" t="s">
        <v>746</v>
      </c>
      <c r="U3" s="748" t="s">
        <v>747</v>
      </c>
    </row>
    <row r="4" spans="1:22" x14ac:dyDescent="0.35">
      <c r="A4" s="930" t="s">
        <v>748</v>
      </c>
      <c r="B4" s="748"/>
      <c r="C4" s="748"/>
      <c r="D4" s="748">
        <v>0</v>
      </c>
      <c r="E4" s="748">
        <v>0</v>
      </c>
      <c r="F4" s="748">
        <v>0.5</v>
      </c>
      <c r="G4" s="748">
        <v>0.5</v>
      </c>
      <c r="H4" s="748">
        <v>0</v>
      </c>
      <c r="I4" s="748">
        <v>0</v>
      </c>
      <c r="J4" s="748">
        <v>0</v>
      </c>
      <c r="K4" s="748">
        <v>0</v>
      </c>
      <c r="L4" s="748">
        <v>0</v>
      </c>
      <c r="M4" s="748">
        <v>0</v>
      </c>
      <c r="N4" s="748">
        <v>0</v>
      </c>
      <c r="O4" s="748">
        <v>0</v>
      </c>
      <c r="P4" s="748">
        <v>0</v>
      </c>
      <c r="Q4" s="748">
        <v>0</v>
      </c>
      <c r="R4" s="748">
        <v>0</v>
      </c>
      <c r="S4" s="748">
        <v>0</v>
      </c>
      <c r="T4" s="748">
        <v>0</v>
      </c>
      <c r="U4" s="748">
        <v>0</v>
      </c>
    </row>
    <row r="5" spans="1:22" x14ac:dyDescent="0.35">
      <c r="A5" s="930" t="s">
        <v>749</v>
      </c>
      <c r="B5" s="748">
        <v>0.04</v>
      </c>
      <c r="C5" s="748">
        <v>0.48</v>
      </c>
      <c r="D5" s="748">
        <v>0.48</v>
      </c>
      <c r="E5" s="748">
        <v>0</v>
      </c>
      <c r="F5" s="748">
        <v>0</v>
      </c>
      <c r="G5" s="748">
        <v>0</v>
      </c>
      <c r="H5" s="748">
        <v>0</v>
      </c>
      <c r="I5" s="748">
        <v>0</v>
      </c>
      <c r="J5" s="748">
        <v>0</v>
      </c>
      <c r="K5" s="748">
        <v>0</v>
      </c>
      <c r="L5" s="748">
        <v>0</v>
      </c>
      <c r="M5" s="748">
        <v>0</v>
      </c>
      <c r="N5" s="748">
        <v>0</v>
      </c>
      <c r="O5" s="748">
        <v>0</v>
      </c>
      <c r="P5" s="748">
        <v>0</v>
      </c>
      <c r="Q5" s="748">
        <v>0</v>
      </c>
      <c r="R5" s="748">
        <v>0</v>
      </c>
      <c r="S5" s="748">
        <v>0</v>
      </c>
      <c r="T5" s="748">
        <v>0</v>
      </c>
      <c r="U5" s="748">
        <v>0</v>
      </c>
    </row>
    <row r="6" spans="1:22" x14ac:dyDescent="0.35">
      <c r="A6" s="930" t="s">
        <v>750</v>
      </c>
      <c r="B6" s="748">
        <f>B8</f>
        <v>0</v>
      </c>
      <c r="C6" s="748">
        <f>C8</f>
        <v>0.43</v>
      </c>
      <c r="D6" s="748">
        <f t="shared" ref="D6:U6" si="0">D8</f>
        <v>0.56999999999999995</v>
      </c>
      <c r="E6" s="748">
        <f t="shared" si="0"/>
        <v>0.25</v>
      </c>
      <c r="F6" s="748">
        <f t="shared" si="0"/>
        <v>0.25</v>
      </c>
      <c r="G6" s="748">
        <f t="shared" si="0"/>
        <v>0.25</v>
      </c>
      <c r="H6" s="748">
        <f t="shared" si="0"/>
        <v>0.25</v>
      </c>
      <c r="I6" s="748">
        <f t="shared" si="0"/>
        <v>0.25</v>
      </c>
      <c r="J6" s="748">
        <f t="shared" si="0"/>
        <v>0.25</v>
      </c>
      <c r="K6" s="748">
        <f t="shared" si="0"/>
        <v>0.25</v>
      </c>
      <c r="L6" s="748">
        <f t="shared" si="0"/>
        <v>0.25</v>
      </c>
      <c r="M6" s="748">
        <f t="shared" si="0"/>
        <v>0.25</v>
      </c>
      <c r="N6" s="748">
        <f t="shared" si="0"/>
        <v>0.25</v>
      </c>
      <c r="O6" s="748">
        <f t="shared" si="0"/>
        <v>0.25</v>
      </c>
      <c r="P6" s="748">
        <f t="shared" si="0"/>
        <v>0.25</v>
      </c>
      <c r="Q6" s="748">
        <f t="shared" si="0"/>
        <v>0.25</v>
      </c>
      <c r="R6" s="748">
        <f t="shared" si="0"/>
        <v>0.25</v>
      </c>
      <c r="S6" s="748">
        <f t="shared" si="0"/>
        <v>0.25</v>
      </c>
      <c r="T6" s="748">
        <f t="shared" si="0"/>
        <v>0.25</v>
      </c>
      <c r="U6" s="748">
        <f t="shared" si="0"/>
        <v>0.25</v>
      </c>
    </row>
    <row r="7" spans="1:22" x14ac:dyDescent="0.35">
      <c r="A7" s="930" t="s">
        <v>751</v>
      </c>
      <c r="B7" s="748">
        <v>0</v>
      </c>
      <c r="C7" s="748">
        <v>0</v>
      </c>
      <c r="D7" s="748">
        <v>1</v>
      </c>
      <c r="E7" s="748">
        <v>0.25</v>
      </c>
      <c r="F7" s="748">
        <v>0.25</v>
      </c>
      <c r="G7" s="748">
        <v>0.25</v>
      </c>
      <c r="H7" s="748">
        <v>0.25</v>
      </c>
      <c r="I7" s="748">
        <v>0.25</v>
      </c>
      <c r="J7" s="748">
        <v>0.25</v>
      </c>
      <c r="K7" s="748">
        <v>0.25</v>
      </c>
      <c r="L7" s="748">
        <v>0.25</v>
      </c>
      <c r="M7" s="748">
        <v>0.25</v>
      </c>
      <c r="N7" s="748">
        <v>0.25</v>
      </c>
      <c r="O7" s="748">
        <v>0.25</v>
      </c>
      <c r="P7" s="748">
        <v>0.25</v>
      </c>
      <c r="Q7" s="748">
        <v>0.25</v>
      </c>
      <c r="R7" s="748">
        <v>0.25</v>
      </c>
      <c r="S7" s="748">
        <v>0.25</v>
      </c>
      <c r="T7" s="748">
        <v>0.25</v>
      </c>
      <c r="U7" s="748">
        <v>0.25</v>
      </c>
    </row>
    <row r="8" spans="1:22" x14ac:dyDescent="0.35">
      <c r="A8" s="930" t="s">
        <v>752</v>
      </c>
      <c r="B8" s="748">
        <v>0</v>
      </c>
      <c r="C8" s="748">
        <v>0.43</v>
      </c>
      <c r="D8" s="748">
        <v>0.56999999999999995</v>
      </c>
      <c r="E8" s="748">
        <v>0.25</v>
      </c>
      <c r="F8" s="748">
        <v>0.25</v>
      </c>
      <c r="G8" s="748">
        <v>0.25</v>
      </c>
      <c r="H8" s="748">
        <v>0.25</v>
      </c>
      <c r="I8" s="748">
        <v>0.25</v>
      </c>
      <c r="J8" s="748">
        <v>0.25</v>
      </c>
      <c r="K8" s="748">
        <v>0.25</v>
      </c>
      <c r="L8" s="748">
        <v>0.25</v>
      </c>
      <c r="M8" s="748">
        <v>0.25</v>
      </c>
      <c r="N8" s="748">
        <v>0.25</v>
      </c>
      <c r="O8" s="748">
        <v>0.25</v>
      </c>
      <c r="P8" s="748">
        <v>0.25</v>
      </c>
      <c r="Q8" s="748">
        <v>0.25</v>
      </c>
      <c r="R8" s="748">
        <v>0.25</v>
      </c>
      <c r="S8" s="748">
        <v>0.25</v>
      </c>
      <c r="T8" s="748">
        <v>0.25</v>
      </c>
      <c r="U8" s="748">
        <v>0.25</v>
      </c>
    </row>
    <row r="9" spans="1:22" ht="27" customHeight="1" x14ac:dyDescent="0.35">
      <c r="A9" s="930" t="s">
        <v>753</v>
      </c>
      <c r="B9" s="748">
        <v>0</v>
      </c>
      <c r="C9" s="748">
        <f>0.18</f>
        <v>0.18</v>
      </c>
      <c r="D9" s="748">
        <f>1-C9</f>
        <v>0.82000000000000006</v>
      </c>
      <c r="E9" s="748">
        <v>0.25</v>
      </c>
      <c r="F9" s="748">
        <v>0.25</v>
      </c>
      <c r="G9" s="748">
        <v>0.25</v>
      </c>
      <c r="H9" s="748">
        <v>0.25</v>
      </c>
      <c r="I9" s="748">
        <v>0.25</v>
      </c>
      <c r="J9" s="748">
        <v>0.25</v>
      </c>
      <c r="K9" s="748">
        <v>0.25</v>
      </c>
      <c r="L9" s="748">
        <v>0.25</v>
      </c>
      <c r="M9" s="748">
        <v>0.25</v>
      </c>
      <c r="N9" s="748">
        <v>0.25</v>
      </c>
      <c r="O9" s="748">
        <v>0.25</v>
      </c>
      <c r="P9" s="748">
        <v>0.25</v>
      </c>
      <c r="Q9" s="748">
        <v>0.25</v>
      </c>
      <c r="R9" s="748">
        <v>0.25</v>
      </c>
      <c r="S9" s="748">
        <v>0.25</v>
      </c>
      <c r="T9" s="748">
        <v>0.25</v>
      </c>
      <c r="U9" s="748">
        <v>0.25</v>
      </c>
    </row>
    <row r="10" spans="1:22" x14ac:dyDescent="0.35">
      <c r="A10" s="930" t="s">
        <v>754</v>
      </c>
      <c r="B10" s="748">
        <v>0</v>
      </c>
      <c r="C10" s="748">
        <v>0.5</v>
      </c>
      <c r="D10" s="748">
        <v>0.5</v>
      </c>
      <c r="E10" s="748">
        <v>0.25</v>
      </c>
      <c r="F10" s="748">
        <v>0.25</v>
      </c>
      <c r="G10" s="748">
        <v>0.25</v>
      </c>
      <c r="H10" s="748">
        <v>0.25</v>
      </c>
      <c r="I10" s="748">
        <v>0.25</v>
      </c>
      <c r="J10" s="748">
        <v>0.25</v>
      </c>
      <c r="K10" s="748">
        <v>0.25</v>
      </c>
      <c r="L10" s="748">
        <v>0.25</v>
      </c>
      <c r="M10" s="748">
        <v>0.25</v>
      </c>
      <c r="N10" s="748">
        <v>0.25</v>
      </c>
      <c r="O10" s="748">
        <v>0.25</v>
      </c>
      <c r="P10" s="748">
        <v>0.25</v>
      </c>
      <c r="Q10" s="748">
        <v>0.25</v>
      </c>
      <c r="R10" s="748">
        <v>0.25</v>
      </c>
      <c r="S10" s="748">
        <v>0.25</v>
      </c>
      <c r="T10" s="748">
        <v>0.25</v>
      </c>
      <c r="U10" s="748">
        <v>0.25</v>
      </c>
    </row>
    <row r="11" spans="1:22" x14ac:dyDescent="0.35">
      <c r="A11" s="930" t="s">
        <v>755</v>
      </c>
      <c r="B11" s="748">
        <v>0</v>
      </c>
      <c r="C11" s="748">
        <v>0.5</v>
      </c>
      <c r="D11" s="748">
        <v>0.5</v>
      </c>
      <c r="E11" s="748">
        <v>0.25</v>
      </c>
      <c r="F11" s="748">
        <v>0.25</v>
      </c>
      <c r="G11" s="748">
        <v>0.25</v>
      </c>
      <c r="H11" s="748">
        <v>0.25</v>
      </c>
      <c r="I11" s="748">
        <v>0.25</v>
      </c>
      <c r="J11" s="748">
        <v>0.25</v>
      </c>
      <c r="K11" s="748">
        <v>0.25</v>
      </c>
      <c r="L11" s="748">
        <v>0.25</v>
      </c>
      <c r="M11" s="748">
        <v>0.25</v>
      </c>
      <c r="N11" s="748">
        <v>0.25</v>
      </c>
      <c r="O11" s="748">
        <v>0.25</v>
      </c>
      <c r="P11" s="748">
        <v>0.25</v>
      </c>
      <c r="Q11" s="748">
        <v>0.25</v>
      </c>
      <c r="R11" s="748">
        <v>0.25</v>
      </c>
      <c r="S11" s="748">
        <v>0.25</v>
      </c>
      <c r="T11" s="748">
        <v>0.25</v>
      </c>
      <c r="U11" s="748">
        <v>0.25</v>
      </c>
    </row>
    <row r="12" spans="1:22" ht="14.25" customHeight="1" x14ac:dyDescent="0.35">
      <c r="A12" s="930" t="s">
        <v>756</v>
      </c>
      <c r="B12" s="748">
        <v>1</v>
      </c>
      <c r="C12" s="748"/>
      <c r="D12" s="748"/>
      <c r="E12" s="748"/>
      <c r="F12" s="748"/>
      <c r="G12" s="748"/>
      <c r="H12" s="748"/>
      <c r="I12" s="748"/>
      <c r="J12" s="748"/>
      <c r="K12" s="748"/>
      <c r="L12" s="748"/>
      <c r="M12" s="748"/>
      <c r="N12" s="748"/>
      <c r="O12" s="748"/>
      <c r="P12" s="748"/>
      <c r="Q12" s="748"/>
      <c r="R12" s="748"/>
      <c r="S12" s="748"/>
      <c r="T12" s="748"/>
      <c r="U12" s="748"/>
    </row>
    <row r="13" spans="1:22" x14ac:dyDescent="0.35">
      <c r="A13" s="930" t="s">
        <v>757</v>
      </c>
      <c r="B13" s="748">
        <v>0</v>
      </c>
      <c r="C13" s="748">
        <v>0.4</v>
      </c>
      <c r="D13" s="748">
        <v>0.6</v>
      </c>
      <c r="E13" s="748">
        <v>0.4</v>
      </c>
      <c r="F13" s="748">
        <v>0.3</v>
      </c>
      <c r="G13" s="748">
        <v>0.2</v>
      </c>
      <c r="H13" s="748">
        <v>0.1</v>
      </c>
      <c r="I13" s="748">
        <v>0.25</v>
      </c>
      <c r="J13" s="748">
        <v>0.25</v>
      </c>
      <c r="K13" s="748">
        <v>0.25</v>
      </c>
      <c r="L13" s="748">
        <v>0.25</v>
      </c>
      <c r="M13" s="748">
        <v>0.25</v>
      </c>
      <c r="N13" s="748">
        <v>0.25</v>
      </c>
      <c r="O13" s="748">
        <v>0.25</v>
      </c>
      <c r="P13" s="748">
        <v>0.25</v>
      </c>
      <c r="Q13" s="748">
        <v>0.25</v>
      </c>
      <c r="R13" s="748">
        <v>0.25</v>
      </c>
      <c r="S13" s="748">
        <v>0.25</v>
      </c>
      <c r="T13" s="748">
        <v>0.25</v>
      </c>
      <c r="U13" s="748">
        <v>0.25</v>
      </c>
    </row>
    <row r="14" spans="1:22" x14ac:dyDescent="0.35">
      <c r="A14" s="930"/>
      <c r="B14" s="748"/>
      <c r="C14" s="748"/>
      <c r="D14" s="748"/>
      <c r="E14" s="748"/>
      <c r="F14" s="748"/>
      <c r="G14" s="748"/>
      <c r="H14" s="748"/>
      <c r="I14" s="748"/>
      <c r="J14" s="748"/>
      <c r="K14" s="748"/>
      <c r="L14" s="748"/>
      <c r="M14" s="748"/>
      <c r="N14" s="748"/>
      <c r="O14" s="748"/>
      <c r="P14" s="748"/>
      <c r="Q14" s="748"/>
      <c r="R14" s="748"/>
      <c r="S14" s="748"/>
      <c r="T14" s="748"/>
      <c r="U14" s="748"/>
    </row>
    <row r="15" spans="1:22" ht="27" customHeight="1" x14ac:dyDescent="0.35">
      <c r="A15" s="1203" t="s">
        <v>758</v>
      </c>
      <c r="B15" s="748">
        <v>1</v>
      </c>
      <c r="C15" s="748">
        <v>2</v>
      </c>
      <c r="D15" s="748">
        <v>3</v>
      </c>
      <c r="E15" s="748">
        <v>4</v>
      </c>
      <c r="F15" s="748">
        <v>5</v>
      </c>
      <c r="G15" s="748">
        <v>6</v>
      </c>
      <c r="H15" s="748">
        <v>7</v>
      </c>
      <c r="I15" s="748">
        <v>8</v>
      </c>
      <c r="J15" s="748">
        <v>9</v>
      </c>
      <c r="K15" s="748">
        <v>10</v>
      </c>
      <c r="L15" s="748">
        <v>11</v>
      </c>
      <c r="M15" s="748">
        <v>12</v>
      </c>
      <c r="N15" s="748">
        <v>13</v>
      </c>
      <c r="O15" s="748">
        <v>14</v>
      </c>
      <c r="P15" s="748">
        <v>15</v>
      </c>
      <c r="Q15" s="748">
        <v>16</v>
      </c>
      <c r="R15" s="748">
        <v>17</v>
      </c>
      <c r="S15" s="748">
        <v>18</v>
      </c>
      <c r="T15" s="748">
        <v>19</v>
      </c>
      <c r="U15" s="748">
        <v>20</v>
      </c>
    </row>
    <row r="16" spans="1:22" x14ac:dyDescent="0.35">
      <c r="A16" s="930" t="s">
        <v>759</v>
      </c>
      <c r="B16" s="748">
        <v>7.0000000000000007E-2</v>
      </c>
      <c r="C16" s="748">
        <v>7.0000000000000007E-2</v>
      </c>
      <c r="D16" s="748">
        <v>4.9000000000000002E-2</v>
      </c>
      <c r="E16" s="748">
        <v>4.9000000000000002E-2</v>
      </c>
      <c r="F16" s="748">
        <v>4.9000000000000002E-2</v>
      </c>
      <c r="G16" s="748">
        <v>4.9000000000000002E-2</v>
      </c>
      <c r="H16" s="748">
        <v>4.9000000000000002E-2</v>
      </c>
      <c r="I16" s="748">
        <v>4.9000000000000002E-2</v>
      </c>
      <c r="J16" s="748">
        <v>4.9000000000000002E-2</v>
      </c>
      <c r="K16" s="748">
        <v>4.9000000000000002E-2</v>
      </c>
      <c r="L16" s="748">
        <v>4.9000000000000002E-2</v>
      </c>
      <c r="M16" s="748">
        <v>4.9000000000000002E-2</v>
      </c>
      <c r="N16" s="748">
        <f t="shared" ref="N16:T16" si="1">0.0475</f>
        <v>4.7500000000000001E-2</v>
      </c>
      <c r="O16" s="748">
        <f t="shared" si="1"/>
        <v>4.7500000000000001E-2</v>
      </c>
      <c r="P16" s="748">
        <f t="shared" si="1"/>
        <v>4.7500000000000001E-2</v>
      </c>
      <c r="Q16" s="748">
        <f t="shared" si="1"/>
        <v>4.7500000000000001E-2</v>
      </c>
      <c r="R16" s="748">
        <f t="shared" si="1"/>
        <v>4.7500000000000001E-2</v>
      </c>
      <c r="S16" s="748">
        <f t="shared" si="1"/>
        <v>4.7500000000000001E-2</v>
      </c>
      <c r="T16" s="748">
        <f t="shared" si="1"/>
        <v>4.7500000000000001E-2</v>
      </c>
      <c r="U16" s="748">
        <f>0.0375</f>
        <v>3.7499999999999999E-2</v>
      </c>
      <c r="V16" s="748">
        <f>SUM(B16:U16)</f>
        <v>0.99999999999999989</v>
      </c>
    </row>
    <row r="17" spans="1:23" ht="27" customHeight="1" x14ac:dyDescent="0.35">
      <c r="A17" s="930" t="s">
        <v>760</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8">
        <f>SUM(B17:U17)</f>
        <v>0.94000000000000006</v>
      </c>
      <c r="W17" t="s">
        <v>761</v>
      </c>
    </row>
    <row r="19" spans="1:23" x14ac:dyDescent="0.35">
      <c r="B19" s="762" t="e">
        <f>'Federal and State Purchases'!#REF!</f>
        <v>#REF!</v>
      </c>
      <c r="C19" s="762"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topLeftCell="B1" zoomScale="98" zoomScaleNormal="80" workbookViewId="0">
      <selection activeCell="R16" sqref="R16"/>
    </sheetView>
  </sheetViews>
  <sheetFormatPr defaultColWidth="10.90625" defaultRowHeight="14.5" x14ac:dyDescent="0.35"/>
  <cols>
    <col min="1" max="1" width="15.453125" customWidth="1"/>
    <col min="2" max="2" width="32.453125" customWidth="1"/>
  </cols>
  <sheetData>
    <row r="1" spans="1:23" x14ac:dyDescent="0.35">
      <c r="A1" s="759" t="s">
        <v>762</v>
      </c>
      <c r="B1" s="759" t="s">
        <v>672</v>
      </c>
      <c r="C1" s="1206">
        <v>2021</v>
      </c>
      <c r="D1" s="1206">
        <f>C1</f>
        <v>2021</v>
      </c>
      <c r="E1" s="1206">
        <f>D1</f>
        <v>2021</v>
      </c>
      <c r="F1" s="1206">
        <v>2022</v>
      </c>
      <c r="G1" s="1206">
        <v>2022</v>
      </c>
      <c r="H1" s="1206">
        <v>2022</v>
      </c>
      <c r="I1" s="1206">
        <v>2022</v>
      </c>
      <c r="J1" s="1206">
        <v>2023</v>
      </c>
      <c r="K1" s="1206">
        <v>2023</v>
      </c>
      <c r="L1" s="1206">
        <v>2023</v>
      </c>
      <c r="M1" s="1206">
        <v>2023</v>
      </c>
      <c r="N1" s="1206">
        <v>2024</v>
      </c>
      <c r="O1" s="1206">
        <v>2024</v>
      </c>
      <c r="P1" s="1206">
        <v>2024</v>
      </c>
      <c r="Q1" s="1206">
        <v>2024</v>
      </c>
      <c r="R1" s="1206">
        <v>2025</v>
      </c>
      <c r="S1" s="1206">
        <v>2025</v>
      </c>
      <c r="T1" s="1206">
        <v>2025</v>
      </c>
      <c r="U1" s="1206">
        <v>2025</v>
      </c>
      <c r="V1" s="1206">
        <v>2026</v>
      </c>
    </row>
    <row r="2" spans="1:23" x14ac:dyDescent="0.35">
      <c r="B2" s="759" t="s">
        <v>763</v>
      </c>
      <c r="C2" s="629" t="s">
        <v>249</v>
      </c>
      <c r="D2" s="629" t="s">
        <v>250</v>
      </c>
      <c r="E2" s="629" t="s">
        <v>180</v>
      </c>
      <c r="F2" s="629" t="s">
        <v>181</v>
      </c>
      <c r="G2" s="629" t="s">
        <v>182</v>
      </c>
      <c r="H2" s="629" t="s">
        <v>183</v>
      </c>
      <c r="I2" s="629" t="s">
        <v>184</v>
      </c>
      <c r="J2" s="629" t="s">
        <v>185</v>
      </c>
      <c r="K2" s="629" t="s">
        <v>186</v>
      </c>
      <c r="L2" s="629" t="s">
        <v>187</v>
      </c>
      <c r="M2" s="629" t="s">
        <v>188</v>
      </c>
      <c r="N2" s="629" t="s">
        <v>189</v>
      </c>
      <c r="O2" s="629" t="s">
        <v>190</v>
      </c>
      <c r="P2" s="629" t="s">
        <v>191</v>
      </c>
      <c r="Q2" s="629" t="s">
        <v>175</v>
      </c>
      <c r="R2" s="629" t="s">
        <v>176</v>
      </c>
      <c r="S2" s="629" t="s">
        <v>177</v>
      </c>
      <c r="T2" s="629" t="s">
        <v>764</v>
      </c>
      <c r="U2" s="629" t="s">
        <v>765</v>
      </c>
      <c r="V2" s="629" t="s">
        <v>766</v>
      </c>
    </row>
    <row r="3" spans="1:23" x14ac:dyDescent="0.35">
      <c r="A3" s="759">
        <v>3</v>
      </c>
      <c r="B3" s="759" t="s">
        <v>527</v>
      </c>
      <c r="C3" s="1207">
        <f>4*'ARP Timing'!B6*VLOOKUP(C$1,'ARP Score'!$A$5:$M14,$A3)</f>
        <v>0</v>
      </c>
      <c r="D3" s="1207">
        <f>4*'ARP Timing'!C6*VLOOKUP(D$1,'ARP Score'!$A$5:$M14,$A3)</f>
        <v>336.60399999999998</v>
      </c>
      <c r="E3" s="1207">
        <f>4*'ARP Timing'!D6*VLOOKUP(E$1,'ARP Score'!$A$5:$M14,$A3)</f>
        <v>446.19599999999991</v>
      </c>
      <c r="F3" s="1207">
        <f>4*'ARP Timing'!E6*VLOOKUP(F$1,'ARP Score'!$A$5:$M14,$A3)</f>
        <v>10.1</v>
      </c>
      <c r="G3" s="1207">
        <f>4*'ARP Timing'!F6*VLOOKUP(G$1,'ARP Score'!$A$5:$M14,$A3)</f>
        <v>10.1</v>
      </c>
      <c r="H3" s="1207">
        <f>4*'ARP Timing'!G6*VLOOKUP(H$1,'ARP Score'!$A$5:$M14,$A3)</f>
        <v>10.1</v>
      </c>
      <c r="I3" s="1207">
        <f>4*'ARP Timing'!H6*VLOOKUP(I$1,'ARP Score'!$A$5:$M14,$A3)</f>
        <v>10.1</v>
      </c>
      <c r="J3" s="1207">
        <f>4*'ARP Timing'!I6*VLOOKUP(J$1,'ARP Score'!$A$5:$M14,$A3)</f>
        <v>0</v>
      </c>
      <c r="K3" s="1207">
        <f>4*'ARP Timing'!J6*VLOOKUP(K$1,'ARP Score'!$A$5:$M14,$A3)</f>
        <v>0</v>
      </c>
      <c r="L3" s="1207">
        <f>4*'ARP Timing'!K6*VLOOKUP(L$1,'ARP Score'!$A$5:$M14,$A3)</f>
        <v>0</v>
      </c>
      <c r="M3" s="1207">
        <f>4*'ARP Timing'!L6*VLOOKUP(M$1,'ARP Score'!$A$5:$M14,$A3)</f>
        <v>0</v>
      </c>
      <c r="N3" s="1207">
        <f>4*'ARP Timing'!M6*VLOOKUP(N$1,'ARP Score'!$A$5:$M14,$A3)</f>
        <v>0</v>
      </c>
      <c r="O3" s="1207">
        <f>4*'ARP Timing'!N6*VLOOKUP(O$1,'ARP Score'!$A$5:$M14,$A3)</f>
        <v>0</v>
      </c>
      <c r="P3" s="1207">
        <f>4*'ARP Timing'!O6*VLOOKUP(P$1,'ARP Score'!$A$5:$M14,$A3)</f>
        <v>0</v>
      </c>
      <c r="Q3" s="1207">
        <f>4*'ARP Timing'!P6*VLOOKUP(Q$1,'ARP Score'!$A$5:$M14,$A3)</f>
        <v>0</v>
      </c>
      <c r="R3" s="1207">
        <f>4*'ARP Timing'!Q6*VLOOKUP(R$1,'ARP Score'!$A$5:$M14,$A3)</f>
        <v>0</v>
      </c>
      <c r="S3" s="1207">
        <f>4*'ARP Timing'!R6*VLOOKUP(S$1,'ARP Score'!$A$5:$M14,$A3)</f>
        <v>0</v>
      </c>
      <c r="T3" s="1207">
        <f>4*'ARP Timing'!S6*VLOOKUP(T$1,'ARP Score'!$A$5:$M14,$A3)</f>
        <v>0</v>
      </c>
      <c r="U3" s="1207">
        <f>4*'ARP Timing'!T6*VLOOKUP(U$1,'ARP Score'!$A$5:$M14,$A3)</f>
        <v>0</v>
      </c>
      <c r="V3" s="1207">
        <f>4*'ARP Timing'!U6*VLOOKUP(V$1,'ARP Score'!$A$5:$M14,$A3)</f>
        <v>0</v>
      </c>
      <c r="W3" s="1207">
        <f>SUM(C3:U3)/4</f>
        <v>205.8</v>
      </c>
    </row>
    <row r="4" spans="1:23" x14ac:dyDescent="0.35">
      <c r="A4" s="759">
        <v>5</v>
      </c>
      <c r="B4" s="33" t="s">
        <v>674</v>
      </c>
      <c r="C4" s="1207">
        <f>4*'ARP Timing'!B7*VLOOKUP(C$1,'ARP Score'!$A$5:$M15,$A4)</f>
        <v>0</v>
      </c>
      <c r="D4" s="1207">
        <f>4*'ARP Timing'!C7*VLOOKUP(D$1,'ARP Score'!$A$5:$M15,$A4)</f>
        <v>0</v>
      </c>
      <c r="E4" s="1207">
        <f>4*'ARP Timing'!D7*VLOOKUP(E$1,'ARP Score'!$A$5:$M15,$A4)</f>
        <v>3.1040000000000418</v>
      </c>
      <c r="F4" s="1207">
        <f>4*'ARP Timing'!E7*VLOOKUP(F$1,'ARP Score'!$A$5:$M15,$A4)</f>
        <v>19.719000000000005</v>
      </c>
      <c r="G4" s="1207">
        <f>4*'ARP Timing'!F7*VLOOKUP(G$1,'ARP Score'!$A$5:$M15,$A4)</f>
        <v>19.719000000000005</v>
      </c>
      <c r="H4" s="1207">
        <f>4*'ARP Timing'!G7*VLOOKUP(H$1,'ARP Score'!$A$5:$M15,$A4)</f>
        <v>19.719000000000005</v>
      </c>
      <c r="I4" s="1207">
        <f>4*'ARP Timing'!H7*VLOOKUP(I$1,'ARP Score'!$A$5:$M15,$A4)</f>
        <v>19.719000000000005</v>
      </c>
      <c r="J4" s="1207">
        <f>4*'ARP Timing'!I7*VLOOKUP(J$1,'ARP Score'!$A$5:$M15,$A4)</f>
        <v>1.4159999999999999</v>
      </c>
      <c r="K4" s="1207">
        <f>4*'ARP Timing'!J7*VLOOKUP(K$1,'ARP Score'!$A$5:$M15,$A4)</f>
        <v>1.4159999999999999</v>
      </c>
      <c r="L4" s="1207">
        <f>4*'ARP Timing'!K7*VLOOKUP(L$1,'ARP Score'!$A$5:$M15,$A4)</f>
        <v>1.4159999999999999</v>
      </c>
      <c r="M4" s="1207">
        <f>4*'ARP Timing'!L7*VLOOKUP(M$1,'ARP Score'!$A$5:$M15,$A4)</f>
        <v>1.4159999999999999</v>
      </c>
      <c r="N4" s="1207">
        <f>4*'ARP Timing'!M7*VLOOKUP(N$1,'ARP Score'!$A$5:$M15,$A4)</f>
        <v>1.4790000000000001</v>
      </c>
      <c r="O4" s="1207">
        <f>4*'ARP Timing'!N7*VLOOKUP(O$1,'ARP Score'!$A$5:$M15,$A4)</f>
        <v>1.4790000000000001</v>
      </c>
      <c r="P4" s="1207">
        <f>4*'ARP Timing'!O7*VLOOKUP(P$1,'ARP Score'!$A$5:$M15,$A4)</f>
        <v>1.4790000000000001</v>
      </c>
      <c r="Q4" s="1207">
        <f>4*'ARP Timing'!P7*VLOOKUP(Q$1,'ARP Score'!$A$5:$M15,$A4)</f>
        <v>1.4790000000000001</v>
      </c>
      <c r="R4" s="1207">
        <f>4*'ARP Timing'!Q7*VLOOKUP(R$1,'ARP Score'!$A$5:$M15,$A4)</f>
        <v>1.63</v>
      </c>
      <c r="S4" s="1207">
        <f>4*'ARP Timing'!R7*VLOOKUP(S$1,'ARP Score'!$A$5:$M15,$A4)</f>
        <v>1.63</v>
      </c>
      <c r="T4" s="1207">
        <f>4*'ARP Timing'!S7*VLOOKUP(T$1,'ARP Score'!$A$5:$M15,$A4)</f>
        <v>1.63</v>
      </c>
      <c r="U4" s="1207">
        <f>4*'ARP Timing'!T7*VLOOKUP(U$1,'ARP Score'!$A$5:$M15,$A4)</f>
        <v>1.63</v>
      </c>
      <c r="V4" s="1207">
        <f>4*'ARP Timing'!U7*VLOOKUP(V$1,'ARP Score'!$A$5:$M15,$A4)</f>
        <v>1.671</v>
      </c>
      <c r="W4" s="1207">
        <f>SUM(C4:U4)/4</f>
        <v>25.020000000000007</v>
      </c>
    </row>
    <row r="5" spans="1:23" x14ac:dyDescent="0.35">
      <c r="A5" s="759">
        <v>6</v>
      </c>
      <c r="B5" s="33" t="s">
        <v>675</v>
      </c>
      <c r="C5" s="1207">
        <f>4*'ARP Timing'!B8*VLOOKUP(C$1,'ARP Score'!$A$5:$M16,$A5)</f>
        <v>0</v>
      </c>
      <c r="D5" s="1207">
        <f>4*'ARP Timing'!C8*VLOOKUP(D$1,'ARP Score'!$A$5:$M16,$A5)</f>
        <v>33.921840000000024</v>
      </c>
      <c r="E5" s="1207">
        <f>4*'ARP Timing'!D8*VLOOKUP(E$1,'ARP Score'!$A$5:$M16,$A5)</f>
        <v>44.966160000000031</v>
      </c>
      <c r="F5" s="1207">
        <f>4*'ARP Timing'!E8*VLOOKUP(F$1,'ARP Score'!$A$5:$M16,$A5)</f>
        <v>52.756999999999998</v>
      </c>
      <c r="G5" s="1207">
        <f>4*'ARP Timing'!F8*VLOOKUP(G$1,'ARP Score'!$A$5:$M16,$A5)</f>
        <v>52.756999999999998</v>
      </c>
      <c r="H5" s="1207">
        <f>4*'ARP Timing'!G8*VLOOKUP(H$1,'ARP Score'!$A$5:$M16,$A5)</f>
        <v>52.756999999999998</v>
      </c>
      <c r="I5" s="1207">
        <f>4*'ARP Timing'!H8*VLOOKUP(I$1,'ARP Score'!$A$5:$M16,$A5)</f>
        <v>52.756999999999998</v>
      </c>
      <c r="J5" s="1207">
        <f>4*'ARP Timing'!I8*VLOOKUP(J$1,'ARP Score'!$A$5:$M16,$A5)</f>
        <v>12</v>
      </c>
      <c r="K5" s="1207">
        <f>4*'ARP Timing'!J8*VLOOKUP(K$1,'ARP Score'!$A$5:$M16,$A5)</f>
        <v>12</v>
      </c>
      <c r="L5" s="1207">
        <f>4*'ARP Timing'!K8*VLOOKUP(L$1,'ARP Score'!$A$5:$M16,$A5)</f>
        <v>12</v>
      </c>
      <c r="M5" s="1207">
        <f>4*'ARP Timing'!L8*VLOOKUP(M$1,'ARP Score'!$A$5:$M16,$A5)</f>
        <v>12</v>
      </c>
      <c r="N5" s="1207">
        <f>4*'ARP Timing'!M8*VLOOKUP(N$1,'ARP Score'!$A$5:$M16,$A5)</f>
        <v>4.2219999999999995</v>
      </c>
      <c r="O5" s="1207">
        <f>4*'ARP Timing'!N8*VLOOKUP(O$1,'ARP Score'!$A$5:$M16,$A5)</f>
        <v>4.2219999999999995</v>
      </c>
      <c r="P5" s="1207">
        <f>4*'ARP Timing'!O8*VLOOKUP(P$1,'ARP Score'!$A$5:$M16,$A5)</f>
        <v>4.2219999999999995</v>
      </c>
      <c r="Q5" s="1207">
        <f>4*'ARP Timing'!P8*VLOOKUP(Q$1,'ARP Score'!$A$5:$M16,$A5)</f>
        <v>4.2219999999999995</v>
      </c>
      <c r="R5" s="1207">
        <f>4*'ARP Timing'!Q8*VLOOKUP(R$1,'ARP Score'!$A$5:$M16,$A5)</f>
        <v>2.3719999999999999</v>
      </c>
      <c r="S5" s="1207">
        <f>4*'ARP Timing'!R8*VLOOKUP(S$1,'ARP Score'!$A$5:$M16,$A5)</f>
        <v>2.3719999999999999</v>
      </c>
      <c r="T5" s="1207">
        <f>4*'ARP Timing'!S8*VLOOKUP(T$1,'ARP Score'!$A$5:$M16,$A5)</f>
        <v>2.3719999999999999</v>
      </c>
      <c r="U5" s="1207">
        <f>4*'ARP Timing'!T8*VLOOKUP(U$1,'ARP Score'!$A$5:$M16,$A5)</f>
        <v>2.3719999999999999</v>
      </c>
      <c r="V5" s="1207">
        <f>4*'ARP Timing'!U8*VLOOKUP(V$1,'ARP Score'!$A$5:$M16,$A5)</f>
        <v>0.49</v>
      </c>
      <c r="W5" s="1207">
        <f t="shared" ref="W5:W15" si="0">SUM(C5:U5)/4</f>
        <v>91.073000000000008</v>
      </c>
    </row>
    <row r="6" spans="1:23" x14ac:dyDescent="0.35">
      <c r="A6" s="759">
        <v>7</v>
      </c>
      <c r="B6" s="33" t="s">
        <v>767</v>
      </c>
      <c r="C6" s="1207">
        <f>4*'ARP Timing'!B9*VLOOKUP(C$1,'ARP Score'!$A$5:$M17,$A6)</f>
        <v>0</v>
      </c>
      <c r="D6" s="1207">
        <f>4*'ARP Timing'!C9*VLOOKUP(D$1,'ARP Score'!$A$5:$M17,$A6)</f>
        <v>58.782959999999989</v>
      </c>
      <c r="E6" s="1207">
        <f>4*'ARP Timing'!D9*VLOOKUP(E$1,'ARP Score'!$A$5:$M17,$A6)</f>
        <v>267.78904</v>
      </c>
      <c r="F6" s="1207">
        <f>4*'ARP Timing'!E9*VLOOKUP(F$1,'ARP Score'!$A$5:$M17,$A6)</f>
        <v>110.24799999999999</v>
      </c>
      <c r="G6" s="1207">
        <f>4*'ARP Timing'!F9*VLOOKUP(G$1,'ARP Score'!$A$5:$M17,$A6)</f>
        <v>110.24799999999999</v>
      </c>
      <c r="H6" s="1207">
        <f>4*'ARP Timing'!G9*VLOOKUP(H$1,'ARP Score'!$A$5:$M17,$A6)</f>
        <v>110.24799999999999</v>
      </c>
      <c r="I6" s="1207">
        <f>4*'ARP Timing'!H9*VLOOKUP(I$1,'ARP Score'!$A$5:$M17,$A6)</f>
        <v>110.24799999999999</v>
      </c>
      <c r="J6" s="1207">
        <f>4*'ARP Timing'!I9*VLOOKUP(J$1,'ARP Score'!$A$5:$M17,$A6)</f>
        <v>12.726000000000001</v>
      </c>
      <c r="K6" s="1207">
        <f>4*'ARP Timing'!J9*VLOOKUP(K$1,'ARP Score'!$A$5:$M17,$A6)</f>
        <v>12.726000000000001</v>
      </c>
      <c r="L6" s="1207">
        <f>4*'ARP Timing'!K9*VLOOKUP(L$1,'ARP Score'!$A$5:$M17,$A6)</f>
        <v>12.726000000000001</v>
      </c>
      <c r="M6" s="1207">
        <f>4*'ARP Timing'!L9*VLOOKUP(M$1,'ARP Score'!$A$5:$M17,$A6)</f>
        <v>12.726000000000001</v>
      </c>
      <c r="N6" s="1207">
        <f>4*'ARP Timing'!M9*VLOOKUP(N$1,'ARP Score'!$A$5:$M17,$A6)</f>
        <v>1.365</v>
      </c>
      <c r="O6" s="1207">
        <f>4*'ARP Timing'!N9*VLOOKUP(O$1,'ARP Score'!$A$5:$M17,$A6)</f>
        <v>1.365</v>
      </c>
      <c r="P6" s="1207">
        <f>4*'ARP Timing'!O9*VLOOKUP(P$1,'ARP Score'!$A$5:$M17,$A6)</f>
        <v>1.365</v>
      </c>
      <c r="Q6" s="1207">
        <f>4*'ARP Timing'!P9*VLOOKUP(Q$1,'ARP Score'!$A$5:$M17,$A6)</f>
        <v>1.365</v>
      </c>
      <c r="R6" s="1207">
        <f>4*'ARP Timing'!Q9*VLOOKUP(R$1,'ARP Score'!$A$5:$M17,$A6)</f>
        <v>-0.90100000000000025</v>
      </c>
      <c r="S6" s="1207">
        <f>4*'ARP Timing'!R9*VLOOKUP(S$1,'ARP Score'!$A$5:$M17,$A6)</f>
        <v>-0.90100000000000025</v>
      </c>
      <c r="T6" s="1207">
        <f>4*'ARP Timing'!S9*VLOOKUP(T$1,'ARP Score'!$A$5:$M17,$A6)</f>
        <v>-0.90100000000000025</v>
      </c>
      <c r="U6" s="1207">
        <f>4*'ARP Timing'!T9*VLOOKUP(U$1,'ARP Score'!$A$5:$M17,$A6)</f>
        <v>-0.90100000000000025</v>
      </c>
      <c r="V6" s="1207">
        <f>4*'ARP Timing'!U9*VLOOKUP(V$1,'ARP Score'!$A$5:$M17,$A6)</f>
        <v>-2.1500000000000004</v>
      </c>
      <c r="W6" s="1207">
        <f t="shared" si="0"/>
        <v>205.08100000000007</v>
      </c>
    </row>
    <row r="7" spans="1:23" x14ac:dyDescent="0.35">
      <c r="A7" s="759">
        <v>8</v>
      </c>
      <c r="B7" s="33" t="s">
        <v>131</v>
      </c>
      <c r="C7" s="1207">
        <f>4*'ARP Timing'!B10*VLOOKUP(C$1,'ARP Score'!$A$5:$M18,$A7)</f>
        <v>0</v>
      </c>
      <c r="D7" s="1207">
        <f>4*'ARP Timing'!C10*VLOOKUP(D$1,'ARP Score'!$A$5:$M18,$A7)</f>
        <v>15.596</v>
      </c>
      <c r="E7" s="1207">
        <f>4*'ARP Timing'!D10*VLOOKUP(E$1,'ARP Score'!$A$5:$M18,$A7)</f>
        <v>15.596</v>
      </c>
      <c r="F7" s="1207">
        <f>4*'ARP Timing'!E10*VLOOKUP(F$1,'ARP Score'!$A$5:$M18,$A7)</f>
        <v>7.9489999999999998</v>
      </c>
      <c r="G7" s="1207">
        <f>4*'ARP Timing'!F10*VLOOKUP(G$1,'ARP Score'!$A$5:$M18,$A7)</f>
        <v>7.9489999999999998</v>
      </c>
      <c r="H7" s="1207">
        <f>4*'ARP Timing'!G10*VLOOKUP(H$1,'ARP Score'!$A$5:$M18,$A7)</f>
        <v>7.9489999999999998</v>
      </c>
      <c r="I7" s="1207">
        <f>4*'ARP Timing'!H10*VLOOKUP(I$1,'ARP Score'!$A$5:$M18,$A7)</f>
        <v>7.9489999999999998</v>
      </c>
      <c r="J7" s="1207">
        <f>4*'ARP Timing'!I10*VLOOKUP(J$1,'ARP Score'!$A$5:$M18,$A7)</f>
        <v>4.7519999999999998</v>
      </c>
      <c r="K7" s="1207">
        <f>4*'ARP Timing'!J10*VLOOKUP(K$1,'ARP Score'!$A$5:$M18,$A7)</f>
        <v>4.7519999999999998</v>
      </c>
      <c r="L7" s="1207">
        <f>4*'ARP Timing'!K10*VLOOKUP(L$1,'ARP Score'!$A$5:$M18,$A7)</f>
        <v>4.7519999999999998</v>
      </c>
      <c r="M7" s="1207">
        <f>4*'ARP Timing'!L10*VLOOKUP(M$1,'ARP Score'!$A$5:$M18,$A7)</f>
        <v>4.7519999999999998</v>
      </c>
      <c r="N7" s="1207">
        <f>4*'ARP Timing'!M10*VLOOKUP(N$1,'ARP Score'!$A$5:$M18,$A7)</f>
        <v>4.637999999999999</v>
      </c>
      <c r="O7" s="1207">
        <f>4*'ARP Timing'!N10*VLOOKUP(O$1,'ARP Score'!$A$5:$M18,$A7)</f>
        <v>4.637999999999999</v>
      </c>
      <c r="P7" s="1207">
        <f>4*'ARP Timing'!O10*VLOOKUP(P$1,'ARP Score'!$A$5:$M18,$A7)</f>
        <v>4.637999999999999</v>
      </c>
      <c r="Q7" s="1207">
        <f>4*'ARP Timing'!P10*VLOOKUP(Q$1,'ARP Score'!$A$5:$M18,$A7)</f>
        <v>4.637999999999999</v>
      </c>
      <c r="R7" s="1207">
        <f>4*'ARP Timing'!Q10*VLOOKUP(R$1,'ARP Score'!$A$5:$M18,$A7)</f>
        <v>1.8800000000000001</v>
      </c>
      <c r="S7" s="1207">
        <f>4*'ARP Timing'!R10*VLOOKUP(S$1,'ARP Score'!$A$5:$M18,$A7)</f>
        <v>1.8800000000000001</v>
      </c>
      <c r="T7" s="1207">
        <f>4*'ARP Timing'!S10*VLOOKUP(T$1,'ARP Score'!$A$5:$M18,$A7)</f>
        <v>1.8800000000000001</v>
      </c>
      <c r="U7" s="1207">
        <f>4*'ARP Timing'!T10*VLOOKUP(U$1,'ARP Score'!$A$5:$M18,$A7)</f>
        <v>1.8800000000000001</v>
      </c>
      <c r="V7" s="1207">
        <f>4*'ARP Timing'!U10*VLOOKUP(V$1,'ARP Score'!$A$5:$M18,$A7)</f>
        <v>1.446</v>
      </c>
      <c r="W7" s="1207">
        <f t="shared" si="0"/>
        <v>27.016999999999996</v>
      </c>
    </row>
    <row r="8" spans="1:23" x14ac:dyDescent="0.35">
      <c r="A8" s="759">
        <v>9</v>
      </c>
      <c r="B8" s="1208" t="s">
        <v>347</v>
      </c>
      <c r="C8" s="1207">
        <f>4*'ARP Timing'!B$11*VLOOKUP(C$1,'ARP Score'!$A$5:$M19,$A8)</f>
        <v>0</v>
      </c>
      <c r="D8" s="1207">
        <f>0.6*SUM('ARP Score'!B5:B7)*4</f>
        <v>989.16719999999987</v>
      </c>
      <c r="E8" s="1206">
        <v>0</v>
      </c>
      <c r="F8" s="1207">
        <v>0</v>
      </c>
      <c r="G8" s="1207">
        <v>0</v>
      </c>
      <c r="H8" s="1207">
        <f>D8*0.4/0.6</f>
        <v>659.44479999999999</v>
      </c>
      <c r="I8" s="1207">
        <v>0</v>
      </c>
      <c r="J8" s="759">
        <v>0</v>
      </c>
      <c r="K8" s="1207">
        <v>0</v>
      </c>
      <c r="L8" s="1207">
        <v>0</v>
      </c>
      <c r="M8" s="1207">
        <v>0</v>
      </c>
      <c r="N8" s="1207">
        <v>0</v>
      </c>
      <c r="O8" s="1207">
        <v>0</v>
      </c>
      <c r="P8" s="1207">
        <v>0</v>
      </c>
      <c r="Q8" s="1207">
        <v>0</v>
      </c>
      <c r="R8" s="1207">
        <v>0</v>
      </c>
      <c r="S8" s="1207">
        <v>0</v>
      </c>
      <c r="T8" s="1207">
        <v>0</v>
      </c>
      <c r="U8" s="1207">
        <v>0</v>
      </c>
      <c r="V8" s="1207">
        <v>0</v>
      </c>
      <c r="W8" s="1207">
        <f t="shared" si="0"/>
        <v>412.15299999999996</v>
      </c>
    </row>
    <row r="9" spans="1:23" x14ac:dyDescent="0.35">
      <c r="A9" s="759">
        <v>10</v>
      </c>
      <c r="B9" s="1208" t="s">
        <v>150</v>
      </c>
      <c r="C9" s="1207">
        <f>4*'ARP Timing'!B$11*VLOOKUP(C$1,'ARP Score'!$A$5:$M20,$A9)</f>
        <v>0</v>
      </c>
      <c r="D9" s="1207">
        <f>4*'ARP Timing'!C$11*VLOOKUP(D$1,'ARP Score'!$A$5:$M20,$A9)</f>
        <v>24.693999999999999</v>
      </c>
      <c r="E9" s="1207">
        <f>4*'ARP Timing'!D$11*VLOOKUP(E$1,'ARP Score'!$A$5:$M20,$A9)</f>
        <v>24.693999999999999</v>
      </c>
      <c r="F9" s="1207">
        <f>4*'ARP Timing'!E$11*VLOOKUP(F$1,'ARP Score'!$A$5:$M20,$A9)</f>
        <v>46.79</v>
      </c>
      <c r="G9" s="1207">
        <f>4*'ARP Timing'!F$11*VLOOKUP(G$1,'ARP Score'!$A$5:$M20,$A9)</f>
        <v>46.79</v>
      </c>
      <c r="H9" s="1207">
        <f>4*'ARP Timing'!G$11*VLOOKUP(H$1,'ARP Score'!$A$5:$M20,$A9)</f>
        <v>46.79</v>
      </c>
      <c r="I9" s="1207">
        <f>4*'ARP Timing'!H$11*VLOOKUP(I$1,'ARP Score'!$A$5:$M20,$A9)</f>
        <v>46.79</v>
      </c>
      <c r="J9" s="1207">
        <f>4*'ARP Timing'!I$11*VLOOKUP(J$1,'ARP Score'!$A$5:$M20,$A9)</f>
        <v>38.595999999999997</v>
      </c>
      <c r="K9" s="1207">
        <f>4*'ARP Timing'!J$11*VLOOKUP(K$1,'ARP Score'!$A$5:$M20,$A9)</f>
        <v>38.595999999999997</v>
      </c>
      <c r="L9" s="1207">
        <f>4*'ARP Timing'!K$11*VLOOKUP(L$1,'ARP Score'!$A$5:$M20,$A9)</f>
        <v>38.595999999999997</v>
      </c>
      <c r="M9" s="1207">
        <f>4*'ARP Timing'!L$11*VLOOKUP(M$1,'ARP Score'!$A$5:$M20,$A9)</f>
        <v>38.595999999999997</v>
      </c>
      <c r="N9" s="1207">
        <f>4*'ARP Timing'!M$11*VLOOKUP(N$1,'ARP Score'!$A$5:$M20,$A9)</f>
        <v>31.911000000000001</v>
      </c>
      <c r="O9" s="1207">
        <f>4*'ARP Timing'!N$11*VLOOKUP(O$1,'ARP Score'!$A$5:$M20,$A9)</f>
        <v>31.911000000000001</v>
      </c>
      <c r="P9" s="1207">
        <f>4*'ARP Timing'!O$11*VLOOKUP(P$1,'ARP Score'!$A$5:$M20,$A9)</f>
        <v>31.911000000000001</v>
      </c>
      <c r="Q9" s="1207">
        <f>4*'ARP Timing'!P$11*VLOOKUP(Q$1,'ARP Score'!$A$5:$M20,$A9)</f>
        <v>31.911000000000001</v>
      </c>
      <c r="R9" s="1207">
        <f>4*'ARP Timing'!Q$11*VLOOKUP(R$1,'ARP Score'!$A$5:$M20,$A9)</f>
        <v>23.099</v>
      </c>
      <c r="S9" s="1207">
        <f>4*'ARP Timing'!R$11*VLOOKUP(S$1,'ARP Score'!$A$5:$M20,$A9)</f>
        <v>23.099</v>
      </c>
      <c r="T9" s="1207">
        <f>4*'ARP Timing'!S$11*VLOOKUP(T$1,'ARP Score'!$A$5:$M20,$A9)</f>
        <v>23.099</v>
      </c>
      <c r="U9" s="1207">
        <f>4*'ARP Timing'!T$11*VLOOKUP(U$1,'ARP Score'!$A$5:$M20,$A9)</f>
        <v>23.099</v>
      </c>
      <c r="V9" s="1207">
        <f>4*'ARP Timing'!U$11*VLOOKUP(V$1,'ARP Score'!$A$5:$M20,$A9)</f>
        <v>10.766999999999999</v>
      </c>
      <c r="W9" s="1207">
        <f t="shared" si="0"/>
        <v>152.74300000000005</v>
      </c>
    </row>
    <row r="10" spans="1:23" x14ac:dyDescent="0.35">
      <c r="A10" s="1212">
        <v>11</v>
      </c>
      <c r="B10" s="1208" t="s">
        <v>363</v>
      </c>
      <c r="C10" s="1207">
        <f>4*'ARP Timing'!B$11*VLOOKUP(C$1,'ARP Score'!$A$5:$M22,$A10)</f>
        <v>0</v>
      </c>
      <c r="D10" s="1207">
        <f>4*'ARP Timing'!C$11*VLOOKUP(D$1,'ARP Score'!$A$5:$M22,$A10)</f>
        <v>59.256</v>
      </c>
      <c r="E10" s="1207">
        <f>4*'ARP Timing'!D$11*VLOOKUP(E$1,'ARP Score'!$A$5:$M22,$A10)</f>
        <v>59.256</v>
      </c>
      <c r="F10" s="1207">
        <f>4*'ARP Timing'!E$11*VLOOKUP(F$1,'ARP Score'!$A$5:$M22,$A10)</f>
        <v>35.671000000000006</v>
      </c>
      <c r="G10" s="1207">
        <f>4*'ARP Timing'!F$11*VLOOKUP(G$1,'ARP Score'!$A$5:$M22,$A10)</f>
        <v>35.671000000000006</v>
      </c>
      <c r="H10" s="1207">
        <f>4*'ARP Timing'!G$11*VLOOKUP(H$1,'ARP Score'!$A$5:$M22,$A10)</f>
        <v>35.671000000000006</v>
      </c>
      <c r="I10" s="1207">
        <f>4*'ARP Timing'!H$11*VLOOKUP(I$1,'ARP Score'!$A$5:$M22,$A10)</f>
        <v>35.671000000000006</v>
      </c>
      <c r="J10" s="1207">
        <f>4*'ARP Timing'!I$11*VLOOKUP(J$1,'ARP Score'!$A$5:$M22,$A10)</f>
        <v>24.216000000000001</v>
      </c>
      <c r="K10" s="1207">
        <f>4*'ARP Timing'!J$11*VLOOKUP(K$1,'ARP Score'!$A$5:$M22,$A10)</f>
        <v>24.216000000000001</v>
      </c>
      <c r="L10" s="1207">
        <f>4*'ARP Timing'!K$11*VLOOKUP(L$1,'ARP Score'!$A$5:$M22,$A10)</f>
        <v>24.216000000000001</v>
      </c>
      <c r="M10" s="1207">
        <f>4*'ARP Timing'!L$11*VLOOKUP(M$1,'ARP Score'!$A$5:$M22,$A10)</f>
        <v>24.216000000000001</v>
      </c>
      <c r="N10" s="1207">
        <f>4*'ARP Timing'!M$11*VLOOKUP(N$1,'ARP Score'!$A$5:$M22,$A10)</f>
        <v>9.6430000000000007</v>
      </c>
      <c r="O10" s="1207">
        <f>4*'ARP Timing'!N$11*VLOOKUP(O$1,'ARP Score'!$A$5:$M22,$A10)</f>
        <v>9.6430000000000007</v>
      </c>
      <c r="P10" s="1207">
        <f>4*'ARP Timing'!O$11*VLOOKUP(P$1,'ARP Score'!$A$5:$M22,$A10)</f>
        <v>9.6430000000000007</v>
      </c>
      <c r="Q10" s="1207">
        <f>4*'ARP Timing'!P$11*VLOOKUP(Q$1,'ARP Score'!$A$5:$M22,$A10)</f>
        <v>9.6430000000000007</v>
      </c>
      <c r="R10" s="1207">
        <f>4*'ARP Timing'!Q$11*VLOOKUP(R$1,'ARP Score'!$A$5:$M22,$A10)</f>
        <v>4.5789999999999997</v>
      </c>
      <c r="S10" s="1207">
        <f>4*'ARP Timing'!R$11*VLOOKUP(S$1,'ARP Score'!$A$5:$M22,$A10)</f>
        <v>4.5789999999999997</v>
      </c>
      <c r="T10" s="1207">
        <f>4*'ARP Timing'!S$11*VLOOKUP(T$1,'ARP Score'!$A$5:$M22,$A10)</f>
        <v>4.5789999999999997</v>
      </c>
      <c r="U10" s="1207">
        <f>4*'ARP Timing'!T$11*VLOOKUP(U$1,'ARP Score'!$A$5:$M22,$A10)</f>
        <v>4.5789999999999997</v>
      </c>
      <c r="V10" s="1207">
        <f>4*'ARP Timing'!U$11*VLOOKUP(V$1,'ARP Score'!$A$5:$M22,$A10)</f>
        <v>2.9130000000000003</v>
      </c>
      <c r="W10" s="1207">
        <f t="shared" si="0"/>
        <v>103.73700000000002</v>
      </c>
    </row>
    <row r="11" spans="1:23" x14ac:dyDescent="0.35">
      <c r="A11" s="759">
        <v>12</v>
      </c>
      <c r="B11" s="14" t="s">
        <v>159</v>
      </c>
      <c r="C11" s="1207">
        <f>4*'ARP Timing'!B12*VLOOKUP(C$1,'ARP Score'!$A$5:$M20,$A11)</f>
        <v>103</v>
      </c>
      <c r="D11" s="1207">
        <f>4*'ARP Timing'!C12*VLOOKUP(D$1,'ARP Score'!$A$5:$M20,$A11)</f>
        <v>0</v>
      </c>
      <c r="E11" s="1207">
        <f>4*'ARP Timing'!D12*VLOOKUP(E$1,'ARP Score'!$A$5:$M20,$A11)</f>
        <v>0</v>
      </c>
      <c r="F11" s="1207">
        <f>4*'ARP Timing'!E12*VLOOKUP(F$1,'ARP Score'!$A$5:$M20,$A11)</f>
        <v>0</v>
      </c>
      <c r="G11" s="1207">
        <f>4*'ARP Timing'!F12*VLOOKUP(G$1,'ARP Score'!$A$5:$M20,$A11)</f>
        <v>0</v>
      </c>
      <c r="H11" s="1207">
        <f>4*'ARP Timing'!G12*VLOOKUP(H$1,'ARP Score'!$A$5:$M20,$A11)</f>
        <v>0</v>
      </c>
      <c r="I11" s="1207">
        <f>4*'ARP Timing'!H12*VLOOKUP(I$1,'ARP Score'!$A$5:$M20,$A11)</f>
        <v>0</v>
      </c>
      <c r="J11" s="1207">
        <f>4*'ARP Timing'!I12*VLOOKUP(J$1,'ARP Score'!$A$5:$M20,$A11)</f>
        <v>0</v>
      </c>
      <c r="K11" s="1207">
        <f>4*'ARP Timing'!J12*VLOOKUP(K$1,'ARP Score'!$A$5:$M20,$A11)</f>
        <v>0</v>
      </c>
      <c r="L11" s="1207">
        <f>4*'ARP Timing'!K12*VLOOKUP(L$1,'ARP Score'!$A$5:$M20,$A11)</f>
        <v>0</v>
      </c>
      <c r="M11" s="1207">
        <f>4*'ARP Timing'!L12*VLOOKUP(M$1,'ARP Score'!$A$5:$M20,$A11)</f>
        <v>0</v>
      </c>
      <c r="N11" s="1207">
        <f>4*'ARP Timing'!M12*VLOOKUP(N$1,'ARP Score'!$A$5:$M20,$A11)</f>
        <v>0</v>
      </c>
      <c r="O11" s="1207">
        <f>4*'ARP Timing'!N12*VLOOKUP(O$1,'ARP Score'!$A$5:$M20,$A11)</f>
        <v>0</v>
      </c>
      <c r="P11" s="1207">
        <f>4*'ARP Timing'!O12*VLOOKUP(P$1,'ARP Score'!$A$5:$M20,$A11)</f>
        <v>0</v>
      </c>
      <c r="Q11" s="1207">
        <f>4*'ARP Timing'!P12*VLOOKUP(Q$1,'ARP Score'!$A$5:$M20,$A11)</f>
        <v>0</v>
      </c>
      <c r="R11" s="1207">
        <f>4*'ARP Timing'!Q12*VLOOKUP(R$1,'ARP Score'!$A$5:$M20,$A11)</f>
        <v>0</v>
      </c>
      <c r="S11" s="1207">
        <f>4*'ARP Timing'!R12*VLOOKUP(S$1,'ARP Score'!$A$5:$M20,$A11)</f>
        <v>0</v>
      </c>
      <c r="T11" s="1207">
        <f>4*'ARP Timing'!S12*VLOOKUP(T$1,'ARP Score'!$A$5:$M20,$A11)</f>
        <v>0</v>
      </c>
      <c r="U11" s="1207">
        <f>4*'ARP Timing'!T12*VLOOKUP(U$1,'ARP Score'!$A$5:$M20,$A11)</f>
        <v>0</v>
      </c>
      <c r="V11" s="1207">
        <f>4*'ARP Timing'!U12*VLOOKUP(V$1,'ARP Score'!$A$5:$M20,$A11)</f>
        <v>0</v>
      </c>
      <c r="W11" s="1207">
        <f t="shared" si="0"/>
        <v>25.75</v>
      </c>
    </row>
    <row r="12" spans="1:23" x14ac:dyDescent="0.35">
      <c r="A12" s="759">
        <v>13</v>
      </c>
      <c r="B12" s="33" t="s">
        <v>109</v>
      </c>
      <c r="C12" s="1207">
        <f>4*'ARP Timing'!B13*VLOOKUP(C$1,'ARP Score'!$A$5:$M21,$A12)</f>
        <v>0</v>
      </c>
      <c r="D12" s="1207">
        <f>4*'ARP Timing'!C13*VLOOKUP(D$1,'ARP Score'!$A$5:$M21,$A12)</f>
        <v>51.102400000000003</v>
      </c>
      <c r="E12" s="1207">
        <f>4*'ARP Timing'!D13*VLOOKUP(E$1,'ARP Score'!$A$5:$M21,$A12)</f>
        <v>76.653599999999997</v>
      </c>
      <c r="F12" s="1207">
        <f>4*'ARP Timing'!E13*VLOOKUP(F$1,'ARP Score'!$A$5:$M21,$A12)</f>
        <v>90.260800000000003</v>
      </c>
      <c r="G12" s="1207">
        <f>4*'ARP Timing'!F13*VLOOKUP(G$1,'ARP Score'!$A$5:$M21,$A12)</f>
        <v>67.695599999999999</v>
      </c>
      <c r="H12" s="1207">
        <f>4*'ARP Timing'!G13*VLOOKUP(H$1,'ARP Score'!$A$5:$M21,$A12)</f>
        <v>45.130400000000002</v>
      </c>
      <c r="I12" s="1207">
        <f>4*'ARP Timing'!H13*VLOOKUP(I$1,'ARP Score'!$A$5:$M21,$A12)</f>
        <v>22.565200000000001</v>
      </c>
      <c r="J12" s="1207">
        <f>4*'ARP Timing'!I13*VLOOKUP(J$1,'ARP Score'!$A$5:$M21,$A12)</f>
        <v>15.652999999999999</v>
      </c>
      <c r="K12" s="1207">
        <f>4*'ARP Timing'!J13*VLOOKUP(K$1,'ARP Score'!$A$5:$M21,$A12)</f>
        <v>15.652999999999999</v>
      </c>
      <c r="L12" s="1207">
        <f>4*'ARP Timing'!K13*VLOOKUP(L$1,'ARP Score'!$A$5:$M21,$A12)</f>
        <v>15.652999999999999</v>
      </c>
      <c r="M12" s="1207">
        <f>4*'ARP Timing'!L13*VLOOKUP(M$1,'ARP Score'!$A$5:$M21,$A12)</f>
        <v>15.652999999999999</v>
      </c>
      <c r="N12" s="1207">
        <f>4*'ARP Timing'!M13*VLOOKUP(N$1,'ARP Score'!$A$5:$M21,$A12)</f>
        <v>3.9320000000000004</v>
      </c>
      <c r="O12" s="1207">
        <f>4*'ARP Timing'!N13*VLOOKUP(O$1,'ARP Score'!$A$5:$M21,$A12)</f>
        <v>3.9320000000000004</v>
      </c>
      <c r="P12" s="1207">
        <f>4*'ARP Timing'!O13*VLOOKUP(P$1,'ARP Score'!$A$5:$M21,$A12)</f>
        <v>3.9320000000000004</v>
      </c>
      <c r="Q12" s="1207">
        <f>4*'ARP Timing'!P13*VLOOKUP(Q$1,'ARP Score'!$A$5:$M21,$A12)</f>
        <v>3.9320000000000004</v>
      </c>
      <c r="R12" s="1207">
        <f>4*'ARP Timing'!Q13*VLOOKUP(R$1,'ARP Score'!$A$5:$M21,$A12)</f>
        <v>-0.74299999999999988</v>
      </c>
      <c r="S12" s="1207">
        <f>4*'ARP Timing'!R13*VLOOKUP(S$1,'ARP Score'!$A$5:$M21,$A12)</f>
        <v>-0.74299999999999988</v>
      </c>
      <c r="T12" s="1207">
        <f>4*'ARP Timing'!S13*VLOOKUP(T$1,'ARP Score'!$A$5:$M21,$A12)</f>
        <v>-0.74299999999999988</v>
      </c>
      <c r="U12" s="1207">
        <f>4*'ARP Timing'!T13*VLOOKUP(U$1,'ARP Score'!$A$5:$M21,$A12)</f>
        <v>-0.74299999999999988</v>
      </c>
      <c r="V12" s="1207">
        <f>4*'ARP Timing'!U13*VLOOKUP(V$1,'ARP Score'!$A$5:$M21,$A12)</f>
        <v>-21.606000000000002</v>
      </c>
      <c r="W12" s="1207">
        <f t="shared" si="0"/>
        <v>107.19400000000005</v>
      </c>
    </row>
    <row r="13" spans="1:23" x14ac:dyDescent="0.35">
      <c r="A13" s="759">
        <v>15</v>
      </c>
      <c r="B13" s="759" t="s">
        <v>768</v>
      </c>
      <c r="C13" s="1207">
        <f>0.3*'ARP Score'!$N5*4*'ARP Timing'!B6</f>
        <v>0</v>
      </c>
      <c r="D13" s="1207">
        <f>0.3*'ARP Score'!$N5*4*'ARP Timing'!C6</f>
        <v>1.7544</v>
      </c>
      <c r="E13" s="1207">
        <f>0.3*'ARP Score'!$N5*4*'ARP Timing'!D6</f>
        <v>2.3255999999999997</v>
      </c>
      <c r="F13" s="1207">
        <f>0.3*'ARP Score'!$N6*4*'ARP Timing'!E6</f>
        <v>1.5299999999999998</v>
      </c>
      <c r="G13" s="1207">
        <f>0.3*'ARP Score'!$N6*4*'ARP Timing'!F6</f>
        <v>1.5299999999999998</v>
      </c>
      <c r="H13" s="1207">
        <f>0.3*'ARP Score'!$N6*4*'ARP Timing'!G6</f>
        <v>1.5299999999999998</v>
      </c>
      <c r="I13" s="1207">
        <f>0.3*'ARP Score'!$N6*4*'ARP Timing'!H6</f>
        <v>1.5299999999999998</v>
      </c>
      <c r="J13" s="1207">
        <f>0.3*'ARP Score'!$N7*4*'ARP Timing'!I6</f>
        <v>0</v>
      </c>
      <c r="K13" s="1207">
        <f>0.3*'ARP Score'!$N7*4*'ARP Timing'!J6</f>
        <v>0</v>
      </c>
      <c r="L13" s="1207">
        <f>0.3*'ARP Score'!$N7*4*'ARP Timing'!K6</f>
        <v>0</v>
      </c>
      <c r="M13" s="1207">
        <f>0.3*'ARP Score'!$N7*4*'ARP Timing'!L6</f>
        <v>0</v>
      </c>
      <c r="N13" s="1207">
        <f>0.3*'ARP Score'!$N7*4*'ARP Timing'!M6</f>
        <v>0</v>
      </c>
      <c r="O13" s="1207">
        <f>0.3*'ARP Score'!$N7*4*'ARP Timing'!N6</f>
        <v>0</v>
      </c>
      <c r="P13" s="1207">
        <f>0.3*'ARP Score'!$N7*4*'ARP Timing'!O6</f>
        <v>0</v>
      </c>
      <c r="Q13" s="1207">
        <f>0.3*'ARP Score'!$N7*4*'ARP Timing'!P6</f>
        <v>0</v>
      </c>
      <c r="R13" s="1207">
        <f>0.3*'ARP Score'!$N7*4*'ARP Timing'!Q6</f>
        <v>0</v>
      </c>
      <c r="S13" s="1207">
        <f>0.3*'ARP Score'!$N7*4*'ARP Timing'!R6</f>
        <v>0</v>
      </c>
      <c r="T13" s="1207">
        <f>0.3*'ARP Score'!$N7*4*'ARP Timing'!S6</f>
        <v>0</v>
      </c>
      <c r="U13" s="1207">
        <f>0.3*'ARP Score'!$N7*4*'ARP Timing'!T6</f>
        <v>0</v>
      </c>
      <c r="V13" s="1207">
        <f>0.3*'ARP Score'!$N7*4*'ARP Timing'!U6</f>
        <v>0</v>
      </c>
      <c r="W13" s="1207">
        <f t="shared" si="0"/>
        <v>2.5499999999999994</v>
      </c>
    </row>
    <row r="14" spans="1:23" x14ac:dyDescent="0.35">
      <c r="A14" s="759">
        <v>14</v>
      </c>
      <c r="B14" s="759" t="s">
        <v>769</v>
      </c>
      <c r="C14" s="1207">
        <f>C13/0.3*0.2</f>
        <v>0</v>
      </c>
      <c r="D14" s="1207">
        <f t="shared" ref="D14:F14" si="1">D13/0.3*0.2</f>
        <v>1.1696</v>
      </c>
      <c r="E14" s="1207">
        <f t="shared" si="1"/>
        <v>1.5503999999999998</v>
      </c>
      <c r="F14" s="1207">
        <f t="shared" si="1"/>
        <v>1.02</v>
      </c>
      <c r="G14" s="1207">
        <f t="shared" ref="G14" si="2">G13/0.3*0.2</f>
        <v>1.02</v>
      </c>
      <c r="H14" s="1207">
        <f t="shared" ref="H14" si="3">H13/0.3*0.2</f>
        <v>1.02</v>
      </c>
      <c r="I14" s="1207">
        <f t="shared" ref="I14" si="4">I13/0.3*0.2</f>
        <v>1.02</v>
      </c>
      <c r="J14" s="1207">
        <f t="shared" ref="J14" si="5">J13/0.3*0.2</f>
        <v>0</v>
      </c>
      <c r="K14" s="1207">
        <f t="shared" ref="K14" si="6">K13/0.3*0.2</f>
        <v>0</v>
      </c>
      <c r="L14" s="1207">
        <f t="shared" ref="L14" si="7">L13/0.3*0.2</f>
        <v>0</v>
      </c>
      <c r="M14" s="1207">
        <f t="shared" ref="M14" si="8">M13/0.3*0.2</f>
        <v>0</v>
      </c>
      <c r="N14" s="1207">
        <f t="shared" ref="N14" si="9">N13/0.3*0.2</f>
        <v>0</v>
      </c>
      <c r="O14" s="1207">
        <f t="shared" ref="O14" si="10">O13/0.3*0.2</f>
        <v>0</v>
      </c>
      <c r="P14" s="1207">
        <f t="shared" ref="P14" si="11">P13/0.3*0.2</f>
        <v>0</v>
      </c>
      <c r="Q14" s="1207">
        <f t="shared" ref="Q14" si="12">Q13/0.3*0.2</f>
        <v>0</v>
      </c>
      <c r="R14" s="1207">
        <f t="shared" ref="R14" si="13">R13/0.3*0.2</f>
        <v>0</v>
      </c>
      <c r="S14" s="1207">
        <f t="shared" ref="S14" si="14">S13/0.3*0.2</f>
        <v>0</v>
      </c>
      <c r="T14" s="1207">
        <f t="shared" ref="T14" si="15">T13/0.3*0.2</f>
        <v>0</v>
      </c>
      <c r="U14" s="1207">
        <f t="shared" ref="U14" si="16">U13/0.3*0.2</f>
        <v>0</v>
      </c>
      <c r="V14" s="1207">
        <f t="shared" ref="V14" si="17">V13/0.3*0.2</f>
        <v>0</v>
      </c>
      <c r="W14" s="1207">
        <f t="shared" si="0"/>
        <v>1.6999999999999997</v>
      </c>
    </row>
    <row r="15" spans="1:23" x14ac:dyDescent="0.35">
      <c r="A15" s="759">
        <v>14</v>
      </c>
      <c r="B15" s="759" t="s">
        <v>470</v>
      </c>
      <c r="C15" s="1207">
        <f>C14/0.2*0.5</f>
        <v>0</v>
      </c>
      <c r="D15" s="1207">
        <f t="shared" ref="D15:F15" si="18">D14/0.2*0.5</f>
        <v>2.9239999999999999</v>
      </c>
      <c r="E15" s="1207">
        <f t="shared" si="18"/>
        <v>3.8759999999999994</v>
      </c>
      <c r="F15" s="1207">
        <f t="shared" si="18"/>
        <v>2.5499999999999998</v>
      </c>
      <c r="G15" s="1207">
        <f t="shared" ref="G15" si="19">G14/0.2*0.5</f>
        <v>2.5499999999999998</v>
      </c>
      <c r="H15" s="1207">
        <f t="shared" ref="H15" si="20">H14/0.2*0.5</f>
        <v>2.5499999999999998</v>
      </c>
      <c r="I15" s="1207">
        <f t="shared" ref="I15" si="21">I14/0.2*0.5</f>
        <v>2.5499999999999998</v>
      </c>
      <c r="J15" s="1207">
        <f t="shared" ref="J15" si="22">J14/0.2*0.5</f>
        <v>0</v>
      </c>
      <c r="K15" s="1207">
        <f t="shared" ref="K15" si="23">K14/0.2*0.5</f>
        <v>0</v>
      </c>
      <c r="L15" s="1207">
        <f t="shared" ref="L15" si="24">L14/0.2*0.5</f>
        <v>0</v>
      </c>
      <c r="M15" s="1207">
        <f t="shared" ref="M15" si="25">M14/0.2*0.5</f>
        <v>0</v>
      </c>
      <c r="N15" s="1207">
        <f t="shared" ref="N15" si="26">N14/0.2*0.5</f>
        <v>0</v>
      </c>
      <c r="O15" s="1207">
        <f t="shared" ref="O15" si="27">O14/0.2*0.5</f>
        <v>0</v>
      </c>
      <c r="P15" s="1207">
        <f t="shared" ref="P15" si="28">P14/0.2*0.5</f>
        <v>0</v>
      </c>
      <c r="Q15" s="1207">
        <f t="shared" ref="Q15" si="29">Q14/0.2*0.5</f>
        <v>0</v>
      </c>
      <c r="R15" s="1207">
        <f t="shared" ref="R15" si="30">R14/0.2*0.5</f>
        <v>0</v>
      </c>
      <c r="S15" s="1207">
        <f t="shared" ref="S15" si="31">S14/0.2*0.5</f>
        <v>0</v>
      </c>
      <c r="T15" s="1207">
        <f t="shared" ref="T15" si="32">T14/0.2*0.5</f>
        <v>0</v>
      </c>
      <c r="U15" s="1207">
        <f t="shared" ref="U15" si="33">U14/0.2*0.5</f>
        <v>0</v>
      </c>
      <c r="V15" s="1207">
        <f t="shared" ref="V15" si="34">V14/0.2*0.5</f>
        <v>0</v>
      </c>
      <c r="W15" s="1207">
        <f t="shared" si="0"/>
        <v>4.25</v>
      </c>
    </row>
    <row r="16" spans="1:23" x14ac:dyDescent="0.35">
      <c r="C16" s="1207"/>
      <c r="D16" s="1207"/>
      <c r="E16" s="1207"/>
      <c r="F16" s="1207"/>
      <c r="G16" s="1207"/>
      <c r="H16" s="1207"/>
      <c r="I16" s="1207"/>
      <c r="J16" s="1207"/>
      <c r="K16" s="1207"/>
      <c r="L16" s="1207"/>
      <c r="M16" s="1207"/>
      <c r="N16" s="1207"/>
      <c r="O16" s="1207"/>
      <c r="P16" s="1207"/>
      <c r="Q16" s="1207"/>
      <c r="R16" s="1207"/>
      <c r="S16" s="1207"/>
      <c r="T16" s="1207"/>
      <c r="U16" s="1207"/>
      <c r="V16" s="1207"/>
      <c r="W16" s="1207"/>
    </row>
    <row r="17" spans="1:23" x14ac:dyDescent="0.35">
      <c r="A17" s="759" t="s">
        <v>770</v>
      </c>
      <c r="C17" s="1207"/>
      <c r="D17" s="1207"/>
      <c r="E17" s="1207"/>
      <c r="F17" s="1207"/>
      <c r="G17" s="1207"/>
      <c r="H17" s="1207"/>
      <c r="I17" s="1207"/>
      <c r="J17" s="1207"/>
      <c r="K17" s="1207"/>
      <c r="L17" s="1207"/>
      <c r="M17" s="1207"/>
      <c r="N17" s="1207"/>
      <c r="O17" s="1207"/>
      <c r="P17" s="1207"/>
      <c r="Q17" s="1207"/>
      <c r="R17" s="1207"/>
      <c r="S17" s="1207"/>
      <c r="T17" s="1207"/>
      <c r="U17" s="1207"/>
      <c r="V17" s="1207"/>
      <c r="W17" s="1207"/>
    </row>
    <row r="18" spans="1:23" x14ac:dyDescent="0.35">
      <c r="B18" s="519" t="s">
        <v>143</v>
      </c>
      <c r="C18" s="1207">
        <f>'ARP Score'!$BG5/'ARP Score'!$G5*C6</f>
        <v>0</v>
      </c>
      <c r="D18" s="1207">
        <f>'ARP Score'!$BG5/'ARP Score'!$G5*D6</f>
        <v>2.2132800000000001</v>
      </c>
      <c r="E18" s="1207">
        <f>'ARP Score'!$BG5/'ARP Score'!$G5*E6</f>
        <v>10.082720000000002</v>
      </c>
      <c r="F18" s="1207">
        <f>'ARP Score'!$BG6/'ARP Score'!$G6*F6</f>
        <v>7.1439999999999992</v>
      </c>
      <c r="G18" s="1207">
        <f>'ARP Score'!$BG6/'ARP Score'!$G6*G6</f>
        <v>7.1439999999999992</v>
      </c>
      <c r="H18" s="1207">
        <f>'ARP Score'!$BG6/'ARP Score'!$G6*H6</f>
        <v>7.1439999999999992</v>
      </c>
      <c r="I18" s="1207">
        <f>'ARP Score'!$BG6/'ARP Score'!$G6*I6</f>
        <v>7.1439999999999992</v>
      </c>
      <c r="J18" s="1207">
        <f>'ARP Score'!$BG7/'ARP Score'!$G7*J6</f>
        <v>0</v>
      </c>
      <c r="K18" s="1207">
        <f>'ARP Score'!$BG7/'ARP Score'!$G7*K6</f>
        <v>0</v>
      </c>
      <c r="L18" s="1207">
        <f>'ARP Score'!$BG7/'ARP Score'!$G7*L6</f>
        <v>0</v>
      </c>
      <c r="M18" s="1207">
        <f>'ARP Score'!$BG7/'ARP Score'!$G7*M6</f>
        <v>0</v>
      </c>
      <c r="N18" s="1207"/>
      <c r="O18" s="1207"/>
      <c r="P18" s="1207"/>
      <c r="Q18" s="1207"/>
      <c r="R18" s="1207"/>
      <c r="S18" s="1207"/>
      <c r="T18" s="1207"/>
      <c r="U18" s="1207"/>
      <c r="V18" s="1207"/>
      <c r="W18" s="1207"/>
    </row>
    <row r="19" spans="1:23" x14ac:dyDescent="0.35">
      <c r="B19" s="519" t="s">
        <v>771</v>
      </c>
      <c r="C19" s="1207">
        <f>'ARP Score'!$BI5/'ARP Score'!$G5*C6</f>
        <v>0</v>
      </c>
      <c r="D19" s="1207">
        <f>'ARP Score'!$BI5/'ARP Score'!$G5*D6</f>
        <v>15.128640000000001</v>
      </c>
      <c r="E19" s="1207">
        <f>'ARP Score'!$BI5/'ARP Score'!$G5*E6</f>
        <v>68.919360000000012</v>
      </c>
      <c r="F19" s="1207">
        <f>'ARP Score'!$BI6/'ARP Score'!$G6*F6</f>
        <v>5.6120000000000001</v>
      </c>
      <c r="G19" s="1207">
        <f>'ARP Score'!$BI6/'ARP Score'!$G6*G6</f>
        <v>5.6120000000000001</v>
      </c>
      <c r="H19" s="1207">
        <f>'ARP Score'!$BI6/'ARP Score'!$G6*H6</f>
        <v>5.6120000000000001</v>
      </c>
      <c r="I19" s="1207">
        <f>'ARP Score'!$BI6/'ARP Score'!$G6*I6</f>
        <v>5.6120000000000001</v>
      </c>
      <c r="J19" s="1207">
        <f>'ARP Score'!$B7/'ARP Score'!$G7*J6</f>
        <v>0.48599999999999993</v>
      </c>
      <c r="K19" s="1207">
        <f>'ARP Score'!$B7/'ARP Score'!$G7*K6</f>
        <v>0.48599999999999993</v>
      </c>
      <c r="L19" s="1207">
        <f>'ARP Score'!$B7/'ARP Score'!$G7*L6</f>
        <v>0.48599999999999993</v>
      </c>
      <c r="M19" s="1207">
        <f>'ARP Score'!$B7/'ARP Score'!$G7*M6</f>
        <v>0.48599999999999993</v>
      </c>
      <c r="N19" s="1207">
        <f>'ARP Score'!$B8/'ARP Score'!$G8*N6</f>
        <v>0</v>
      </c>
      <c r="O19" s="1207"/>
      <c r="P19" s="1207"/>
      <c r="Q19" s="1207"/>
      <c r="R19" s="1207"/>
      <c r="S19" s="1207"/>
      <c r="T19" s="1207"/>
      <c r="U19" s="1207"/>
      <c r="V19" s="1207"/>
      <c r="W19" s="1207"/>
    </row>
    <row r="20" spans="1:23" x14ac:dyDescent="0.35">
      <c r="B20" s="519" t="s">
        <v>148</v>
      </c>
      <c r="C20" s="1207">
        <f>'ARP Score'!$BF5/'ARP Score'!$G5*C6</f>
        <v>0</v>
      </c>
      <c r="D20" s="1207">
        <f>'ARP Score'!$BF5/'ARP Score'!$G5*D6</f>
        <v>3.2479199999999997</v>
      </c>
      <c r="E20" s="1207">
        <f>'ARP Score'!$BF5/'ARP Score'!$G5*E6</f>
        <v>14.796080000000002</v>
      </c>
      <c r="F20" s="1207">
        <f>'ARP Score'!$BF6/'ARP Score'!$G6*F6</f>
        <v>1.7329999999999999</v>
      </c>
      <c r="G20" s="1207">
        <f>'ARP Score'!$BF6/'ARP Score'!$G6*G6</f>
        <v>1.7329999999999999</v>
      </c>
      <c r="H20" s="1207">
        <f>'ARP Score'!$BF6/'ARP Score'!$G6*H6</f>
        <v>1.7329999999999999</v>
      </c>
      <c r="I20" s="1207">
        <f>'ARP Score'!$BF6/'ARP Score'!$G6*I6</f>
        <v>1.7329999999999999</v>
      </c>
      <c r="J20" s="1207">
        <f>'ARP Score'!$BF7/'ARP Score'!$G7*J6</f>
        <v>0</v>
      </c>
      <c r="K20" s="1207">
        <f>'ARP Score'!$BF7/'ARP Score'!$G7*K6</f>
        <v>0</v>
      </c>
      <c r="L20" s="1207">
        <f>'ARP Score'!$BF7/'ARP Score'!$G7*L6</f>
        <v>0</v>
      </c>
      <c r="M20" s="1207">
        <f>'ARP Score'!$BF7/'ARP Score'!$G7*M6</f>
        <v>0</v>
      </c>
      <c r="N20" s="1207"/>
      <c r="O20" s="1207"/>
      <c r="P20" s="1207"/>
      <c r="Q20" s="1207"/>
      <c r="R20" s="1207"/>
      <c r="S20" s="1207"/>
      <c r="T20" s="1207"/>
      <c r="U20" s="1207"/>
      <c r="V20" s="1207"/>
      <c r="W20" s="1207"/>
    </row>
    <row r="21" spans="1:23" x14ac:dyDescent="0.35">
      <c r="B21" s="1213" t="s">
        <v>413</v>
      </c>
      <c r="C21" s="1207">
        <f>15/40*(C6*'ARP Score'!$BD5/'ARP Score'!$G5)</f>
        <v>0</v>
      </c>
      <c r="D21" s="1207">
        <f>15/40*(D6*('ARP Score'!$BD5+'ARP Score'!$BE5)/'ARP Score'!$G5)</f>
        <v>13.2921</v>
      </c>
      <c r="E21" s="1207">
        <f>15/40*(E6*('ARP Score'!$BD5+'ARP Score'!$BE5)/'ARP Score'!$G5)</f>
        <v>60.552900000000008</v>
      </c>
      <c r="F21" s="1207">
        <f>15/40*(F6*('ARP Score'!$BD6+'ARP Score'!$BE6)/'ARP Score'!$G6)</f>
        <v>1.0687500000000001</v>
      </c>
      <c r="G21" s="1207">
        <f>15/40*(G6*('ARP Score'!$BD6+'ARP Score'!$BE6)/'ARP Score'!$G6)</f>
        <v>1.0687500000000001</v>
      </c>
      <c r="H21" s="1207">
        <f>15/40*(H6*('ARP Score'!$BD6+'ARP Score'!$BE6)/'ARP Score'!$G6)</f>
        <v>1.0687500000000001</v>
      </c>
      <c r="I21" s="1207">
        <f>15/40*(I6*('ARP Score'!$BD6+'ARP Score'!$BE6)/'ARP Score'!$G6)</f>
        <v>1.0687500000000001</v>
      </c>
      <c r="J21" s="1207">
        <f>15/40*(J6*('ARP Score'!$BD7+'ARP Score'!$BE7)/'ARP Score'!$G7)</f>
        <v>0.78750000000000009</v>
      </c>
      <c r="K21" s="1207">
        <f>15/40*(K6*('ARP Score'!$BD7+'ARP Score'!$BE7)/'ARP Score'!$G7)</f>
        <v>0.78750000000000009</v>
      </c>
      <c r="L21" s="1207">
        <f>15/40*(L6*('ARP Score'!$BD7+'ARP Score'!$BE7)/'ARP Score'!$G7)</f>
        <v>0.78750000000000009</v>
      </c>
      <c r="M21" s="1207">
        <f>15/40*(M6*('ARP Score'!$BD7+'ARP Score'!$BE7)/'ARP Score'!$G7)</f>
        <v>0.78750000000000009</v>
      </c>
      <c r="N21" s="1207"/>
      <c r="O21" s="1207"/>
      <c r="P21" s="1207"/>
      <c r="Q21" s="1207"/>
      <c r="R21" s="1207"/>
      <c r="S21" s="1207"/>
      <c r="T21" s="1207"/>
      <c r="U21" s="1207"/>
      <c r="V21" s="1207"/>
      <c r="W21" s="1207"/>
    </row>
    <row r="22" spans="1:23" x14ac:dyDescent="0.35">
      <c r="B22" s="1213" t="s">
        <v>772</v>
      </c>
      <c r="C22" s="1207"/>
      <c r="D22" s="1207">
        <f>D21/15*25</f>
        <v>22.153499999999998</v>
      </c>
      <c r="E22" s="1207">
        <f>E21/15*25</f>
        <v>100.92150000000002</v>
      </c>
      <c r="F22" s="1207">
        <f>F21/15*25</f>
        <v>1.7812500000000002</v>
      </c>
      <c r="G22" s="1207">
        <f>G21/15*25</f>
        <v>1.7812500000000002</v>
      </c>
      <c r="H22" s="1207">
        <f t="shared" ref="H22:J22" si="35">H21/15*25</f>
        <v>1.7812500000000002</v>
      </c>
      <c r="I22" s="1207">
        <f t="shared" si="35"/>
        <v>1.7812500000000002</v>
      </c>
      <c r="J22" s="1207">
        <f t="shared" si="35"/>
        <v>1.3125000000000002</v>
      </c>
      <c r="K22" s="1207">
        <f t="shared" ref="K22" si="36">K21/15*25</f>
        <v>1.3125000000000002</v>
      </c>
      <c r="L22" s="1207">
        <f t="shared" ref="L22" si="37">L21/15*25</f>
        <v>1.3125000000000002</v>
      </c>
      <c r="M22" s="1207">
        <f t="shared" ref="M22" si="38">M21/15*25</f>
        <v>1.3125000000000002</v>
      </c>
      <c r="N22" s="1207"/>
      <c r="O22" s="1207"/>
      <c r="P22" s="1207"/>
      <c r="Q22" s="1207"/>
      <c r="R22" s="1207"/>
      <c r="S22" s="1207"/>
      <c r="T22" s="1207"/>
      <c r="U22" s="1207"/>
      <c r="V22" s="1207"/>
      <c r="W22" s="1207"/>
    </row>
    <row r="23" spans="1:23" x14ac:dyDescent="0.35">
      <c r="B23" s="519" t="s">
        <v>425</v>
      </c>
      <c r="C23" s="1207">
        <f>'ARP Score'!$BB5/'ARP Score'!$G5*C6</f>
        <v>0</v>
      </c>
      <c r="D23" s="1207">
        <f>'ARP Score'!$BB5/'ARP Score'!$G5*D6</f>
        <v>2.9519999999999995</v>
      </c>
      <c r="E23" s="1207">
        <f>'ARP Score'!$BB5/'ARP Score'!$G5*E6</f>
        <v>13.448</v>
      </c>
      <c r="F23" s="1207">
        <f>'ARP Score'!$BB6/'ARP Score'!$G6*F6</f>
        <v>11.3</v>
      </c>
      <c r="G23" s="1207">
        <f>'ARP Score'!$BB6/'ARP Score'!$G6*G6</f>
        <v>11.3</v>
      </c>
      <c r="H23" s="1207">
        <f>'ARP Score'!$BB6/'ARP Score'!$G6*H6</f>
        <v>11.3</v>
      </c>
      <c r="I23" s="1207">
        <f>'ARP Score'!$BB6/'ARP Score'!$G6*I6</f>
        <v>11.3</v>
      </c>
      <c r="J23" s="1207">
        <f>'ARP Score'!$BB7/'ARP Score'!$G7*J6</f>
        <v>8.4</v>
      </c>
      <c r="K23" s="1207">
        <f>'ARP Score'!$BB7/'ARP Score'!$G7*K6</f>
        <v>8.4</v>
      </c>
      <c r="L23" s="1207">
        <f>'ARP Score'!$BB7/'ARP Score'!$G7*L6</f>
        <v>8.4</v>
      </c>
      <c r="M23" s="1207">
        <f>'ARP Score'!$BB7/'ARP Score'!$G7*M6</f>
        <v>8.4</v>
      </c>
      <c r="N23" s="1207">
        <f>'ARP Score'!$BB8/'ARP Score'!$G8*N6</f>
        <v>0.2</v>
      </c>
      <c r="O23" s="1207">
        <f>'ARP Score'!$BB8/'ARP Score'!$G8*O6</f>
        <v>0.2</v>
      </c>
      <c r="P23" s="1207">
        <f>'ARP Score'!$BB8/'ARP Score'!$G8*P6</f>
        <v>0.2</v>
      </c>
      <c r="Q23" s="1207">
        <f>'ARP Score'!$BB8/'ARP Score'!$G8*Q6</f>
        <v>0.2</v>
      </c>
      <c r="R23" s="1207"/>
      <c r="S23" s="1207"/>
      <c r="T23" s="1207"/>
      <c r="U23" s="1207"/>
      <c r="V23" s="1207"/>
      <c r="W23" s="1207"/>
    </row>
    <row r="24" spans="1:23" x14ac:dyDescent="0.35">
      <c r="B24" s="519" t="s">
        <v>426</v>
      </c>
      <c r="C24" s="1207">
        <f>'ARP Score'!$BH5/'ARP Score'!$G5*C6</f>
        <v>0</v>
      </c>
      <c r="D24" s="1207">
        <f>'ARP Score'!$BH5/'ARP Score'!$G5*D6</f>
        <v>-0.20447999999999997</v>
      </c>
      <c r="E24" s="1207">
        <f>'ARP Score'!$BH5/'ARP Score'!$G5*E6</f>
        <v>-0.93152000000000001</v>
      </c>
      <c r="F24" s="1207">
        <f>'ARP Score'!$BH6/'ARP Score'!$G6*F6</f>
        <v>81.608999999999995</v>
      </c>
      <c r="G24" s="1207">
        <f>'ARP Score'!$BH6/'ARP Score'!$G6*G6</f>
        <v>81.608999999999995</v>
      </c>
      <c r="H24" s="1207">
        <f>'ARP Score'!$BH6/'ARP Score'!$G6*H6</f>
        <v>81.608999999999995</v>
      </c>
      <c r="I24" s="1207">
        <f>'ARP Score'!$BH6/'ARP Score'!$G6*I6</f>
        <v>81.608999999999995</v>
      </c>
      <c r="J24" s="1207">
        <f>'ARP Score'!$BH7/'ARP Score'!$G7*J6</f>
        <v>1.3759999999999999</v>
      </c>
      <c r="K24" s="1207">
        <f>'ARP Score'!$BH7/'ARP Score'!$G7*K6</f>
        <v>1.3759999999999999</v>
      </c>
      <c r="L24" s="1207">
        <f>'ARP Score'!$BH7/'ARP Score'!$G7*L6</f>
        <v>1.3759999999999999</v>
      </c>
      <c r="M24" s="1207">
        <f>'ARP Score'!$BH7/'ARP Score'!$G7*M6</f>
        <v>1.3759999999999999</v>
      </c>
      <c r="N24" s="1207">
        <f>'ARP Score'!$BH8/'ARP Score'!$G8*N6</f>
        <v>-0.87500000000000011</v>
      </c>
      <c r="O24" s="1207">
        <f>'ARP Score'!$BH8/'ARP Score'!$G8*O6</f>
        <v>-0.87500000000000011</v>
      </c>
      <c r="P24" s="1207">
        <f>'ARP Score'!$BH8/'ARP Score'!$G8*P6</f>
        <v>-0.87500000000000011</v>
      </c>
      <c r="Q24" s="1207">
        <f>'ARP Score'!$BH8/'ARP Score'!$G8*Q6</f>
        <v>-0.87500000000000011</v>
      </c>
      <c r="R24" s="1207"/>
      <c r="S24" s="1207"/>
      <c r="T24" s="1207"/>
      <c r="U24" s="1207"/>
      <c r="V24" s="1207"/>
      <c r="W24" s="1207"/>
    </row>
    <row r="25" spans="1:23" x14ac:dyDescent="0.35">
      <c r="B25" s="519" t="s">
        <v>311</v>
      </c>
      <c r="C25" s="1207">
        <f>SUM(C18:C24)</f>
        <v>0</v>
      </c>
      <c r="D25" s="1207">
        <f t="shared" ref="D25:Q25" si="39">SUM(D18:D24)</f>
        <v>58.782959999999996</v>
      </c>
      <c r="E25" s="1207">
        <f t="shared" si="39"/>
        <v>267.78904000000006</v>
      </c>
      <c r="F25" s="1207">
        <f t="shared" si="39"/>
        <v>110.24799999999999</v>
      </c>
      <c r="G25" s="1207">
        <f t="shared" si="39"/>
        <v>110.24799999999999</v>
      </c>
      <c r="H25" s="1207">
        <f t="shared" si="39"/>
        <v>110.24799999999999</v>
      </c>
      <c r="I25" s="1207">
        <f t="shared" si="39"/>
        <v>110.24799999999999</v>
      </c>
      <c r="J25" s="1207">
        <f t="shared" si="39"/>
        <v>12.362</v>
      </c>
      <c r="K25" s="1207">
        <f t="shared" si="39"/>
        <v>12.362</v>
      </c>
      <c r="L25" s="1207">
        <f t="shared" si="39"/>
        <v>12.362</v>
      </c>
      <c r="M25" s="1207">
        <f t="shared" si="39"/>
        <v>12.362</v>
      </c>
      <c r="N25" s="1207">
        <f t="shared" si="39"/>
        <v>-0.67500000000000004</v>
      </c>
      <c r="O25" s="1207">
        <f t="shared" si="39"/>
        <v>-0.67500000000000004</v>
      </c>
      <c r="P25" s="1207">
        <f t="shared" si="39"/>
        <v>-0.67500000000000004</v>
      </c>
      <c r="Q25" s="1207">
        <f t="shared" si="39"/>
        <v>-0.67500000000000004</v>
      </c>
      <c r="R25" s="1207"/>
      <c r="S25" s="1207"/>
      <c r="T25" s="1207"/>
      <c r="U25" s="1207"/>
      <c r="V25" s="1207"/>
      <c r="W25" s="1207"/>
    </row>
    <row r="26" spans="1:23" x14ac:dyDescent="0.35">
      <c r="D26" s="1205">
        <f>D6-D25</f>
        <v>0</v>
      </c>
      <c r="E26" s="1205">
        <f t="shared" ref="E26:M26" si="40">E6-E25</f>
        <v>0</v>
      </c>
      <c r="F26" s="1205">
        <f t="shared" si="40"/>
        <v>0</v>
      </c>
      <c r="G26" s="1205">
        <f t="shared" si="40"/>
        <v>0</v>
      </c>
      <c r="H26" s="1205">
        <f t="shared" si="40"/>
        <v>0</v>
      </c>
      <c r="I26" s="1205">
        <f t="shared" si="40"/>
        <v>0</v>
      </c>
      <c r="J26" s="1205">
        <f t="shared" si="40"/>
        <v>0.36400000000000077</v>
      </c>
      <c r="K26" s="1205">
        <f t="shared" si="40"/>
        <v>0.36400000000000077</v>
      </c>
      <c r="L26" s="1205">
        <f t="shared" si="40"/>
        <v>0.36400000000000077</v>
      </c>
      <c r="M26" s="1205">
        <f t="shared" si="40"/>
        <v>0.36400000000000077</v>
      </c>
    </row>
    <row r="27" spans="1:23" x14ac:dyDescent="0.35">
      <c r="B27" s="759" t="s">
        <v>773</v>
      </c>
      <c r="D27" s="629" t="s">
        <v>250</v>
      </c>
      <c r="E27" s="629" t="s">
        <v>180</v>
      </c>
      <c r="F27" s="629" t="s">
        <v>181</v>
      </c>
      <c r="G27" s="629" t="s">
        <v>182</v>
      </c>
      <c r="H27" s="629" t="s">
        <v>183</v>
      </c>
      <c r="I27" s="629" t="s">
        <v>184</v>
      </c>
      <c r="J27" s="629" t="s">
        <v>185</v>
      </c>
      <c r="K27" s="629" t="s">
        <v>186</v>
      </c>
      <c r="L27" s="629" t="s">
        <v>187</v>
      </c>
      <c r="M27" s="629" t="s">
        <v>188</v>
      </c>
      <c r="N27" s="629" t="s">
        <v>189</v>
      </c>
      <c r="O27" s="629" t="s">
        <v>190</v>
      </c>
      <c r="P27" s="629" t="s">
        <v>191</v>
      </c>
      <c r="Q27" s="629" t="s">
        <v>175</v>
      </c>
      <c r="R27" s="629" t="s">
        <v>176</v>
      </c>
      <c r="S27" s="629" t="s">
        <v>177</v>
      </c>
      <c r="T27" s="629" t="s">
        <v>764</v>
      </c>
      <c r="U27" s="629" t="s">
        <v>765</v>
      </c>
      <c r="V27" s="629" t="s">
        <v>766</v>
      </c>
    </row>
    <row r="28" spans="1:23" x14ac:dyDescent="0.35">
      <c r="B28" s="33"/>
      <c r="C28" s="1205" t="s">
        <v>311</v>
      </c>
      <c r="D28" s="1209">
        <f>SUM(D29:D43)</f>
        <v>5.8765000000000009</v>
      </c>
      <c r="E28" s="1209">
        <f t="shared" ref="E28:V28" si="41">SUM(E29:E43)</f>
        <v>11.753000000000002</v>
      </c>
      <c r="F28" s="1209">
        <f t="shared" si="41"/>
        <v>15.762320000000003</v>
      </c>
      <c r="G28" s="1209">
        <f t="shared" si="41"/>
        <v>19.771640000000005</v>
      </c>
      <c r="H28" s="1209">
        <f t="shared" si="41"/>
        <v>23.812229000000006</v>
      </c>
      <c r="I28" s="1209">
        <f t="shared" si="41"/>
        <v>27.852818000000006</v>
      </c>
      <c r="J28" s="1209">
        <f t="shared" si="41"/>
        <v>30.517977000000005</v>
      </c>
      <c r="K28" s="1209">
        <f t="shared" si="41"/>
        <v>33.183136000000005</v>
      </c>
      <c r="L28" s="1209">
        <f t="shared" si="41"/>
        <v>36.260924000000003</v>
      </c>
      <c r="M28" s="1209">
        <f t="shared" si="41"/>
        <v>39.338711999999994</v>
      </c>
      <c r="N28" s="1209">
        <f t="shared" si="41"/>
        <v>40.928439999999995</v>
      </c>
      <c r="O28" s="1209">
        <f t="shared" si="41"/>
        <v>42.518167999999996</v>
      </c>
      <c r="P28" s="1209">
        <f t="shared" si="41"/>
        <v>44.428388999999996</v>
      </c>
      <c r="Q28" s="1209">
        <f t="shared" si="41"/>
        <v>46.338610000000003</v>
      </c>
      <c r="R28" s="1209">
        <f t="shared" si="41"/>
        <v>47.279744500000007</v>
      </c>
      <c r="S28" s="1209">
        <f t="shared" si="41"/>
        <v>46.283419000000009</v>
      </c>
      <c r="T28" s="1209">
        <f t="shared" si="41"/>
        <v>45.578489500000011</v>
      </c>
      <c r="U28" s="1209">
        <f t="shared" si="41"/>
        <v>45.454798000000011</v>
      </c>
      <c r="V28" s="1209">
        <f t="shared" si="41"/>
        <v>45.360580000000013</v>
      </c>
    </row>
    <row r="29" spans="1:23" x14ac:dyDescent="0.35">
      <c r="A29" s="759">
        <v>2021</v>
      </c>
      <c r="B29" s="33" t="s">
        <v>774</v>
      </c>
      <c r="C29" s="1205"/>
      <c r="D29" s="759">
        <f>($D$9+$D$10)*'ARP Timing'!B$16</f>
        <v>5.8765000000000009</v>
      </c>
      <c r="E29" s="759">
        <f>($D$9+$D$10)*'ARP Timing'!C$16</f>
        <v>5.8765000000000009</v>
      </c>
      <c r="F29" s="759">
        <f>($D$9+$D$10)*'ARP Timing'!D$16</f>
        <v>4.11355</v>
      </c>
      <c r="G29" s="759">
        <f>($D$9+$D$10)*'ARP Timing'!E$16</f>
        <v>4.11355</v>
      </c>
      <c r="H29" s="759">
        <f>($D$9+$D$10)*'ARP Timing'!F$16</f>
        <v>4.11355</v>
      </c>
      <c r="I29" s="759">
        <f>($D$9+$D$10)*'ARP Timing'!G$16</f>
        <v>4.11355</v>
      </c>
      <c r="J29" s="759">
        <f>($D$9+$D$10)*'ARP Timing'!H$16</f>
        <v>4.11355</v>
      </c>
      <c r="K29" s="759">
        <f>($D$9+$D$10)*'ARP Timing'!I$16</f>
        <v>4.11355</v>
      </c>
      <c r="L29" s="759">
        <f>($D$9+$D$10)*'ARP Timing'!J$16</f>
        <v>4.11355</v>
      </c>
      <c r="M29" s="759">
        <f>($D$9+$D$10)*'ARP Timing'!K$16</f>
        <v>4.11355</v>
      </c>
      <c r="N29" s="759">
        <f>($D$9+$D$10)*'ARP Timing'!L$16</f>
        <v>4.11355</v>
      </c>
      <c r="O29" s="759">
        <f>($D$9+$D$10)*'ARP Timing'!M$16</f>
        <v>4.11355</v>
      </c>
      <c r="P29" s="759">
        <f>($D$9+$D$10)*'ARP Timing'!N$16</f>
        <v>3.987625</v>
      </c>
      <c r="Q29" s="759">
        <f>($D$9+$D$10)*'ARP Timing'!O$16</f>
        <v>3.987625</v>
      </c>
      <c r="R29" s="759">
        <f>($D$9+$D$10)*'ARP Timing'!P$16</f>
        <v>3.987625</v>
      </c>
      <c r="S29" s="759">
        <f>($D$9+$D$10)*'ARP Timing'!Q$16</f>
        <v>3.987625</v>
      </c>
      <c r="T29" s="759">
        <f>($D$9+$D$10)*'ARP Timing'!R$16</f>
        <v>3.987625</v>
      </c>
      <c r="U29" s="759">
        <f>($D$9+$D$10)*'ARP Timing'!S$16</f>
        <v>3.987625</v>
      </c>
      <c r="V29" s="759">
        <f>($D$9+$D$10)*'ARP Timing'!T$16</f>
        <v>3.987625</v>
      </c>
    </row>
    <row r="30" spans="1:23" x14ac:dyDescent="0.35">
      <c r="B30" s="33" t="s">
        <v>330</v>
      </c>
      <c r="C30" s="1205"/>
      <c r="E30" s="759">
        <f>($E$9+$E$10)*'ARP Timing'!B$16</f>
        <v>5.8765000000000009</v>
      </c>
      <c r="F30" s="759">
        <f>($E$9+$E$10)*'ARP Timing'!C$16</f>
        <v>5.8765000000000009</v>
      </c>
      <c r="G30" s="759">
        <f>($E$9+$E$10)*'ARP Timing'!D$16</f>
        <v>4.11355</v>
      </c>
      <c r="H30" s="759">
        <f>($E$9+$E$10)*'ARP Timing'!E$16</f>
        <v>4.11355</v>
      </c>
      <c r="I30" s="759">
        <f>($E$9+$E$10)*'ARP Timing'!F$16</f>
        <v>4.11355</v>
      </c>
      <c r="J30" s="759">
        <f>($E$9+$E$10)*'ARP Timing'!G$16</f>
        <v>4.11355</v>
      </c>
      <c r="K30" s="759">
        <f>($E$9+$E$10)*'ARP Timing'!H$16</f>
        <v>4.11355</v>
      </c>
      <c r="L30" s="759">
        <f>($E$9+$E$10)*'ARP Timing'!I$16</f>
        <v>4.11355</v>
      </c>
      <c r="M30" s="759">
        <f>($E$9+$E$10)*'ARP Timing'!J$16</f>
        <v>4.11355</v>
      </c>
      <c r="N30" s="759">
        <f>($E$9+$E$10)*'ARP Timing'!K$16</f>
        <v>4.11355</v>
      </c>
      <c r="O30" s="759">
        <f>($E$9+$E$10)*'ARP Timing'!L$16</f>
        <v>4.11355</v>
      </c>
      <c r="P30" s="759">
        <f>($E$9+$E$10)*'ARP Timing'!M$16</f>
        <v>4.11355</v>
      </c>
      <c r="Q30" s="759">
        <f>($E$9+$E$10)*'ARP Timing'!N$16</f>
        <v>3.987625</v>
      </c>
      <c r="R30" s="759">
        <f>($E$9+$E$10)*'ARP Timing'!O$16</f>
        <v>3.987625</v>
      </c>
      <c r="S30" s="759">
        <f>($E$9+$E$10)*'ARP Timing'!P$16</f>
        <v>3.987625</v>
      </c>
      <c r="T30" s="759">
        <f>($E$9+$E$10)*'ARP Timing'!Q$16</f>
        <v>3.987625</v>
      </c>
      <c r="U30" s="759">
        <f>($E$9+$E$10)*'ARP Timing'!R$16</f>
        <v>3.987625</v>
      </c>
      <c r="V30" s="759">
        <f>($E$9+$E$10)*'ARP Timing'!S$16</f>
        <v>3.987625</v>
      </c>
    </row>
    <row r="31" spans="1:23" x14ac:dyDescent="0.35">
      <c r="B31" s="33" t="s">
        <v>775</v>
      </c>
      <c r="C31" s="1205"/>
      <c r="F31" s="759">
        <f>($F$9+$F$10)*'ARP Timing'!B$16</f>
        <v>5.7722700000000016</v>
      </c>
      <c r="G31" s="759">
        <f>($F$9+$F$10)*'ARP Timing'!C$16</f>
        <v>5.7722700000000016</v>
      </c>
      <c r="H31" s="759">
        <f>($F$9+$F$10)*'ARP Timing'!D$16</f>
        <v>4.0405890000000007</v>
      </c>
      <c r="I31" s="759">
        <f>($F$9+$F$10)*'ARP Timing'!E$16</f>
        <v>4.0405890000000007</v>
      </c>
      <c r="J31" s="759">
        <f>($F$9+$F$10)*'ARP Timing'!F$16</f>
        <v>4.0405890000000007</v>
      </c>
      <c r="K31" s="759">
        <f>($F$9+$F$10)*'ARP Timing'!G$16</f>
        <v>4.0405890000000007</v>
      </c>
      <c r="L31" s="759">
        <f>($F$9+$F$10)*'ARP Timing'!H$16</f>
        <v>4.0405890000000007</v>
      </c>
      <c r="M31" s="759">
        <f>($F$9+$F$10)*'ARP Timing'!I$16</f>
        <v>4.0405890000000007</v>
      </c>
      <c r="N31" s="759">
        <f>($F$9+$F$10)*'ARP Timing'!J$16</f>
        <v>4.0405890000000007</v>
      </c>
      <c r="O31" s="759">
        <f>($F$9+$F$10)*'ARP Timing'!K$16</f>
        <v>4.0405890000000007</v>
      </c>
      <c r="P31" s="759">
        <f>($F$9+$F$10)*'ARP Timing'!L$16</f>
        <v>4.0405890000000007</v>
      </c>
      <c r="Q31" s="759">
        <f>($F$9+$F$10)*'ARP Timing'!M$16</f>
        <v>4.0405890000000007</v>
      </c>
      <c r="R31" s="759">
        <f>($F$9+$F$10)*'ARP Timing'!N$16</f>
        <v>3.9168975000000006</v>
      </c>
      <c r="S31" s="759">
        <f>($F$9+$F$10)*'ARP Timing'!O$16</f>
        <v>3.9168975000000006</v>
      </c>
      <c r="T31" s="759">
        <f>($F$9+$F$10)*'ARP Timing'!P$16</f>
        <v>3.9168975000000006</v>
      </c>
      <c r="U31" s="759">
        <f>($F$9+$F$10)*'ARP Timing'!Q$16</f>
        <v>3.9168975000000006</v>
      </c>
      <c r="V31" s="759">
        <f>($F$9+$F$10)*'ARP Timing'!R$16</f>
        <v>3.9168975000000006</v>
      </c>
    </row>
    <row r="32" spans="1:23" x14ac:dyDescent="0.35">
      <c r="A32" s="759">
        <v>2022</v>
      </c>
      <c r="B32" s="33" t="s">
        <v>240</v>
      </c>
      <c r="C32" s="1205"/>
      <c r="G32" s="759">
        <f>($G$9+$G$10)*'ARP Timing'!B$16</f>
        <v>5.7722700000000016</v>
      </c>
      <c r="H32" s="759">
        <f>($G$9+$G$10)*'ARP Timing'!C$16</f>
        <v>5.7722700000000016</v>
      </c>
      <c r="I32" s="759">
        <f>($G$9+$G$10)*'ARP Timing'!D$16</f>
        <v>4.0405890000000007</v>
      </c>
      <c r="J32" s="759">
        <f>($G$9+$G$10)*'ARP Timing'!E$16</f>
        <v>4.0405890000000007</v>
      </c>
      <c r="K32" s="759">
        <f>($G$9+$G$10)*'ARP Timing'!F$16</f>
        <v>4.0405890000000007</v>
      </c>
      <c r="L32" s="759">
        <f>($G$9+$G$10)*'ARP Timing'!G$16</f>
        <v>4.0405890000000007</v>
      </c>
      <c r="M32" s="759">
        <f>($G$9+$G$10)*'ARP Timing'!H$16</f>
        <v>4.0405890000000007</v>
      </c>
      <c r="N32" s="759">
        <f>($G$9+$G$10)*'ARP Timing'!I$16</f>
        <v>4.0405890000000007</v>
      </c>
      <c r="O32" s="759">
        <f>($G$9+$G$10)*'ARP Timing'!J$16</f>
        <v>4.0405890000000007</v>
      </c>
      <c r="P32" s="759">
        <f>($G$9+$G$10)*'ARP Timing'!K$16</f>
        <v>4.0405890000000007</v>
      </c>
      <c r="Q32" s="759">
        <f>($G$9+$G$10)*'ARP Timing'!L$16</f>
        <v>4.0405890000000007</v>
      </c>
      <c r="R32" s="759">
        <f>($G$9+$G$10)*'ARP Timing'!M$16</f>
        <v>4.0405890000000007</v>
      </c>
      <c r="S32" s="759">
        <f>($G$9+$G$10)*'ARP Timing'!N$16</f>
        <v>3.9168975000000006</v>
      </c>
      <c r="T32" s="759">
        <f>($G$9+$G$10)*'ARP Timing'!O$16</f>
        <v>3.9168975000000006</v>
      </c>
      <c r="U32" s="759">
        <f>($G$9+$G$10)*'ARP Timing'!P$16</f>
        <v>3.9168975000000006</v>
      </c>
      <c r="V32" s="759">
        <f>($G$9+$G$10)*'ARP Timing'!Q$16</f>
        <v>3.9168975000000006</v>
      </c>
    </row>
    <row r="33" spans="1:23" x14ac:dyDescent="0.35">
      <c r="B33" s="33" t="s">
        <v>241</v>
      </c>
      <c r="C33" s="1205"/>
      <c r="H33" s="759">
        <f>($H$9+$H$10)*'ARP Timing'!B$16</f>
        <v>5.7722700000000016</v>
      </c>
      <c r="I33" s="759">
        <f>($H$9+$H$10)*'ARP Timing'!C$16</f>
        <v>5.7722700000000016</v>
      </c>
      <c r="J33" s="759">
        <f>($H$9+$H$10)*'ARP Timing'!D$16</f>
        <v>4.0405890000000007</v>
      </c>
      <c r="K33" s="759">
        <f>($H$9+$H$10)*'ARP Timing'!E$16</f>
        <v>4.0405890000000007</v>
      </c>
      <c r="L33" s="759">
        <f>($H$9+$H$10)*'ARP Timing'!F$16</f>
        <v>4.0405890000000007</v>
      </c>
      <c r="M33" s="759">
        <f>($H$9+$H$10)*'ARP Timing'!G$16</f>
        <v>4.0405890000000007</v>
      </c>
      <c r="N33" s="759">
        <f>($H$9+$H$10)*'ARP Timing'!H$16</f>
        <v>4.0405890000000007</v>
      </c>
      <c r="O33" s="759">
        <f>($H$9+$H$10)*'ARP Timing'!I$16</f>
        <v>4.0405890000000007</v>
      </c>
      <c r="P33" s="759">
        <f>($H$9+$H$10)*'ARP Timing'!J$16</f>
        <v>4.0405890000000007</v>
      </c>
      <c r="Q33" s="759">
        <f>($H$9+$H$10)*'ARP Timing'!K$16</f>
        <v>4.0405890000000007</v>
      </c>
      <c r="R33" s="759">
        <f>($H$9+$H$10)*'ARP Timing'!L$16</f>
        <v>4.0405890000000007</v>
      </c>
      <c r="S33" s="759">
        <f>($H$9+$H$10)*'ARP Timing'!M$16</f>
        <v>4.0405890000000007</v>
      </c>
      <c r="T33" s="759">
        <f>($H$9+$H$10)*'ARP Timing'!N$16</f>
        <v>3.9168975000000006</v>
      </c>
      <c r="U33" s="759">
        <f>($H$9+$H$10)*'ARP Timing'!O$16</f>
        <v>3.9168975000000006</v>
      </c>
      <c r="V33" s="759">
        <f>($H$9+$H$10)*'ARP Timing'!P$16</f>
        <v>3.9168975000000006</v>
      </c>
    </row>
    <row r="34" spans="1:23" x14ac:dyDescent="0.35">
      <c r="B34" s="33" t="s">
        <v>330</v>
      </c>
      <c r="C34" s="1205"/>
      <c r="H34" s="1205"/>
      <c r="I34" s="759">
        <f>($I$9+$I10)*'ARP Timing'!B$16</f>
        <v>5.7722700000000016</v>
      </c>
      <c r="J34" s="759">
        <f>($I$9+$I10)*'ARP Timing'!C$16</f>
        <v>5.7722700000000016</v>
      </c>
      <c r="K34" s="759">
        <f>($I$9+$I10)*'ARP Timing'!D$16</f>
        <v>4.0405890000000007</v>
      </c>
      <c r="L34" s="759">
        <f>($I$9+$I10)*'ARP Timing'!E$16</f>
        <v>4.0405890000000007</v>
      </c>
      <c r="M34" s="759">
        <f>($I$9+$I10)*'ARP Timing'!F$16</f>
        <v>4.0405890000000007</v>
      </c>
      <c r="N34" s="759">
        <f>($I$9+$I10)*'ARP Timing'!G$16</f>
        <v>4.0405890000000007</v>
      </c>
      <c r="O34" s="759">
        <f>($I$9+$I10)*'ARP Timing'!H$16</f>
        <v>4.0405890000000007</v>
      </c>
      <c r="P34" s="759">
        <f>($I$9+$I10)*'ARP Timing'!I$16</f>
        <v>4.0405890000000007</v>
      </c>
      <c r="Q34" s="759">
        <f>($I$9+$I10)*'ARP Timing'!J$16</f>
        <v>4.0405890000000007</v>
      </c>
      <c r="R34" s="759">
        <f>($I$9+$I10)*'ARP Timing'!K$16</f>
        <v>4.0405890000000007</v>
      </c>
      <c r="S34" s="759">
        <f>($I$9+$I10)*'ARP Timing'!L$16</f>
        <v>4.0405890000000007</v>
      </c>
      <c r="T34" s="759">
        <f>($I$9+$I10)*'ARP Timing'!M$16</f>
        <v>4.0405890000000007</v>
      </c>
      <c r="U34" s="759">
        <f>($I$9+$I10)*'ARP Timing'!N$16</f>
        <v>3.9168975000000006</v>
      </c>
      <c r="V34" s="759">
        <f>($I$9+$I10)*'ARP Timing'!O$16</f>
        <v>3.9168975000000006</v>
      </c>
    </row>
    <row r="35" spans="1:23" x14ac:dyDescent="0.35">
      <c r="B35" s="33" t="s">
        <v>775</v>
      </c>
      <c r="C35" s="1205"/>
      <c r="H35" s="1205"/>
      <c r="J35" s="759">
        <f>($J$9+$J$10)*'ARP Timing'!B$16</f>
        <v>4.3968400000000001</v>
      </c>
      <c r="K35" s="759">
        <f>($J$9+$J$10)*'ARP Timing'!C$16</f>
        <v>4.3968400000000001</v>
      </c>
      <c r="L35" s="759">
        <f>($J$9+$J$10)*'ARP Timing'!D$16</f>
        <v>3.077788</v>
      </c>
      <c r="M35" s="759">
        <f>($J$9+$J$10)*'ARP Timing'!E$16</f>
        <v>3.077788</v>
      </c>
      <c r="N35" s="759">
        <f>($J$9+$J$10)*'ARP Timing'!F$16</f>
        <v>3.077788</v>
      </c>
      <c r="O35" s="759">
        <f>($J$9+$J$10)*'ARP Timing'!G$16</f>
        <v>3.077788</v>
      </c>
      <c r="P35" s="759">
        <f>($J$9+$J$10)*'ARP Timing'!H$16</f>
        <v>3.077788</v>
      </c>
      <c r="Q35" s="759">
        <f>($J$9+$J$10)*'ARP Timing'!I$16</f>
        <v>3.077788</v>
      </c>
      <c r="R35" s="759">
        <f>($J$9+$J$10)*'ARP Timing'!J$16</f>
        <v>3.077788</v>
      </c>
      <c r="S35" s="759">
        <f>($J$9+$J$10)*'ARP Timing'!K$16</f>
        <v>3.077788</v>
      </c>
      <c r="T35" s="759">
        <f>($J$9+$J$10)*'ARP Timing'!L$16</f>
        <v>3.077788</v>
      </c>
      <c r="U35" s="759">
        <f>($J$9+$J$10)*'ARP Timing'!M$16</f>
        <v>3.077788</v>
      </c>
      <c r="V35" s="759">
        <f>($J$9+$J$10)*'ARP Timing'!N$16</f>
        <v>2.9835699999999998</v>
      </c>
    </row>
    <row r="36" spans="1:23" x14ac:dyDescent="0.35">
      <c r="A36" s="759">
        <v>2023</v>
      </c>
      <c r="B36" s="33" t="s">
        <v>240</v>
      </c>
      <c r="C36" s="1205"/>
      <c r="H36" s="1205"/>
      <c r="K36" s="759">
        <f>($K$9+$K$10)*'ARP Timing'!B$16</f>
        <v>4.3968400000000001</v>
      </c>
      <c r="L36" s="759">
        <f>($K$9+$K$10)*'ARP Timing'!C$16</f>
        <v>4.3968400000000001</v>
      </c>
      <c r="M36" s="759">
        <f>($K$9+$K$10)*'ARP Timing'!D$16</f>
        <v>3.077788</v>
      </c>
      <c r="N36" s="759">
        <f>($K$9+$K$10)*'ARP Timing'!E$16</f>
        <v>3.077788</v>
      </c>
      <c r="O36" s="759">
        <f>($K$9+$K$10)*'ARP Timing'!F$16</f>
        <v>3.077788</v>
      </c>
      <c r="P36" s="759">
        <f>($K$9+$K$10)*'ARP Timing'!G$16</f>
        <v>3.077788</v>
      </c>
      <c r="Q36" s="759">
        <f>($K$9+$K$10)*'ARP Timing'!H$16</f>
        <v>3.077788</v>
      </c>
      <c r="R36" s="759">
        <f>($K$9+$K$10)*'ARP Timing'!I$16</f>
        <v>3.077788</v>
      </c>
      <c r="S36" s="759">
        <f>($K$9+$K$10)*'ARP Timing'!J$16</f>
        <v>3.077788</v>
      </c>
      <c r="T36" s="759">
        <f>($K$9+$K$10)*'ARP Timing'!K$16</f>
        <v>3.077788</v>
      </c>
      <c r="U36" s="759">
        <f>($K$9+$K$10)*'ARP Timing'!L$16</f>
        <v>3.077788</v>
      </c>
      <c r="V36" s="759">
        <f>($K$9+$K$10)*'ARP Timing'!M$16</f>
        <v>3.077788</v>
      </c>
    </row>
    <row r="37" spans="1:23" x14ac:dyDescent="0.35">
      <c r="B37" s="33" t="s">
        <v>241</v>
      </c>
      <c r="C37" s="1205"/>
      <c r="H37" s="1205"/>
      <c r="L37" s="759">
        <f>($L$9+$L$10)*'ARP Timing'!B$16</f>
        <v>4.3968400000000001</v>
      </c>
      <c r="M37" s="759">
        <f>($L$9+$L$10)*'ARP Timing'!C$16</f>
        <v>4.3968400000000001</v>
      </c>
      <c r="N37" s="759">
        <f>($L$9+$L$10)*'ARP Timing'!D$16</f>
        <v>3.077788</v>
      </c>
      <c r="O37" s="759">
        <f>($L$9+$L$10)*'ARP Timing'!E$16</f>
        <v>3.077788</v>
      </c>
      <c r="P37" s="759">
        <f>($L$9+$L$10)*'ARP Timing'!F$16</f>
        <v>3.077788</v>
      </c>
      <c r="Q37" s="759">
        <f>($L$9+$L$10)*'ARP Timing'!G$16</f>
        <v>3.077788</v>
      </c>
      <c r="R37" s="759">
        <f>($L$9+$L$10)*'ARP Timing'!H$16</f>
        <v>3.077788</v>
      </c>
      <c r="S37" s="759">
        <f>($L$9+$L$10)*'ARP Timing'!I$16</f>
        <v>3.077788</v>
      </c>
      <c r="T37" s="759">
        <f>($L$9+$L$10)*'ARP Timing'!J$16</f>
        <v>3.077788</v>
      </c>
      <c r="U37" s="759">
        <f>($L$9+$L$10)*'ARP Timing'!K$16</f>
        <v>3.077788</v>
      </c>
      <c r="V37" s="759">
        <f>($L$9+$L$10)*'ARP Timing'!L$16</f>
        <v>3.077788</v>
      </c>
    </row>
    <row r="38" spans="1:23" x14ac:dyDescent="0.35">
      <c r="B38" s="33" t="s">
        <v>330</v>
      </c>
      <c r="C38" s="1205"/>
      <c r="H38" s="1205"/>
      <c r="M38" s="759">
        <f>($M$9+$M$10)*'ARP Timing'!B$16</f>
        <v>4.3968400000000001</v>
      </c>
      <c r="N38" s="759">
        <f>($M$9+$M$10)*'ARP Timing'!C$16</f>
        <v>4.3968400000000001</v>
      </c>
      <c r="O38" s="759">
        <f>($M$9+$M$10)*'ARP Timing'!D$16</f>
        <v>3.077788</v>
      </c>
      <c r="P38" s="759">
        <f>($M$9+$M$10)*'ARP Timing'!E$16</f>
        <v>3.077788</v>
      </c>
      <c r="Q38" s="759">
        <f>($M$9+$M$10)*'ARP Timing'!F$16</f>
        <v>3.077788</v>
      </c>
      <c r="R38" s="759">
        <f>($M$9+$M$10)*'ARP Timing'!G$16</f>
        <v>3.077788</v>
      </c>
      <c r="S38" s="759">
        <f>($M$9+$M$10)*'ARP Timing'!H$16</f>
        <v>3.077788</v>
      </c>
      <c r="T38" s="759">
        <f>($M$9+$M$10)*'ARP Timing'!I$16</f>
        <v>3.077788</v>
      </c>
      <c r="U38" s="759">
        <f>($M$9+$M$10)*'ARP Timing'!J$16</f>
        <v>3.077788</v>
      </c>
      <c r="V38" s="759">
        <f>($M$9+$M$10)*'ARP Timing'!K$16</f>
        <v>3.077788</v>
      </c>
    </row>
    <row r="39" spans="1:23" x14ac:dyDescent="0.35">
      <c r="B39" s="33" t="s">
        <v>775</v>
      </c>
      <c r="C39" s="1205"/>
      <c r="H39" s="1205"/>
      <c r="N39" s="759">
        <f>($N$9+$N$10)*'ARP Timing'!B$16</f>
        <v>2.9087800000000006</v>
      </c>
      <c r="O39" s="759">
        <f>($N$9+$N$10)*'ARP Timing'!C$16</f>
        <v>2.9087800000000006</v>
      </c>
      <c r="P39" s="759">
        <f>($N$9+$N$10)*'ARP Timing'!D$16</f>
        <v>2.036146</v>
      </c>
      <c r="Q39" s="759">
        <f>($N$9+$N$10)*'ARP Timing'!E$16</f>
        <v>2.036146</v>
      </c>
      <c r="R39" s="759">
        <f>($N$9+$N$10)*'ARP Timing'!F$16</f>
        <v>2.036146</v>
      </c>
      <c r="S39" s="759">
        <f>($N$9+$N$10)*'ARP Timing'!G$16</f>
        <v>2.036146</v>
      </c>
      <c r="T39" s="759">
        <f>($N$9+$N$10)*'ARP Timing'!H$16</f>
        <v>2.036146</v>
      </c>
      <c r="U39" s="759">
        <f>($N$9+$N$10)*'ARP Timing'!I$16</f>
        <v>2.036146</v>
      </c>
      <c r="V39" s="759">
        <f>($N$9+$N$10)*'ARP Timing'!J$16</f>
        <v>2.036146</v>
      </c>
    </row>
    <row r="40" spans="1:23" x14ac:dyDescent="0.35">
      <c r="A40" s="759">
        <v>2024</v>
      </c>
      <c r="B40" s="33" t="s">
        <v>240</v>
      </c>
      <c r="C40" s="1205"/>
      <c r="H40" s="1205"/>
      <c r="O40" s="759">
        <f>($O$9+$O$10)*'ARP Timing'!B$16</f>
        <v>2.9087800000000006</v>
      </c>
      <c r="P40" s="759">
        <f>($O$9+$O$10)*'ARP Timing'!C$16</f>
        <v>2.9087800000000006</v>
      </c>
      <c r="Q40" s="759">
        <f>($O$9+$O$10)*'ARP Timing'!D$16</f>
        <v>2.036146</v>
      </c>
      <c r="R40" s="759">
        <f>($O$9+$O$10)*'ARP Timing'!E$16</f>
        <v>2.036146</v>
      </c>
      <c r="S40" s="759">
        <f>($O$9+$O$10)*'ARP Timing'!F$16</f>
        <v>2.036146</v>
      </c>
      <c r="T40" s="759">
        <f>($O$9+$O$10)*'ARP Timing'!G$16</f>
        <v>2.036146</v>
      </c>
      <c r="U40" s="759">
        <f>($O$9+$O$10)*'ARP Timing'!H$16</f>
        <v>2.036146</v>
      </c>
      <c r="V40" s="759">
        <f>($O$9+$O$10)*'ARP Timing'!I$16</f>
        <v>2.036146</v>
      </c>
    </row>
    <row r="41" spans="1:23" x14ac:dyDescent="0.35">
      <c r="B41" s="33" t="s">
        <v>241</v>
      </c>
      <c r="C41" s="1205"/>
      <c r="H41" s="1205"/>
      <c r="P41" s="759">
        <f>($P$9+$P$10)*'ARP Timing'!B$16</f>
        <v>2.9087800000000006</v>
      </c>
      <c r="Q41" s="759">
        <f>($P$9+$P$10)*'ARP Timing'!C$16</f>
        <v>2.9087800000000006</v>
      </c>
      <c r="R41" s="759">
        <f>($P$9+$P$10)*'ARP Timing'!D$16</f>
        <v>2.036146</v>
      </c>
      <c r="S41" s="759">
        <f>($P$9+$P$10)*'ARP Timing'!E$16</f>
        <v>2.036146</v>
      </c>
      <c r="T41" s="759">
        <f>($P$9+$P$10)*'ARP Timing'!F$16</f>
        <v>2.036146</v>
      </c>
      <c r="U41" s="759">
        <f>($P$9+$P$10)*'ARP Timing'!G$16</f>
        <v>2.036146</v>
      </c>
      <c r="V41" s="759">
        <f>($P$9+$P$10)*'ARP Timing'!H$16</f>
        <v>2.036146</v>
      </c>
    </row>
    <row r="42" spans="1:23" x14ac:dyDescent="0.35">
      <c r="B42" s="33" t="s">
        <v>330</v>
      </c>
      <c r="C42" s="1205"/>
      <c r="H42" s="1205"/>
      <c r="Q42" s="759">
        <f>($Q$9+$Q$10)*'ARP Timing'!B$16</f>
        <v>2.9087800000000006</v>
      </c>
      <c r="R42" s="759">
        <f>($Q$9+$Q$10)*'ARP Timing'!C$16</f>
        <v>2.9087800000000006</v>
      </c>
      <c r="S42" s="759">
        <f>($Q$9+$Q$10)*'ARP Timing'!D$16</f>
        <v>2.036146</v>
      </c>
      <c r="T42" s="759">
        <f>($Q$9+$Q$10)*'ARP Timing'!E$16</f>
        <v>2.036146</v>
      </c>
      <c r="U42" s="759">
        <f>($Q$9+$Q$10)*'ARP Timing'!F$16</f>
        <v>2.036146</v>
      </c>
      <c r="V42" s="759">
        <f>($Q$9+$Q$10)*'ARP Timing'!G$16</f>
        <v>2.036146</v>
      </c>
    </row>
    <row r="43" spans="1:23" x14ac:dyDescent="0.35">
      <c r="B43" s="33" t="s">
        <v>775</v>
      </c>
      <c r="C43" s="1205"/>
      <c r="H43" s="1205"/>
      <c r="R43" s="759">
        <f>($R$9+$R$10)*'ARP Timing'!B$16</f>
        <v>1.9374600000000002</v>
      </c>
      <c r="S43" s="759">
        <f>($R$9+$R$10)*'ARP Timing'!C$16</f>
        <v>1.9374600000000002</v>
      </c>
      <c r="T43" s="759">
        <f>($R$9+$R$10)*'ARP Timing'!D$16</f>
        <v>1.356222</v>
      </c>
      <c r="U43" s="759">
        <f>($R$9+$R$10)*'ARP Timing'!E$16</f>
        <v>1.356222</v>
      </c>
      <c r="V43" s="759">
        <f>($R$9+$R$10)*'ARP Timing'!F$16</f>
        <v>1.356222</v>
      </c>
    </row>
    <row r="44" spans="1:23" x14ac:dyDescent="0.35">
      <c r="S44" s="759">
        <f>($S$9+$S$10)*'ARP Timing'!B$16</f>
        <v>1.9374600000000002</v>
      </c>
      <c r="T44" s="759">
        <f>($S$9+$S$10)*'ARP Timing'!C$16</f>
        <v>1.9374600000000002</v>
      </c>
      <c r="U44" s="759">
        <f>($S$9+$S$10)*'ARP Timing'!D$16</f>
        <v>1.356222</v>
      </c>
      <c r="V44" s="759">
        <f>($S$9+$S$10)*'ARP Timing'!E$16</f>
        <v>1.356222</v>
      </c>
    </row>
    <row r="46" spans="1:23" x14ac:dyDescent="0.35">
      <c r="B46" s="759" t="s">
        <v>776</v>
      </c>
      <c r="D46" s="629" t="s">
        <v>250</v>
      </c>
      <c r="E46" s="629" t="s">
        <v>180</v>
      </c>
      <c r="F46" s="629" t="s">
        <v>181</v>
      </c>
      <c r="G46" s="629" t="s">
        <v>182</v>
      </c>
      <c r="H46" s="629" t="s">
        <v>183</v>
      </c>
      <c r="I46" s="629" t="s">
        <v>184</v>
      </c>
      <c r="J46" s="629" t="s">
        <v>185</v>
      </c>
      <c r="K46" s="629" t="s">
        <v>186</v>
      </c>
      <c r="L46" s="629" t="s">
        <v>187</v>
      </c>
      <c r="M46" s="629" t="s">
        <v>188</v>
      </c>
      <c r="N46" s="629" t="s">
        <v>189</v>
      </c>
      <c r="O46" s="629" t="s">
        <v>190</v>
      </c>
      <c r="P46" s="629" t="s">
        <v>191</v>
      </c>
      <c r="Q46" s="629" t="s">
        <v>175</v>
      </c>
      <c r="R46" s="629" t="s">
        <v>176</v>
      </c>
      <c r="S46" s="629" t="s">
        <v>177</v>
      </c>
      <c r="T46" s="629" t="s">
        <v>764</v>
      </c>
      <c r="U46" s="629" t="s">
        <v>765</v>
      </c>
      <c r="V46" s="629" t="s">
        <v>766</v>
      </c>
    </row>
    <row r="47" spans="1:23" x14ac:dyDescent="0.35">
      <c r="B47" s="33"/>
      <c r="C47" s="1205" t="s">
        <v>311</v>
      </c>
      <c r="D47" s="1209">
        <f t="shared" ref="D47:U47" si="42">SUM(D48:D66)</f>
        <v>0</v>
      </c>
      <c r="E47" s="1209">
        <f t="shared" si="42"/>
        <v>0</v>
      </c>
      <c r="F47" s="1209">
        <f t="shared" si="42"/>
        <v>34.620851999999999</v>
      </c>
      <c r="G47" s="1209">
        <f t="shared" si="42"/>
        <v>50.996274799999995</v>
      </c>
      <c r="H47" s="1209">
        <f t="shared" si="42"/>
        <v>69.350031999999999</v>
      </c>
      <c r="I47" s="1209">
        <f t="shared" si="42"/>
        <v>79.295867999999999</v>
      </c>
      <c r="J47" s="1209">
        <f t="shared" si="42"/>
        <v>80.538927999999999</v>
      </c>
      <c r="K47" s="1209">
        <f t="shared" si="42"/>
        <v>80.122543199999996</v>
      </c>
      <c r="L47" s="1209">
        <f t="shared" si="42"/>
        <v>88.916719999999998</v>
      </c>
      <c r="M47" s="1209">
        <f t="shared" si="42"/>
        <v>92.213943999999998</v>
      </c>
      <c r="N47" s="1209">
        <f t="shared" si="42"/>
        <v>92.213943999999998</v>
      </c>
      <c r="O47" s="1209">
        <f t="shared" si="42"/>
        <v>94.213943999999998</v>
      </c>
      <c r="P47" s="1209">
        <f t="shared" si="42"/>
        <v>98.916719999999998</v>
      </c>
      <c r="Q47" s="1209">
        <f t="shared" si="42"/>
        <v>98.916719999999998</v>
      </c>
      <c r="R47" s="1209">
        <f t="shared" si="42"/>
        <v>99.081581199999988</v>
      </c>
      <c r="S47" s="1209">
        <f t="shared" si="42"/>
        <v>93.146578000000005</v>
      </c>
      <c r="T47" s="1209">
        <f t="shared" si="42"/>
        <v>86.552129999999991</v>
      </c>
      <c r="U47" s="1209">
        <f t="shared" si="42"/>
        <v>86.552129999999991</v>
      </c>
      <c r="V47" s="1209">
        <f>SUM(V48:V66)</f>
        <v>82.265738799999994</v>
      </c>
      <c r="W47" s="759">
        <f>SUM(G47:V47)/4</f>
        <v>343.32344900000004</v>
      </c>
    </row>
    <row r="48" spans="1:23" x14ac:dyDescent="0.35">
      <c r="A48" s="759">
        <v>2021</v>
      </c>
      <c r="B48" s="33" t="s">
        <v>774</v>
      </c>
      <c r="C48" s="1205"/>
      <c r="D48" s="759">
        <f>($D$8)*'ARP Timing'!B17</f>
        <v>0</v>
      </c>
      <c r="E48" s="759">
        <f>($D$8)*'ARP Timing'!C17</f>
        <v>0</v>
      </c>
      <c r="F48" s="759">
        <f>($D$8)*'ARP Timing'!D17</f>
        <v>34.620851999999999</v>
      </c>
      <c r="G48" s="759">
        <f>($D$8)*'ARP Timing'!E17</f>
        <v>45.996274799999995</v>
      </c>
      <c r="H48" s="759">
        <f>($D$8)*'ARP Timing'!F17</f>
        <v>59.350031999999992</v>
      </c>
      <c r="I48" s="759">
        <f>($D$8)*'ARP Timing'!G17</f>
        <v>64.295867999999999</v>
      </c>
      <c r="J48" s="759">
        <f>($D$8)*'ARP Timing'!H17</f>
        <v>49.458359999999999</v>
      </c>
      <c r="K48" s="759">
        <f>($D$8)*'ARP Timing'!I17</f>
        <v>49.458359999999999</v>
      </c>
      <c r="L48" s="759">
        <f>($D$8)*'ARP Timing'!J17</f>
        <v>59.350031999999992</v>
      </c>
      <c r="M48" s="759">
        <f>($D$8)*'ARP Timing'!K17</f>
        <v>59.350031999999992</v>
      </c>
      <c r="N48" s="759">
        <f>($D$8)*'ARP Timing'!L17</f>
        <v>69.241703999999999</v>
      </c>
      <c r="O48" s="759">
        <f>($D$8)*'ARP Timing'!M17</f>
        <v>69.241703999999999</v>
      </c>
      <c r="P48" s="759">
        <f>($D$8)*'ARP Timing'!N17</f>
        <v>59.350031999999992</v>
      </c>
      <c r="Q48" s="759">
        <f>($D$8)*'ARP Timing'!O17</f>
        <v>59.350031999999992</v>
      </c>
      <c r="R48" s="759">
        <f>($D$8)*'ARP Timing'!P17</f>
        <v>52.920445199999989</v>
      </c>
      <c r="S48" s="759">
        <f>($D$8)*'ARP Timing'!Q17</f>
        <v>46.985441999999992</v>
      </c>
      <c r="T48" s="759">
        <f>($D$8)*'ARP Timing'!R17</f>
        <v>46.985441999999992</v>
      </c>
      <c r="U48" s="759">
        <f>($D$8)*'ARP Timing'!S17</f>
        <v>46.985441999999992</v>
      </c>
      <c r="V48" s="759">
        <f>($D$8)*'ARP Timing'!T17</f>
        <v>46.985441999999992</v>
      </c>
    </row>
    <row r="49" spans="1:22" x14ac:dyDescent="0.35">
      <c r="B49" s="33" t="s">
        <v>330</v>
      </c>
      <c r="C49" s="1205"/>
      <c r="E49" s="759">
        <f>($E$8)*'ARP Timing'!B$17</f>
        <v>0</v>
      </c>
      <c r="F49" s="759">
        <f>($E$8)*'ARP Timing'!C$16</f>
        <v>0</v>
      </c>
      <c r="G49" s="759">
        <f>($E$8)*'ARP Timing'!D$16</f>
        <v>0</v>
      </c>
      <c r="H49" s="759">
        <f>($E$8)*'ARP Timing'!E$16</f>
        <v>0</v>
      </c>
      <c r="I49" s="759">
        <f>($E$8)*'ARP Timing'!F$16</f>
        <v>0</v>
      </c>
      <c r="J49" s="759">
        <f>($E$8)*'ARP Timing'!G$16</f>
        <v>0</v>
      </c>
      <c r="K49" s="759">
        <f>($E$8)*'ARP Timing'!H$16</f>
        <v>0</v>
      </c>
      <c r="L49" s="759">
        <f>($E$8)*'ARP Timing'!I$16</f>
        <v>0</v>
      </c>
      <c r="M49" s="759">
        <f>($E$8)*'ARP Timing'!J$16</f>
        <v>0</v>
      </c>
      <c r="N49" s="759">
        <f>($E$8)*'ARP Timing'!K$16</f>
        <v>0</v>
      </c>
      <c r="O49" s="759">
        <f>($E$8)*'ARP Timing'!L$16</f>
        <v>0</v>
      </c>
      <c r="P49" s="759">
        <f>($E$8)*'ARP Timing'!M$16</f>
        <v>0</v>
      </c>
      <c r="Q49" s="759">
        <f>($E$8)*'ARP Timing'!N$16</f>
        <v>0</v>
      </c>
      <c r="R49" s="759">
        <f>($E$8)*'ARP Timing'!O$16</f>
        <v>0</v>
      </c>
      <c r="S49" s="759">
        <f>($E$8)*'ARP Timing'!P$16</f>
        <v>0</v>
      </c>
      <c r="T49" s="759">
        <f>($E$8)*'ARP Timing'!Q$16</f>
        <v>0</v>
      </c>
      <c r="U49" s="759">
        <f>($E$8)*'ARP Timing'!R$16</f>
        <v>0</v>
      </c>
      <c r="V49" s="759">
        <f>($E$8)*'ARP Timing'!S$16</f>
        <v>0</v>
      </c>
    </row>
    <row r="50" spans="1:22" x14ac:dyDescent="0.35">
      <c r="B50" s="33" t="s">
        <v>775</v>
      </c>
      <c r="C50" s="1205"/>
      <c r="F50" s="759">
        <f>($F$8)*'ARP Timing'!C$17</f>
        <v>0</v>
      </c>
      <c r="G50" s="759">
        <f>($F$8)*'ARP Timing'!D$17</f>
        <v>0</v>
      </c>
      <c r="H50" s="759">
        <f>($F$8)*'ARP Timing'!E$17</f>
        <v>0</v>
      </c>
      <c r="I50" s="759">
        <f>($F$8)*'ARP Timing'!F$17</f>
        <v>0</v>
      </c>
      <c r="J50" s="759">
        <f>($F$8)*'ARP Timing'!G$17</f>
        <v>0</v>
      </c>
      <c r="K50" s="759">
        <f>($F$8)*'ARP Timing'!H$17</f>
        <v>0</v>
      </c>
      <c r="L50" s="759">
        <f>($F$8)*'ARP Timing'!I$17</f>
        <v>0</v>
      </c>
      <c r="M50" s="759">
        <f>($F$8)*'ARP Timing'!J$17</f>
        <v>0</v>
      </c>
      <c r="N50" s="759">
        <f>($F$8)*'ARP Timing'!K$17</f>
        <v>0</v>
      </c>
      <c r="O50" s="759">
        <f>($F$8)*'ARP Timing'!L$17</f>
        <v>0</v>
      </c>
      <c r="P50" s="759">
        <f>($F$8)*'ARP Timing'!M$17</f>
        <v>0</v>
      </c>
      <c r="Q50" s="759">
        <f>($F$8)*'ARP Timing'!N$17</f>
        <v>0</v>
      </c>
      <c r="R50" s="759">
        <f>($F$8)*'ARP Timing'!O$17</f>
        <v>0</v>
      </c>
      <c r="S50" s="759">
        <f>($F$8)*'ARP Timing'!P$17</f>
        <v>0</v>
      </c>
      <c r="T50" s="759">
        <f>($F$8)*'ARP Timing'!Q$17</f>
        <v>0</v>
      </c>
      <c r="U50" s="759">
        <f>($F$8)*'ARP Timing'!R$17</f>
        <v>0</v>
      </c>
      <c r="V50" s="759">
        <f>($F$8)*'ARP Timing'!S$17</f>
        <v>0</v>
      </c>
    </row>
    <row r="51" spans="1:22" x14ac:dyDescent="0.35">
      <c r="A51" s="759">
        <v>2022</v>
      </c>
      <c r="B51" s="33" t="s">
        <v>240</v>
      </c>
      <c r="C51" s="1205"/>
      <c r="G51" s="759">
        <f>($G$8)*'ARP Timing'!D$17</f>
        <v>0</v>
      </c>
      <c r="H51" s="759">
        <f>($G$8)*'ARP Timing'!E$17</f>
        <v>0</v>
      </c>
      <c r="I51" s="759">
        <f>($G$8)*'ARP Timing'!F$17</f>
        <v>0</v>
      </c>
      <c r="J51" s="759">
        <f>($G$8)*'ARP Timing'!G$17</f>
        <v>0</v>
      </c>
      <c r="K51" s="759">
        <f>($G$8)*'ARP Timing'!H$17</f>
        <v>0</v>
      </c>
      <c r="L51" s="759">
        <f>($G$8)*'ARP Timing'!I$17</f>
        <v>0</v>
      </c>
      <c r="M51" s="759">
        <f>($G$8)*'ARP Timing'!J$17</f>
        <v>0</v>
      </c>
      <c r="N51" s="759">
        <f>($G$8)*'ARP Timing'!K$17</f>
        <v>0</v>
      </c>
      <c r="O51" s="759">
        <f>($G$8)*'ARP Timing'!L$17</f>
        <v>0</v>
      </c>
      <c r="P51" s="759">
        <f>($G$8)*'ARP Timing'!M$17</f>
        <v>0</v>
      </c>
      <c r="Q51" s="759">
        <f>($G$8)*'ARP Timing'!N$17</f>
        <v>0</v>
      </c>
      <c r="R51" s="759">
        <f>($G$8)*'ARP Timing'!O$17</f>
        <v>0</v>
      </c>
      <c r="S51" s="759">
        <f>($G$8)*'ARP Timing'!P$17</f>
        <v>0</v>
      </c>
      <c r="T51" s="759">
        <f>($G$8)*'ARP Timing'!Q$17</f>
        <v>0</v>
      </c>
      <c r="U51" s="759">
        <f>($G$8)*'ARP Timing'!R$17</f>
        <v>0</v>
      </c>
      <c r="V51" s="759">
        <f>($G$8)*'ARP Timing'!S$17</f>
        <v>0</v>
      </c>
    </row>
    <row r="52" spans="1:22" x14ac:dyDescent="0.35">
      <c r="B52" s="33" t="s">
        <v>241</v>
      </c>
      <c r="C52" s="1205"/>
      <c r="H52" s="759">
        <f>($H$8)*'ARP Timing'!B$17</f>
        <v>0</v>
      </c>
      <c r="I52" s="759">
        <f>($H$8)*'ARP Timing'!C$17</f>
        <v>0</v>
      </c>
      <c r="J52" s="759">
        <f>($H$8)*'ARP Timing'!D$17</f>
        <v>23.080568000000003</v>
      </c>
      <c r="K52" s="759">
        <f>($H$8)*'ARP Timing'!E$17</f>
        <v>30.6641832</v>
      </c>
      <c r="L52" s="759">
        <f>($H$8)*'ARP Timing'!F$17</f>
        <v>39.566687999999999</v>
      </c>
      <c r="M52" s="759">
        <f>($H$8)*'ARP Timing'!G$17</f>
        <v>42.863911999999999</v>
      </c>
      <c r="N52" s="759">
        <f>($H$8)*'ARP Timing'!H$17</f>
        <v>32.972239999999999</v>
      </c>
      <c r="O52" s="759">
        <f>($H$8)*'ARP Timing'!I$17</f>
        <v>32.972239999999999</v>
      </c>
      <c r="P52" s="759">
        <f>($H$8)*'ARP Timing'!J$17</f>
        <v>39.566687999999999</v>
      </c>
      <c r="Q52" s="759">
        <f>($H$8)*'ARP Timing'!K$17</f>
        <v>39.566687999999999</v>
      </c>
      <c r="R52" s="759">
        <f>($H$8)*'ARP Timing'!L$17</f>
        <v>46.161136000000006</v>
      </c>
      <c r="S52" s="759">
        <f>($H$8)*'ARP Timing'!M$17</f>
        <v>46.161136000000006</v>
      </c>
      <c r="T52" s="759">
        <f>($H$8)*'ARP Timing'!N$17</f>
        <v>39.566687999999999</v>
      </c>
      <c r="U52" s="759">
        <f>($H$8)*'ARP Timing'!O$17</f>
        <v>39.566687999999999</v>
      </c>
      <c r="V52" s="759">
        <f>($H$8)*'ARP Timing'!P$17</f>
        <v>35.280296800000002</v>
      </c>
    </row>
    <row r="53" spans="1:22" x14ac:dyDescent="0.35">
      <c r="B53" s="33" t="s">
        <v>330</v>
      </c>
      <c r="C53" s="1205"/>
      <c r="H53" s="1205"/>
      <c r="I53" s="759">
        <f>($I$8)*'ARP Timing'!B$17</f>
        <v>0</v>
      </c>
      <c r="J53" s="759">
        <f>($I$8)*'ARP Timing'!C$17</f>
        <v>0</v>
      </c>
      <c r="K53" s="759">
        <f>($I$8)*'ARP Timing'!D$17</f>
        <v>0</v>
      </c>
      <c r="L53" s="759">
        <f>($I$8)*'ARP Timing'!E$17</f>
        <v>0</v>
      </c>
      <c r="M53" s="759">
        <f>($I$8)*'ARP Timing'!F$17</f>
        <v>0</v>
      </c>
      <c r="N53" s="759">
        <f>($I$8)*'ARP Timing'!G$17</f>
        <v>0</v>
      </c>
      <c r="O53" s="759">
        <f>($I$8)*'ARP Timing'!H$17</f>
        <v>0</v>
      </c>
      <c r="P53" s="759">
        <f>($I$8)*'ARP Timing'!I$17</f>
        <v>0</v>
      </c>
      <c r="Q53" s="759">
        <f>($I$8)*'ARP Timing'!J$17</f>
        <v>0</v>
      </c>
      <c r="R53" s="759">
        <f>($I$8)*'ARP Timing'!K$17</f>
        <v>0</v>
      </c>
      <c r="S53" s="759">
        <f>($I$8)*'ARP Timing'!L$17</f>
        <v>0</v>
      </c>
      <c r="T53" s="759">
        <f>($I$8)*'ARP Timing'!M$17</f>
        <v>0</v>
      </c>
      <c r="U53" s="759">
        <f>($I$8)*'ARP Timing'!N$17</f>
        <v>0</v>
      </c>
      <c r="V53" s="759">
        <f>($I$8)*'ARP Timing'!O$17</f>
        <v>0</v>
      </c>
    </row>
    <row r="54" spans="1:22" x14ac:dyDescent="0.35">
      <c r="B54" s="33" t="s">
        <v>775</v>
      </c>
      <c r="C54" s="1205"/>
      <c r="H54" s="1205"/>
    </row>
    <row r="55" spans="1:22" x14ac:dyDescent="0.35">
      <c r="A55" s="759">
        <v>2023</v>
      </c>
      <c r="B55" s="33" t="s">
        <v>240</v>
      </c>
      <c r="C55" s="1205"/>
      <c r="H55" s="1205"/>
    </row>
    <row r="56" spans="1:22" x14ac:dyDescent="0.35">
      <c r="B56" s="33" t="s">
        <v>241</v>
      </c>
      <c r="C56" s="1205"/>
      <c r="H56" s="1205"/>
    </row>
    <row r="57" spans="1:22" x14ac:dyDescent="0.35">
      <c r="B57" s="33" t="s">
        <v>330</v>
      </c>
      <c r="C57" s="1205"/>
      <c r="H57" s="1205"/>
    </row>
    <row r="58" spans="1:22" x14ac:dyDescent="0.35">
      <c r="B58" s="33" t="s">
        <v>775</v>
      </c>
      <c r="C58" s="1205"/>
      <c r="H58" s="1205"/>
    </row>
    <row r="59" spans="1:22" x14ac:dyDescent="0.35">
      <c r="A59" s="759">
        <v>2024</v>
      </c>
      <c r="B59" s="33" t="s">
        <v>240</v>
      </c>
      <c r="C59" s="1205"/>
      <c r="H59" s="1205"/>
    </row>
    <row r="60" spans="1:22" x14ac:dyDescent="0.35">
      <c r="B60" s="33" t="s">
        <v>241</v>
      </c>
      <c r="C60" s="1205"/>
      <c r="H60" s="1205"/>
    </row>
    <row r="61" spans="1:22" x14ac:dyDescent="0.35">
      <c r="B61" s="33" t="s">
        <v>330</v>
      </c>
      <c r="C61" s="1205"/>
      <c r="H61" s="1205"/>
    </row>
    <row r="62" spans="1:22" x14ac:dyDescent="0.35">
      <c r="B62" s="33" t="s">
        <v>775</v>
      </c>
      <c r="C62" s="1205"/>
      <c r="H62" s="1205"/>
    </row>
    <row r="63" spans="1:22" x14ac:dyDescent="0.35">
      <c r="A63" t="s">
        <v>891</v>
      </c>
      <c r="B63" s="33"/>
      <c r="C63" s="1205"/>
      <c r="G63">
        <v>5</v>
      </c>
      <c r="H63" s="1205">
        <v>10</v>
      </c>
      <c r="I63">
        <v>15</v>
      </c>
      <c r="J63">
        <v>8</v>
      </c>
      <c r="K63">
        <v>0</v>
      </c>
      <c r="L63">
        <v>-10</v>
      </c>
      <c r="M63">
        <v>-10</v>
      </c>
      <c r="N63">
        <v>-10</v>
      </c>
      <c r="O63">
        <v>-8</v>
      </c>
    </row>
    <row r="64" spans="1:22" x14ac:dyDescent="0.35">
      <c r="B64" s="33"/>
      <c r="C64" s="1205"/>
      <c r="H64" s="1205"/>
    </row>
    <row r="65" spans="2:24" x14ac:dyDescent="0.35">
      <c r="B65" s="33"/>
      <c r="C65" s="1205"/>
      <c r="H65" s="1205"/>
    </row>
    <row r="66" spans="2:24" x14ac:dyDescent="0.35">
      <c r="B66" s="33"/>
      <c r="C66" s="1205"/>
      <c r="H66" s="1205"/>
    </row>
    <row r="67" spans="2:24" x14ac:dyDescent="0.35">
      <c r="B67" s="33"/>
      <c r="C67" s="1205"/>
      <c r="H67" s="1205"/>
    </row>
    <row r="68" spans="2:24" x14ac:dyDescent="0.35">
      <c r="B68" s="33"/>
      <c r="C68" s="1205"/>
      <c r="H68" s="1205"/>
    </row>
    <row r="69" spans="2:24" x14ac:dyDescent="0.35">
      <c r="B69" s="33"/>
      <c r="C69" s="1205"/>
      <c r="H69" s="1205"/>
    </row>
    <row r="70" spans="2:24" x14ac:dyDescent="0.35">
      <c r="B70" s="33"/>
      <c r="C70" s="1205"/>
      <c r="H70" s="1205"/>
    </row>
    <row r="71" spans="2:24" x14ac:dyDescent="0.35">
      <c r="B71" s="33"/>
      <c r="C71" s="1205"/>
      <c r="H71" s="1205"/>
    </row>
    <row r="72" spans="2:24" x14ac:dyDescent="0.35">
      <c r="B72" s="33"/>
      <c r="C72" s="1205"/>
      <c r="H72" s="1205"/>
    </row>
    <row r="73" spans="2:24" x14ac:dyDescent="0.35">
      <c r="B73" s="33" t="s">
        <v>777</v>
      </c>
      <c r="C73" s="1206">
        <v>2021</v>
      </c>
      <c r="D73" s="1206">
        <v>2022</v>
      </c>
      <c r="E73" s="1206">
        <v>2023</v>
      </c>
      <c r="F73" s="1206">
        <v>2024</v>
      </c>
      <c r="G73" s="1206">
        <v>2025</v>
      </c>
      <c r="H73" s="1205"/>
    </row>
    <row r="74" spans="2:24" x14ac:dyDescent="0.35">
      <c r="B74" s="33" t="s">
        <v>674</v>
      </c>
      <c r="C74" s="1210">
        <f t="shared" ref="C74:C85" si="43">SUM(C4:E4)/4</f>
        <v>0.77600000000001046</v>
      </c>
      <c r="D74" s="1210">
        <f t="shared" ref="D74:D85" si="44">SUM(F4:I4)/4</f>
        <v>19.719000000000005</v>
      </c>
      <c r="E74" s="1210">
        <f t="shared" ref="E74:E85" si="45">SUM(J4:M4)/4</f>
        <v>1.4159999999999999</v>
      </c>
      <c r="F74" s="1210">
        <f t="shared" ref="F74:F85" si="46">SUM(N4:Q4)/4</f>
        <v>1.4790000000000001</v>
      </c>
      <c r="G74" s="1210">
        <f t="shared" ref="G74:G85" si="47">SUM(R4:U4)/4</f>
        <v>1.63</v>
      </c>
    </row>
    <row r="75" spans="2:24" x14ac:dyDescent="0.35">
      <c r="B75" s="33" t="s">
        <v>675</v>
      </c>
      <c r="C75" s="1210">
        <f t="shared" si="43"/>
        <v>19.722000000000016</v>
      </c>
      <c r="D75" s="1210">
        <f t="shared" si="44"/>
        <v>52.756999999999998</v>
      </c>
      <c r="E75" s="1210">
        <f t="shared" si="45"/>
        <v>12</v>
      </c>
      <c r="F75" s="1210">
        <f t="shared" si="46"/>
        <v>4.2219999999999995</v>
      </c>
      <c r="G75" s="1210">
        <f t="shared" si="47"/>
        <v>2.3719999999999999</v>
      </c>
      <c r="H75" s="1205"/>
    </row>
    <row r="76" spans="2:24" x14ac:dyDescent="0.35">
      <c r="B76" s="33" t="s">
        <v>52</v>
      </c>
      <c r="C76" s="1210">
        <f t="shared" si="43"/>
        <v>81.643000000000001</v>
      </c>
      <c r="D76" s="1210">
        <f t="shared" si="44"/>
        <v>110.24799999999999</v>
      </c>
      <c r="E76" s="1210">
        <f t="shared" si="45"/>
        <v>12.726000000000001</v>
      </c>
      <c r="F76" s="1210">
        <f t="shared" si="46"/>
        <v>1.365</v>
      </c>
      <c r="G76" s="1210">
        <f t="shared" si="47"/>
        <v>-0.90100000000000025</v>
      </c>
      <c r="H76" s="1205"/>
      <c r="O76" s="33"/>
      <c r="P76" s="33"/>
      <c r="Q76" s="33"/>
      <c r="R76" s="33"/>
      <c r="S76" s="1211"/>
      <c r="T76" s="1211"/>
      <c r="U76" s="1211"/>
      <c r="V76" s="14"/>
      <c r="W76" s="33"/>
      <c r="X76" s="33"/>
    </row>
    <row r="77" spans="2:24" x14ac:dyDescent="0.35">
      <c r="B77" s="33" t="s">
        <v>131</v>
      </c>
      <c r="C77" s="1210">
        <f t="shared" si="43"/>
        <v>7.798</v>
      </c>
      <c r="D77" s="1210">
        <f t="shared" si="44"/>
        <v>7.9489999999999998</v>
      </c>
      <c r="E77" s="1210">
        <f t="shared" si="45"/>
        <v>4.7519999999999998</v>
      </c>
      <c r="F77" s="1210">
        <f t="shared" si="46"/>
        <v>4.637999999999999</v>
      </c>
      <c r="G77" s="1210">
        <f t="shared" si="47"/>
        <v>1.8800000000000001</v>
      </c>
      <c r="H77" s="1205"/>
    </row>
    <row r="78" spans="2:24" x14ac:dyDescent="0.35">
      <c r="B78" s="1208" t="s">
        <v>347</v>
      </c>
      <c r="C78" s="1210">
        <f t="shared" si="43"/>
        <v>247.29179999999997</v>
      </c>
      <c r="D78" s="1210">
        <f t="shared" si="44"/>
        <v>164.8612</v>
      </c>
      <c r="E78" s="1210">
        <f t="shared" si="45"/>
        <v>0</v>
      </c>
      <c r="F78" s="1210">
        <f t="shared" si="46"/>
        <v>0</v>
      </c>
      <c r="G78" s="1210">
        <f t="shared" si="47"/>
        <v>0</v>
      </c>
      <c r="H78" s="1205"/>
      <c r="R78" s="1177"/>
      <c r="S78" s="1177"/>
    </row>
    <row r="79" spans="2:24" x14ac:dyDescent="0.35">
      <c r="B79" s="1208" t="s">
        <v>150</v>
      </c>
      <c r="C79" s="1210">
        <f t="shared" si="43"/>
        <v>12.347</v>
      </c>
      <c r="D79" s="1210">
        <f t="shared" si="44"/>
        <v>46.79</v>
      </c>
      <c r="E79" s="1210">
        <f t="shared" si="45"/>
        <v>38.595999999999997</v>
      </c>
      <c r="F79" s="1210">
        <f t="shared" si="46"/>
        <v>31.911000000000001</v>
      </c>
      <c r="G79" s="1210">
        <f t="shared" si="47"/>
        <v>23.099</v>
      </c>
      <c r="H79" s="1205"/>
      <c r="R79" s="1177"/>
      <c r="S79" s="1177"/>
    </row>
    <row r="80" spans="2:24" x14ac:dyDescent="0.35">
      <c r="B80" s="1208" t="s">
        <v>363</v>
      </c>
      <c r="C80" s="1210">
        <f t="shared" si="43"/>
        <v>29.628</v>
      </c>
      <c r="D80" s="1210">
        <f t="shared" si="44"/>
        <v>35.671000000000006</v>
      </c>
      <c r="E80" s="1210">
        <f t="shared" si="45"/>
        <v>24.216000000000001</v>
      </c>
      <c r="F80" s="1210">
        <f t="shared" si="46"/>
        <v>9.6430000000000007</v>
      </c>
      <c r="G80" s="1210">
        <f t="shared" si="47"/>
        <v>4.5789999999999997</v>
      </c>
      <c r="H80" s="1205"/>
      <c r="R80" s="1177"/>
      <c r="S80" s="1177"/>
    </row>
    <row r="81" spans="2:19" x14ac:dyDescent="0.35">
      <c r="B81" s="14" t="s">
        <v>159</v>
      </c>
      <c r="C81" s="1210">
        <f t="shared" si="43"/>
        <v>25.75</v>
      </c>
      <c r="D81" s="1210">
        <f t="shared" si="44"/>
        <v>0</v>
      </c>
      <c r="E81" s="1210">
        <f t="shared" si="45"/>
        <v>0</v>
      </c>
      <c r="F81" s="1210">
        <f t="shared" si="46"/>
        <v>0</v>
      </c>
      <c r="G81" s="1210">
        <f t="shared" si="47"/>
        <v>0</v>
      </c>
      <c r="H81" s="1205"/>
      <c r="R81" s="1177"/>
      <c r="S81" s="1177"/>
    </row>
    <row r="82" spans="2:19" x14ac:dyDescent="0.35">
      <c r="B82" s="33" t="s">
        <v>109</v>
      </c>
      <c r="C82" s="1210">
        <f t="shared" si="43"/>
        <v>31.939</v>
      </c>
      <c r="D82" s="1210">
        <f t="shared" si="44"/>
        <v>56.413000000000004</v>
      </c>
      <c r="E82" s="1210">
        <f t="shared" si="45"/>
        <v>15.652999999999999</v>
      </c>
      <c r="F82" s="1210">
        <f t="shared" si="46"/>
        <v>3.9320000000000004</v>
      </c>
      <c r="G82" s="1210">
        <f t="shared" si="47"/>
        <v>-0.74299999999999988</v>
      </c>
      <c r="R82" s="1177"/>
      <c r="S82" s="1177"/>
    </row>
    <row r="83" spans="2:19" x14ac:dyDescent="0.35">
      <c r="B83" s="759" t="s">
        <v>768</v>
      </c>
      <c r="C83" s="1210">
        <f t="shared" si="43"/>
        <v>1.02</v>
      </c>
      <c r="D83" s="1210">
        <f t="shared" si="44"/>
        <v>1.5299999999999998</v>
      </c>
      <c r="E83" s="1210">
        <f t="shared" si="45"/>
        <v>0</v>
      </c>
      <c r="F83" s="1210">
        <f t="shared" si="46"/>
        <v>0</v>
      </c>
      <c r="G83" s="1210">
        <f t="shared" si="47"/>
        <v>0</v>
      </c>
      <c r="R83" s="1177"/>
      <c r="S83" s="1177"/>
    </row>
    <row r="84" spans="2:19" x14ac:dyDescent="0.35">
      <c r="B84" s="759" t="s">
        <v>769</v>
      </c>
      <c r="C84" s="1210">
        <f t="shared" si="43"/>
        <v>0.67999999999999994</v>
      </c>
      <c r="D84" s="1210">
        <f t="shared" si="44"/>
        <v>1.02</v>
      </c>
      <c r="E84" s="1210">
        <f t="shared" si="45"/>
        <v>0</v>
      </c>
      <c r="F84" s="1210">
        <f t="shared" si="46"/>
        <v>0</v>
      </c>
      <c r="G84" s="1210">
        <f t="shared" si="47"/>
        <v>0</v>
      </c>
      <c r="R84" s="1177"/>
      <c r="S84" s="1177"/>
    </row>
    <row r="85" spans="2:19" x14ac:dyDescent="0.35">
      <c r="B85" s="759" t="s">
        <v>470</v>
      </c>
      <c r="C85" s="1210">
        <f t="shared" si="43"/>
        <v>1.6999999999999997</v>
      </c>
      <c r="D85" s="1210">
        <f t="shared" si="44"/>
        <v>2.5499999999999998</v>
      </c>
      <c r="E85" s="1210">
        <f t="shared" si="45"/>
        <v>0</v>
      </c>
      <c r="F85" s="1210">
        <f t="shared" si="46"/>
        <v>0</v>
      </c>
      <c r="G85" s="1210">
        <f t="shared" si="47"/>
        <v>0</v>
      </c>
      <c r="R85" s="1177"/>
      <c r="S85" s="1177"/>
    </row>
    <row r="86" spans="2:19" x14ac:dyDescent="0.35">
      <c r="C86" s="1206">
        <v>2021</v>
      </c>
      <c r="D86" s="1206">
        <v>2022</v>
      </c>
      <c r="E86" s="1206">
        <v>2023</v>
      </c>
      <c r="F86" s="1206">
        <v>2024</v>
      </c>
      <c r="G86" s="1206">
        <v>2025</v>
      </c>
      <c r="R86" s="1177"/>
      <c r="S86" s="1177"/>
    </row>
    <row r="87" spans="2:19" x14ac:dyDescent="0.35">
      <c r="B87" s="759" t="s">
        <v>778</v>
      </c>
      <c r="C87" s="1209">
        <f>SUM(C83:C85)</f>
        <v>3.3999999999999995</v>
      </c>
      <c r="D87" s="1209">
        <f t="shared" ref="D87:G87" si="48">SUM(D83:D85)</f>
        <v>5.0999999999999996</v>
      </c>
      <c r="E87" s="1209">
        <f t="shared" si="48"/>
        <v>0</v>
      </c>
      <c r="F87" s="1209">
        <f t="shared" si="48"/>
        <v>0</v>
      </c>
      <c r="G87" s="1209">
        <f t="shared" si="48"/>
        <v>0</v>
      </c>
      <c r="R87" s="1177"/>
      <c r="S87" s="1177"/>
    </row>
    <row r="90" spans="2:19" x14ac:dyDescent="0.35">
      <c r="B90" s="759" t="s">
        <v>674</v>
      </c>
      <c r="C90" s="1210">
        <v>26.636000000000024</v>
      </c>
      <c r="D90" s="1210">
        <v>98.978999999999999</v>
      </c>
      <c r="E90" s="1210">
        <v>2.1159999999999997</v>
      </c>
      <c r="F90" s="1210">
        <v>2.1789999999999998</v>
      </c>
      <c r="G90" s="1210">
        <v>2.33</v>
      </c>
      <c r="H90" s="1210"/>
      <c r="I90" s="1210"/>
      <c r="J90" s="1210"/>
      <c r="K90" s="1210"/>
      <c r="L90" s="1210"/>
      <c r="M90" s="1210"/>
    </row>
    <row r="91" spans="2:19" x14ac:dyDescent="0.35">
      <c r="B91" s="759" t="s">
        <v>675</v>
      </c>
      <c r="C91" s="1210">
        <v>47.722000000000016</v>
      </c>
      <c r="D91" s="1210">
        <v>52.756999999999998</v>
      </c>
      <c r="E91" s="1210">
        <v>12</v>
      </c>
      <c r="F91" s="1210">
        <v>4.2219999999999995</v>
      </c>
      <c r="G91" s="1210">
        <v>2.3719999999999999</v>
      </c>
      <c r="H91" s="1210"/>
      <c r="I91" s="1210"/>
      <c r="J91" s="1210"/>
      <c r="K91" s="1210"/>
      <c r="L91" s="1210"/>
      <c r="M91" s="1210"/>
    </row>
    <row r="92" spans="2:19" x14ac:dyDescent="0.35">
      <c r="B92" s="759" t="s">
        <v>52</v>
      </c>
      <c r="C92" s="1210">
        <v>81.842999999999989</v>
      </c>
      <c r="D92" s="1210">
        <v>110.24799999999999</v>
      </c>
      <c r="E92" s="1210">
        <v>12.726000000000001</v>
      </c>
      <c r="F92" s="1210">
        <v>1.365</v>
      </c>
      <c r="G92" s="1210">
        <v>-0.90100000000000025</v>
      </c>
      <c r="H92" s="1210"/>
      <c r="I92" s="1210"/>
      <c r="J92" s="1210"/>
      <c r="K92" s="1210"/>
      <c r="L92" s="1210"/>
      <c r="M92" s="1210"/>
    </row>
    <row r="93" spans="2:19" x14ac:dyDescent="0.35">
      <c r="B93" s="759" t="s">
        <v>131</v>
      </c>
      <c r="C93" s="1210">
        <v>7.798</v>
      </c>
      <c r="D93" s="1210">
        <v>7.9489999999999998</v>
      </c>
      <c r="E93" s="1210">
        <v>4.7519999999999998</v>
      </c>
      <c r="F93" s="1210">
        <v>4.637999999999999</v>
      </c>
      <c r="G93" s="1210">
        <v>1.8800000000000001</v>
      </c>
      <c r="H93" s="1210"/>
      <c r="I93" s="1210"/>
      <c r="J93" s="1210"/>
      <c r="K93" s="1210"/>
      <c r="L93" s="1210"/>
      <c r="M93" s="1210"/>
    </row>
    <row r="94" spans="2:19" x14ac:dyDescent="0.35">
      <c r="B94" s="759" t="s">
        <v>347</v>
      </c>
      <c r="C94" s="1210">
        <v>283.95749999999998</v>
      </c>
      <c r="D94" s="1210">
        <v>77.092500000000001</v>
      </c>
      <c r="E94" s="1210">
        <v>1</v>
      </c>
      <c r="F94" s="1210">
        <v>0</v>
      </c>
      <c r="G94" s="1210">
        <v>0</v>
      </c>
      <c r="H94" s="1210"/>
      <c r="I94" s="1210"/>
      <c r="J94" s="1210"/>
      <c r="K94" s="1210"/>
      <c r="L94" s="1210"/>
      <c r="M94" s="1210"/>
    </row>
    <row r="95" spans="2:19" x14ac:dyDescent="0.35">
      <c r="B95" s="759" t="s">
        <v>150</v>
      </c>
      <c r="C95" s="1210">
        <v>12.347</v>
      </c>
      <c r="D95" s="1210">
        <v>46.79</v>
      </c>
      <c r="E95" s="1210">
        <v>38.595999999999997</v>
      </c>
      <c r="F95" s="1210">
        <v>31.911000000000001</v>
      </c>
      <c r="G95" s="1210">
        <v>23.099</v>
      </c>
      <c r="H95" s="1210"/>
      <c r="I95" s="1210"/>
      <c r="J95" s="1210"/>
      <c r="K95" s="1210"/>
      <c r="L95" s="1210"/>
      <c r="M95" s="1210"/>
    </row>
    <row r="96" spans="2:19" x14ac:dyDescent="0.35">
      <c r="B96" s="759" t="s">
        <v>363</v>
      </c>
      <c r="C96" s="1210">
        <v>2.286</v>
      </c>
      <c r="D96" s="1210">
        <v>4.6049999999999995</v>
      </c>
      <c r="E96" s="1210">
        <v>1.349</v>
      </c>
      <c r="F96" s="1210">
        <v>0.441</v>
      </c>
      <c r="G96" s="1210">
        <v>0.313</v>
      </c>
      <c r="H96" s="1210"/>
      <c r="I96" s="1210"/>
      <c r="J96" s="1210"/>
      <c r="K96" s="1210"/>
      <c r="L96" s="1210"/>
      <c r="M96" s="1210"/>
    </row>
    <row r="97" spans="2:13" x14ac:dyDescent="0.35">
      <c r="B97" s="759" t="s">
        <v>159</v>
      </c>
      <c r="C97" s="1210">
        <v>25.75</v>
      </c>
      <c r="D97" s="1210">
        <v>0</v>
      </c>
      <c r="E97" s="1210">
        <v>0</v>
      </c>
      <c r="F97" s="1210">
        <v>0</v>
      </c>
      <c r="G97" s="1210">
        <v>0</v>
      </c>
      <c r="H97" s="1210"/>
      <c r="I97" s="1210"/>
      <c r="J97" s="1210"/>
      <c r="K97" s="1210"/>
      <c r="L97" s="1210"/>
      <c r="M97" s="1210"/>
    </row>
    <row r="98" spans="2:13" x14ac:dyDescent="0.35">
      <c r="B98" s="759" t="s">
        <v>109</v>
      </c>
      <c r="C98" s="1210">
        <v>60.441000000000003</v>
      </c>
      <c r="D98" s="1210">
        <v>91.678999999999988</v>
      </c>
      <c r="E98" s="1210">
        <v>41.220000000000006</v>
      </c>
      <c r="F98" s="1210">
        <v>14.004000000000003</v>
      </c>
      <c r="G98" s="1210">
        <v>3.8530000000000006</v>
      </c>
      <c r="H98" s="1210"/>
      <c r="I98" s="1210"/>
      <c r="J98" s="1210"/>
      <c r="K98" s="1210"/>
      <c r="L98" s="1210"/>
      <c r="M98" s="1210"/>
    </row>
    <row r="99" spans="2:13" x14ac:dyDescent="0.35">
      <c r="C99" s="1206">
        <v>3.4</v>
      </c>
      <c r="D99" s="1206">
        <v>5.0999999999999996</v>
      </c>
      <c r="E99" s="1206">
        <v>0</v>
      </c>
      <c r="F99" s="1206">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90625" defaultRowHeight="14.5" x14ac:dyDescent="0.35"/>
  <sheetData>
    <row r="1" spans="1:12" x14ac:dyDescent="0.35">
      <c r="A1" s="76" t="s">
        <v>1435</v>
      </c>
      <c r="B1" s="76" t="s">
        <v>1436</v>
      </c>
      <c r="C1" s="76" t="s">
        <v>1437</v>
      </c>
      <c r="D1" s="76" t="s">
        <v>1438</v>
      </c>
      <c r="E1" s="76" t="s">
        <v>1439</v>
      </c>
      <c r="F1" s="76" t="s">
        <v>1440</v>
      </c>
      <c r="G1" s="76" t="s">
        <v>924</v>
      </c>
      <c r="H1" s="76" t="s">
        <v>925</v>
      </c>
      <c r="I1" s="76" t="s">
        <v>926</v>
      </c>
      <c r="J1" s="76" t="s">
        <v>927</v>
      </c>
      <c r="K1" s="76" t="s">
        <v>928</v>
      </c>
      <c r="L1" s="76" t="s">
        <v>929</v>
      </c>
    </row>
    <row r="2" spans="1:12" x14ac:dyDescent="0.35">
      <c r="A2">
        <v>4.5079018442711401E-2</v>
      </c>
      <c r="B2">
        <v>5.3878515900577198E-2</v>
      </c>
      <c r="C2">
        <v>8.2063006909154398E-2</v>
      </c>
      <c r="D2">
        <v>0.104421067414309</v>
      </c>
      <c r="E2" t="s">
        <v>1441</v>
      </c>
      <c r="F2" t="s">
        <v>1442</v>
      </c>
      <c r="G2">
        <v>13.106999999999999</v>
      </c>
      <c r="H2">
        <v>1.9913023575188999E-2</v>
      </c>
      <c r="I2">
        <v>16.824999999999999</v>
      </c>
      <c r="J2">
        <v>2.51411589895989E-2</v>
      </c>
      <c r="K2" t="s">
        <v>930</v>
      </c>
      <c r="L2" t="s">
        <v>931</v>
      </c>
    </row>
    <row r="3" spans="1:12" x14ac:dyDescent="0.35">
      <c r="A3">
        <v>4.5079018442711401E-2</v>
      </c>
      <c r="B3">
        <v>5.3878515900577198E-2</v>
      </c>
      <c r="C3">
        <v>8.2063006909154398E-2</v>
      </c>
      <c r="D3">
        <v>0.104421067414309</v>
      </c>
      <c r="E3" t="s">
        <v>1443</v>
      </c>
      <c r="F3" t="s">
        <v>1442</v>
      </c>
      <c r="G3">
        <v>13.368</v>
      </c>
      <c r="H3">
        <v>1.9913023575188999E-2</v>
      </c>
      <c r="I3">
        <v>17.248000000000001</v>
      </c>
      <c r="J3">
        <v>2.51411589895989E-2</v>
      </c>
      <c r="K3" t="s">
        <v>932</v>
      </c>
      <c r="L3" t="s">
        <v>931</v>
      </c>
    </row>
    <row r="4" spans="1:12" x14ac:dyDescent="0.35">
      <c r="A4">
        <v>3.9419555818651898E-2</v>
      </c>
      <c r="B4">
        <v>6.9938689583740596E-2</v>
      </c>
      <c r="C4">
        <v>7.2508506661211405E-2</v>
      </c>
      <c r="D4">
        <v>7.9737360467493398E-2</v>
      </c>
      <c r="E4" t="s">
        <v>1444</v>
      </c>
      <c r="F4" t="s">
        <v>1442</v>
      </c>
      <c r="G4">
        <v>13.603999999999999</v>
      </c>
      <c r="H4">
        <v>1.7654099341711402E-2</v>
      </c>
      <c r="I4">
        <v>17.582000000000001</v>
      </c>
      <c r="J4">
        <v>1.9364564007421099E-2</v>
      </c>
      <c r="K4" t="s">
        <v>933</v>
      </c>
      <c r="L4" t="s">
        <v>931</v>
      </c>
    </row>
    <row r="5" spans="1:12" x14ac:dyDescent="0.35">
      <c r="A5">
        <v>5.2824828770235303E-2</v>
      </c>
      <c r="B5">
        <v>5.1823422551402501E-2</v>
      </c>
      <c r="C5">
        <v>6.9052453854286294E-2</v>
      </c>
      <c r="D5">
        <v>0.10539397910227</v>
      </c>
      <c r="E5" t="s">
        <v>1445</v>
      </c>
      <c r="F5" t="s">
        <v>1442</v>
      </c>
      <c r="G5">
        <v>13.833</v>
      </c>
      <c r="H5">
        <v>1.6833284328138898E-2</v>
      </c>
      <c r="I5">
        <v>18.027999999999999</v>
      </c>
      <c r="J5">
        <v>2.5366852462745899E-2</v>
      </c>
      <c r="K5" t="s">
        <v>934</v>
      </c>
      <c r="L5" t="s">
        <v>931</v>
      </c>
    </row>
    <row r="6" spans="1:12" x14ac:dyDescent="0.35">
      <c r="A6">
        <v>3.85286878692137E-2</v>
      </c>
      <c r="B6">
        <v>0.132788480581229</v>
      </c>
      <c r="C6">
        <v>0.10231116414477499</v>
      </c>
      <c r="D6">
        <v>6.9175988166702701E-2</v>
      </c>
      <c r="E6" t="s">
        <v>1446</v>
      </c>
      <c r="F6" t="s">
        <v>1442</v>
      </c>
      <c r="G6">
        <v>14.173999999999999</v>
      </c>
      <c r="H6">
        <v>2.4651196414371399E-2</v>
      </c>
      <c r="I6">
        <v>18.332000000000001</v>
      </c>
      <c r="J6">
        <v>1.6862658087419598E-2</v>
      </c>
      <c r="K6" t="s">
        <v>935</v>
      </c>
      <c r="L6" t="s">
        <v>931</v>
      </c>
    </row>
    <row r="7" spans="1:12" x14ac:dyDescent="0.35">
      <c r="A7">
        <v>4.6230845754161802E-2</v>
      </c>
      <c r="B7">
        <v>7.6806429060699302E-2</v>
      </c>
      <c r="C7">
        <v>7.6908368677740299E-2</v>
      </c>
      <c r="D7">
        <v>6.5481053360561203E-2</v>
      </c>
      <c r="E7" t="s">
        <v>1447</v>
      </c>
      <c r="F7" t="s">
        <v>1442</v>
      </c>
      <c r="G7">
        <v>14.439</v>
      </c>
      <c r="H7">
        <v>1.8696204317764999E-2</v>
      </c>
      <c r="I7">
        <v>18.625</v>
      </c>
      <c r="J7">
        <v>1.59829805804057E-2</v>
      </c>
      <c r="K7" t="s">
        <v>936</v>
      </c>
      <c r="L7" t="s">
        <v>931</v>
      </c>
    </row>
    <row r="8" spans="1:12" x14ac:dyDescent="0.35">
      <c r="A8">
        <v>4.0000704948734103E-2</v>
      </c>
      <c r="B8">
        <v>5.9184461037305798E-2</v>
      </c>
      <c r="C8">
        <v>6.1773509542664397E-2</v>
      </c>
      <c r="D8">
        <v>4.4315280925248897E-2</v>
      </c>
      <c r="E8" t="s">
        <v>1448</v>
      </c>
      <c r="F8" t="s">
        <v>1442</v>
      </c>
      <c r="G8">
        <v>14.657</v>
      </c>
      <c r="H8">
        <v>1.5097998476348899E-2</v>
      </c>
      <c r="I8">
        <v>18.827999999999999</v>
      </c>
      <c r="J8">
        <v>1.0899328859060401E-2</v>
      </c>
      <c r="K8" t="s">
        <v>937</v>
      </c>
      <c r="L8" t="s">
        <v>931</v>
      </c>
    </row>
    <row r="9" spans="1:12" x14ac:dyDescent="0.35">
      <c r="A9">
        <v>2.5035607973723999E-2</v>
      </c>
      <c r="B9">
        <v>8.3819893360376693E-2</v>
      </c>
      <c r="C9">
        <v>3.6793688078589702E-2</v>
      </c>
      <c r="D9">
        <v>7.0854524877743894E-2</v>
      </c>
      <c r="E9" t="s">
        <v>1449</v>
      </c>
      <c r="F9" t="s">
        <v>1442</v>
      </c>
      <c r="G9">
        <v>14.79</v>
      </c>
      <c r="H9">
        <v>9.0741625162038507E-3</v>
      </c>
      <c r="I9">
        <v>19.152999999999999</v>
      </c>
      <c r="J9">
        <v>1.7261525387720401E-2</v>
      </c>
      <c r="K9" t="s">
        <v>938</v>
      </c>
      <c r="L9" t="s">
        <v>931</v>
      </c>
    </row>
    <row r="10" spans="1:12" x14ac:dyDescent="0.35">
      <c r="A10">
        <v>4.2906681103859E-2</v>
      </c>
      <c r="B10">
        <v>0.175097239288524</v>
      </c>
      <c r="C10">
        <v>0.10446834522691199</v>
      </c>
      <c r="D10">
        <v>5.2157088254066501E-2</v>
      </c>
      <c r="E10" t="s">
        <v>1450</v>
      </c>
      <c r="F10" t="s">
        <v>1442</v>
      </c>
      <c r="G10">
        <v>15.162000000000001</v>
      </c>
      <c r="H10">
        <v>2.5152129817444399E-2</v>
      </c>
      <c r="I10">
        <v>19.398</v>
      </c>
      <c r="J10">
        <v>1.27917297551299E-2</v>
      </c>
      <c r="K10" t="s">
        <v>939</v>
      </c>
      <c r="L10" t="s">
        <v>931</v>
      </c>
    </row>
    <row r="11" spans="1:12" x14ac:dyDescent="0.35">
      <c r="A11">
        <v>2.3157030840978501E-2</v>
      </c>
      <c r="B11">
        <v>4.0963848741786497E-2</v>
      </c>
      <c r="C11">
        <v>5.35423244430666E-2</v>
      </c>
      <c r="D11">
        <v>2.83404365976123E-2</v>
      </c>
      <c r="E11" t="s">
        <v>1451</v>
      </c>
      <c r="F11" t="s">
        <v>1442</v>
      </c>
      <c r="G11">
        <v>15.361000000000001</v>
      </c>
      <c r="H11">
        <v>1.3124917557050499E-2</v>
      </c>
      <c r="I11">
        <v>19.533999999999999</v>
      </c>
      <c r="J11">
        <v>7.0110320651612899E-3</v>
      </c>
      <c r="K11" t="s">
        <v>940</v>
      </c>
      <c r="L11" t="s">
        <v>931</v>
      </c>
    </row>
    <row r="12" spans="1:12" x14ac:dyDescent="0.35">
      <c r="A12">
        <v>3.55986781186481E-2</v>
      </c>
      <c r="B12">
        <v>3.3186191278740597E-2</v>
      </c>
      <c r="C12">
        <v>6.3703129067968198E-2</v>
      </c>
      <c r="D12">
        <v>5.6658506033298299E-2</v>
      </c>
      <c r="E12" t="s">
        <v>1452</v>
      </c>
      <c r="F12" t="s">
        <v>1442</v>
      </c>
      <c r="G12">
        <v>15.6</v>
      </c>
      <c r="H12">
        <v>1.5558882885228701E-2</v>
      </c>
      <c r="I12">
        <v>19.805</v>
      </c>
      <c r="J12">
        <v>1.38732466468721E-2</v>
      </c>
      <c r="K12" t="s">
        <v>941</v>
      </c>
      <c r="L12" t="s">
        <v>931</v>
      </c>
    </row>
    <row r="13" spans="1:12" x14ac:dyDescent="0.35">
      <c r="A13">
        <v>3.3109052200751603E-2</v>
      </c>
      <c r="B13">
        <v>8.9944620716435594E-2</v>
      </c>
      <c r="C13">
        <v>5.0679215853917103E-2</v>
      </c>
      <c r="D13">
        <v>7.6848944278385095E-2</v>
      </c>
      <c r="E13" t="s">
        <v>1453</v>
      </c>
      <c r="F13" t="s">
        <v>1442</v>
      </c>
      <c r="G13">
        <v>15.794</v>
      </c>
      <c r="H13">
        <v>1.2435897435897601E-2</v>
      </c>
      <c r="I13">
        <v>20.175000000000001</v>
      </c>
      <c r="J13">
        <v>1.8682150971976799E-2</v>
      </c>
      <c r="K13" t="s">
        <v>942</v>
      </c>
      <c r="L13" t="s">
        <v>931</v>
      </c>
    </row>
    <row r="14" spans="1:12" x14ac:dyDescent="0.35">
      <c r="A14">
        <v>4.91014015888558E-2</v>
      </c>
      <c r="B14">
        <v>6.5908483031781095E-2</v>
      </c>
      <c r="C14">
        <v>8.1389738888574495E-2</v>
      </c>
      <c r="D14">
        <v>7.93845743471608E-2</v>
      </c>
      <c r="E14" t="s">
        <v>1454</v>
      </c>
      <c r="F14" t="s">
        <v>1442</v>
      </c>
      <c r="G14">
        <v>16.106000000000002</v>
      </c>
      <c r="H14">
        <v>1.9754337090034199E-2</v>
      </c>
      <c r="I14">
        <v>20.564</v>
      </c>
      <c r="J14">
        <v>1.9281288723668001E-2</v>
      </c>
      <c r="K14" t="s">
        <v>943</v>
      </c>
      <c r="L14" t="s">
        <v>931</v>
      </c>
    </row>
    <row r="15" spans="1:12" x14ac:dyDescent="0.35">
      <c r="A15">
        <v>7.9177652454341899E-2</v>
      </c>
      <c r="B15">
        <v>7.1493559288280994E-2</v>
      </c>
      <c r="C15">
        <v>6.9283063617710403E-2</v>
      </c>
      <c r="D15">
        <v>8.6922582910256702E-2</v>
      </c>
      <c r="E15" t="s">
        <v>1455</v>
      </c>
      <c r="F15" t="s">
        <v>1442</v>
      </c>
      <c r="G15">
        <v>16.378</v>
      </c>
      <c r="H15">
        <v>1.68881162299763E-2</v>
      </c>
      <c r="I15">
        <v>20.997</v>
      </c>
      <c r="J15">
        <v>2.1056214744213299E-2</v>
      </c>
      <c r="K15" t="s">
        <v>944</v>
      </c>
      <c r="L15" t="s">
        <v>931</v>
      </c>
    </row>
    <row r="16" spans="1:12" x14ac:dyDescent="0.35">
      <c r="A16">
        <v>7.4767520593947104E-2</v>
      </c>
      <c r="B16">
        <v>8.5362600720222198E-2</v>
      </c>
      <c r="C16">
        <v>4.7217464684975501E-2</v>
      </c>
      <c r="D16">
        <v>8.4062519785650797E-2</v>
      </c>
      <c r="E16" t="s">
        <v>1456</v>
      </c>
      <c r="F16" t="s">
        <v>1442</v>
      </c>
      <c r="G16">
        <v>16.568000000000001</v>
      </c>
      <c r="H16">
        <v>1.1600928074246E-2</v>
      </c>
      <c r="I16">
        <v>21.425000000000001</v>
      </c>
      <c r="J16">
        <v>2.03838643615755E-2</v>
      </c>
      <c r="K16" t="s">
        <v>945</v>
      </c>
      <c r="L16" t="s">
        <v>931</v>
      </c>
    </row>
    <row r="17" spans="1:12" x14ac:dyDescent="0.35">
      <c r="A17">
        <v>8.4354048501589896E-2</v>
      </c>
      <c r="B17">
        <v>8.8313277531109999E-2</v>
      </c>
      <c r="C17">
        <v>6.8825586736247696E-2</v>
      </c>
      <c r="D17">
        <v>0.111750672708145</v>
      </c>
      <c r="E17" t="s">
        <v>1457</v>
      </c>
      <c r="F17" t="s">
        <v>1442</v>
      </c>
      <c r="G17">
        <v>16.846</v>
      </c>
      <c r="H17">
        <v>1.6779333655238898E-2</v>
      </c>
      <c r="I17">
        <v>22</v>
      </c>
      <c r="J17">
        <v>2.68378063010501E-2</v>
      </c>
      <c r="K17" t="s">
        <v>946</v>
      </c>
      <c r="L17" t="s">
        <v>931</v>
      </c>
    </row>
    <row r="18" spans="1:12" x14ac:dyDescent="0.35">
      <c r="A18">
        <v>0.124536540877934</v>
      </c>
      <c r="B18">
        <v>4.1616768277239702E-2</v>
      </c>
      <c r="C18">
        <v>0.100709384145876</v>
      </c>
      <c r="D18">
        <v>0.19875533747763099</v>
      </c>
      <c r="E18" t="s">
        <v>1458</v>
      </c>
      <c r="F18" t="s">
        <v>1442</v>
      </c>
      <c r="G18">
        <v>17.254999999999999</v>
      </c>
      <c r="H18">
        <v>2.42787605366259E-2</v>
      </c>
      <c r="I18">
        <v>23.02</v>
      </c>
      <c r="J18">
        <v>4.6363636363636399E-2</v>
      </c>
      <c r="K18" t="s">
        <v>947</v>
      </c>
      <c r="L18" t="s">
        <v>931</v>
      </c>
    </row>
    <row r="19" spans="1:12" x14ac:dyDescent="0.35">
      <c r="A19">
        <v>0.118186339709689</v>
      </c>
      <c r="B19">
        <v>7.4336480554695494E-2</v>
      </c>
      <c r="C19">
        <v>0.111980004946894</v>
      </c>
      <c r="D19">
        <v>0.27614966476000502</v>
      </c>
      <c r="E19" t="s">
        <v>1459</v>
      </c>
      <c r="F19" t="s">
        <v>1442</v>
      </c>
      <c r="G19">
        <v>17.719000000000001</v>
      </c>
      <c r="H19">
        <v>2.68907563025211E-2</v>
      </c>
      <c r="I19">
        <v>24.466999999999999</v>
      </c>
      <c r="J19">
        <v>6.2858384013900995E-2</v>
      </c>
      <c r="K19" t="s">
        <v>948</v>
      </c>
      <c r="L19" t="s">
        <v>931</v>
      </c>
    </row>
    <row r="20" spans="1:12" x14ac:dyDescent="0.35">
      <c r="A20">
        <v>0.112285409166716</v>
      </c>
      <c r="B20">
        <v>0.121923532437656</v>
      </c>
      <c r="C20">
        <v>0.119951580753957</v>
      </c>
      <c r="D20">
        <v>0.28126959643585903</v>
      </c>
      <c r="E20" t="s">
        <v>1460</v>
      </c>
      <c r="F20" t="s">
        <v>1442</v>
      </c>
      <c r="G20">
        <v>18.228000000000002</v>
      </c>
      <c r="H20">
        <v>2.8726226084993398E-2</v>
      </c>
      <c r="I20">
        <v>26.030999999999999</v>
      </c>
      <c r="J20">
        <v>6.3922834838762405E-2</v>
      </c>
      <c r="K20" t="s">
        <v>949</v>
      </c>
      <c r="L20" t="s">
        <v>931</v>
      </c>
    </row>
    <row r="21" spans="1:12" x14ac:dyDescent="0.35">
      <c r="A21">
        <v>0.10564888426900799</v>
      </c>
      <c r="B21">
        <v>0.139689749601554</v>
      </c>
      <c r="C21">
        <v>0.10861792322335199</v>
      </c>
      <c r="D21">
        <v>0.17691984955710299</v>
      </c>
      <c r="E21" t="s">
        <v>1461</v>
      </c>
      <c r="F21" t="s">
        <v>1442</v>
      </c>
      <c r="G21">
        <v>18.704000000000001</v>
      </c>
      <c r="H21">
        <v>2.6113671274961399E-2</v>
      </c>
      <c r="I21">
        <v>27.113</v>
      </c>
      <c r="J21">
        <v>4.15658253620683E-2</v>
      </c>
      <c r="K21" t="s">
        <v>950</v>
      </c>
      <c r="L21" t="s">
        <v>931</v>
      </c>
    </row>
    <row r="22" spans="1:12" x14ac:dyDescent="0.35">
      <c r="A22">
        <v>7.7418031911128199E-2</v>
      </c>
      <c r="B22">
        <v>7.47377264200315E-2</v>
      </c>
      <c r="C22">
        <v>8.2414004288707196E-2</v>
      </c>
      <c r="D22">
        <v>8.77241949354641E-2</v>
      </c>
      <c r="E22" t="s">
        <v>1462</v>
      </c>
      <c r="F22" t="s">
        <v>1442</v>
      </c>
      <c r="G22">
        <v>19.077999999999999</v>
      </c>
      <c r="H22">
        <v>1.99957228400343E-2</v>
      </c>
      <c r="I22">
        <v>27.689</v>
      </c>
      <c r="J22">
        <v>2.1244421495223698E-2</v>
      </c>
      <c r="K22" t="s">
        <v>951</v>
      </c>
      <c r="L22" t="s">
        <v>931</v>
      </c>
    </row>
    <row r="23" spans="1:12" x14ac:dyDescent="0.35">
      <c r="A23">
        <v>5.00188837807687E-2</v>
      </c>
      <c r="B23">
        <v>5.9076854521070303E-2</v>
      </c>
      <c r="C23">
        <v>9.99907756879512E-2</v>
      </c>
      <c r="D23">
        <v>1.9938623083631101E-2</v>
      </c>
      <c r="E23" t="s">
        <v>1463</v>
      </c>
      <c r="F23" t="s">
        <v>1442</v>
      </c>
      <c r="G23">
        <v>19.538</v>
      </c>
      <c r="H23">
        <v>2.4111542090365898E-2</v>
      </c>
      <c r="I23">
        <v>27.826000000000001</v>
      </c>
      <c r="J23">
        <v>4.9478132110223304E-3</v>
      </c>
      <c r="K23" t="s">
        <v>952</v>
      </c>
      <c r="L23" t="s">
        <v>931</v>
      </c>
    </row>
    <row r="24" spans="1:12" x14ac:dyDescent="0.35">
      <c r="A24">
        <v>7.6956317974106001E-2</v>
      </c>
      <c r="B24">
        <v>5.5091330920863602E-2</v>
      </c>
      <c r="C24">
        <v>6.2847909413525901E-2</v>
      </c>
      <c r="D24">
        <v>1.2710174962932599E-2</v>
      </c>
      <c r="E24" t="s">
        <v>1464</v>
      </c>
      <c r="F24" t="s">
        <v>1442</v>
      </c>
      <c r="G24">
        <v>19.838000000000001</v>
      </c>
      <c r="H24">
        <v>1.5354693417954699E-2</v>
      </c>
      <c r="I24">
        <v>27.914000000000001</v>
      </c>
      <c r="J24">
        <v>3.16250988284339E-3</v>
      </c>
      <c r="K24" t="s">
        <v>953</v>
      </c>
      <c r="L24" t="s">
        <v>931</v>
      </c>
    </row>
    <row r="25" spans="1:12" x14ac:dyDescent="0.35">
      <c r="A25">
        <v>6.8882772668885706E-2</v>
      </c>
      <c r="B25">
        <v>9.5097426388938394E-2</v>
      </c>
      <c r="C25">
        <v>5.9557775023163499E-2</v>
      </c>
      <c r="D25">
        <v>2.4583979224767301E-2</v>
      </c>
      <c r="E25" t="s">
        <v>1465</v>
      </c>
      <c r="F25" t="s">
        <v>1442</v>
      </c>
      <c r="G25">
        <v>20.126999999999999</v>
      </c>
      <c r="H25">
        <v>1.45680008065328E-2</v>
      </c>
      <c r="I25">
        <v>28.084</v>
      </c>
      <c r="J25">
        <v>6.0901339829475499E-3</v>
      </c>
      <c r="K25" t="s">
        <v>954</v>
      </c>
      <c r="L25" t="s">
        <v>931</v>
      </c>
    </row>
    <row r="26" spans="1:12" x14ac:dyDescent="0.35">
      <c r="A26">
        <v>4.46796784787249E-2</v>
      </c>
      <c r="B26">
        <v>5.9702158874865199E-2</v>
      </c>
      <c r="C26">
        <v>5.3094918319799497E-2</v>
      </c>
      <c r="D26">
        <v>1.9800669277978002E-2</v>
      </c>
      <c r="E26" t="s">
        <v>1466</v>
      </c>
      <c r="F26" t="s">
        <v>1442</v>
      </c>
      <c r="G26">
        <v>20.388999999999999</v>
      </c>
      <c r="H26">
        <v>1.30173398916877E-2</v>
      </c>
      <c r="I26">
        <v>28.222000000000001</v>
      </c>
      <c r="J26">
        <v>4.91382993875522E-3</v>
      </c>
      <c r="K26" t="s">
        <v>955</v>
      </c>
      <c r="L26" t="s">
        <v>931</v>
      </c>
    </row>
    <row r="27" spans="1:12" x14ac:dyDescent="0.35">
      <c r="A27">
        <v>3.3979822161052303E-2</v>
      </c>
      <c r="B27">
        <v>3.3961135638896502E-2</v>
      </c>
      <c r="C27">
        <v>5.3215140717762302E-2</v>
      </c>
      <c r="D27">
        <v>3.4743180507705002E-2</v>
      </c>
      <c r="E27" t="s">
        <v>1467</v>
      </c>
      <c r="F27" t="s">
        <v>1442</v>
      </c>
      <c r="G27">
        <v>20.655000000000001</v>
      </c>
      <c r="H27">
        <v>1.3046250429153101E-2</v>
      </c>
      <c r="I27">
        <v>28.463999999999999</v>
      </c>
      <c r="J27">
        <v>8.5748706682728902E-3</v>
      </c>
      <c r="K27" t="s">
        <v>956</v>
      </c>
      <c r="L27" t="s">
        <v>931</v>
      </c>
    </row>
    <row r="28" spans="1:12" x14ac:dyDescent="0.35">
      <c r="A28">
        <v>6.2157602764701697E-2</v>
      </c>
      <c r="B28">
        <v>4.6572413553721298E-2</v>
      </c>
      <c r="C28">
        <v>3.5515485276211803E-2</v>
      </c>
      <c r="D28">
        <v>8.7412684077270396E-3</v>
      </c>
      <c r="E28" t="s">
        <v>1468</v>
      </c>
      <c r="F28" t="s">
        <v>1442</v>
      </c>
      <c r="G28">
        <v>20.835999999999999</v>
      </c>
      <c r="H28">
        <v>8.7630113773904394E-3</v>
      </c>
      <c r="I28">
        <v>28.526</v>
      </c>
      <c r="J28">
        <v>2.17818999437891E-3</v>
      </c>
      <c r="K28" t="s">
        <v>957</v>
      </c>
      <c r="L28" t="s">
        <v>931</v>
      </c>
    </row>
    <row r="29" spans="1:12" x14ac:dyDescent="0.35">
      <c r="A29">
        <v>6.4679796349943294E-2</v>
      </c>
      <c r="B29">
        <v>0.11140543202132699</v>
      </c>
      <c r="C29">
        <v>5.3847641567893498E-2</v>
      </c>
      <c r="D29">
        <v>2.7482019859727602E-2</v>
      </c>
      <c r="E29" t="s">
        <v>1469</v>
      </c>
      <c r="F29" t="s">
        <v>1442</v>
      </c>
      <c r="G29">
        <v>21.111000000000001</v>
      </c>
      <c r="H29">
        <v>1.31983106162412E-2</v>
      </c>
      <c r="I29">
        <v>28.72</v>
      </c>
      <c r="J29">
        <v>6.8008132931360902E-3</v>
      </c>
      <c r="K29" t="s">
        <v>958</v>
      </c>
      <c r="L29" t="s">
        <v>931</v>
      </c>
    </row>
    <row r="30" spans="1:12" x14ac:dyDescent="0.35">
      <c r="A30">
        <v>7.4088172350420103E-2</v>
      </c>
      <c r="B30">
        <v>5.7739458159661701E-2</v>
      </c>
      <c r="C30">
        <v>8.3796072481744796E-2</v>
      </c>
      <c r="D30">
        <v>5.2825931688943499E-2</v>
      </c>
      <c r="E30" t="s">
        <v>1470</v>
      </c>
      <c r="F30" t="s">
        <v>1442</v>
      </c>
      <c r="G30">
        <v>21.54</v>
      </c>
      <c r="H30">
        <v>2.0321159585050302E-2</v>
      </c>
      <c r="I30">
        <v>29.091999999999999</v>
      </c>
      <c r="J30">
        <v>1.2952646239554401E-2</v>
      </c>
      <c r="K30" t="s">
        <v>959</v>
      </c>
      <c r="L30" t="s">
        <v>931</v>
      </c>
    </row>
    <row r="31" spans="1:12" x14ac:dyDescent="0.35">
      <c r="A31">
        <v>7.0308632461715301E-2</v>
      </c>
      <c r="B31">
        <v>4.6296846180206901E-2</v>
      </c>
      <c r="C31">
        <v>8.1880476726010801E-2</v>
      </c>
      <c r="D31">
        <v>4.0048809702137603E-2</v>
      </c>
      <c r="E31" t="s">
        <v>1471</v>
      </c>
      <c r="F31" t="s">
        <v>1442</v>
      </c>
      <c r="G31">
        <v>21.968</v>
      </c>
      <c r="H31">
        <v>1.9870009285051001E-2</v>
      </c>
      <c r="I31">
        <v>29.379000000000001</v>
      </c>
      <c r="J31">
        <v>9.8652550529356696E-3</v>
      </c>
      <c r="K31" t="s">
        <v>960</v>
      </c>
      <c r="L31" t="s">
        <v>931</v>
      </c>
    </row>
    <row r="32" spans="1:12" x14ac:dyDescent="0.35">
      <c r="A32">
        <v>6.1553542794543503E-2</v>
      </c>
      <c r="B32">
        <v>1.98663105662467E-2</v>
      </c>
      <c r="C32">
        <v>7.3501873886998997E-2</v>
      </c>
      <c r="D32">
        <v>5.4874269706492597E-2</v>
      </c>
      <c r="E32" t="s">
        <v>1472</v>
      </c>
      <c r="F32" t="s">
        <v>1442</v>
      </c>
      <c r="G32">
        <v>22.361000000000001</v>
      </c>
      <c r="H32">
        <v>1.7889657683903801E-2</v>
      </c>
      <c r="I32">
        <v>29.774000000000001</v>
      </c>
      <c r="J32">
        <v>1.3444977705163501E-2</v>
      </c>
      <c r="K32" t="s">
        <v>961</v>
      </c>
      <c r="L32" t="s">
        <v>931</v>
      </c>
    </row>
    <row r="33" spans="1:12" x14ac:dyDescent="0.35">
      <c r="A33">
        <v>5.8025197908700303E-2</v>
      </c>
      <c r="B33">
        <v>0.12112082718011299</v>
      </c>
      <c r="C33">
        <v>7.5383891455237398E-2</v>
      </c>
      <c r="D33">
        <v>4.34111575180351E-2</v>
      </c>
      <c r="E33" t="s">
        <v>1473</v>
      </c>
      <c r="F33" t="s">
        <v>1442</v>
      </c>
      <c r="G33">
        <v>22.771000000000001</v>
      </c>
      <c r="H33">
        <v>1.83354948347569E-2</v>
      </c>
      <c r="I33">
        <v>30.091999999999999</v>
      </c>
      <c r="J33">
        <v>1.0680459461274799E-2</v>
      </c>
      <c r="K33" t="s">
        <v>962</v>
      </c>
      <c r="L33" t="s">
        <v>931</v>
      </c>
    </row>
    <row r="34" spans="1:12" x14ac:dyDescent="0.35">
      <c r="A34">
        <v>6.7326294927223501E-2</v>
      </c>
      <c r="B34">
        <v>4.65097292728067E-2</v>
      </c>
      <c r="C34">
        <v>5.9424238450433299E-2</v>
      </c>
      <c r="D34">
        <v>5.0510789433123801E-2</v>
      </c>
      <c r="E34" t="s">
        <v>1474</v>
      </c>
      <c r="F34" t="s">
        <v>1442</v>
      </c>
      <c r="G34">
        <v>23.102</v>
      </c>
      <c r="H34">
        <v>1.4536032673137E-2</v>
      </c>
      <c r="I34">
        <v>30.465</v>
      </c>
      <c r="J34">
        <v>1.23953210155523E-2</v>
      </c>
      <c r="K34" t="s">
        <v>963</v>
      </c>
      <c r="L34" t="s">
        <v>931</v>
      </c>
    </row>
    <row r="35" spans="1:12" x14ac:dyDescent="0.35">
      <c r="A35">
        <v>8.4675701203493298E-2</v>
      </c>
      <c r="B35">
        <v>8.09066486989478E-2</v>
      </c>
      <c r="C35">
        <v>6.5619276167123694E-2</v>
      </c>
      <c r="D35">
        <v>8.0997725857898203E-2</v>
      </c>
      <c r="E35" t="s">
        <v>1475</v>
      </c>
      <c r="F35" t="s">
        <v>1442</v>
      </c>
      <c r="G35">
        <v>23.472000000000001</v>
      </c>
      <c r="H35">
        <v>1.6015929356765699E-2</v>
      </c>
      <c r="I35">
        <v>31.064</v>
      </c>
      <c r="J35">
        <v>1.9661907106515601E-2</v>
      </c>
      <c r="K35" t="s">
        <v>964</v>
      </c>
      <c r="L35" t="s">
        <v>931</v>
      </c>
    </row>
    <row r="36" spans="1:12" x14ac:dyDescent="0.35">
      <c r="A36">
        <v>7.2050406034996906E-2</v>
      </c>
      <c r="B36">
        <v>6.8549166168664605E-2</v>
      </c>
      <c r="C36">
        <v>5.8500992246239197E-2</v>
      </c>
      <c r="D36">
        <v>7.8709215306017405E-2</v>
      </c>
      <c r="E36" t="s">
        <v>1476</v>
      </c>
      <c r="F36" t="s">
        <v>1442</v>
      </c>
      <c r="G36">
        <v>23.808</v>
      </c>
      <c r="H36">
        <v>1.4314928425357899E-2</v>
      </c>
      <c r="I36">
        <v>31.658000000000001</v>
      </c>
      <c r="J36">
        <v>1.9121813031161401E-2</v>
      </c>
      <c r="K36" t="s">
        <v>965</v>
      </c>
      <c r="L36" t="s">
        <v>931</v>
      </c>
    </row>
    <row r="37" spans="1:12" x14ac:dyDescent="0.35">
      <c r="A37">
        <v>7.7759817693589403E-2</v>
      </c>
      <c r="B37">
        <v>7.0826828171957498E-2</v>
      </c>
      <c r="C37">
        <v>5.4682260590980698E-2</v>
      </c>
      <c r="D37">
        <v>7.3455131593814296E-2</v>
      </c>
      <c r="E37" t="s">
        <v>1477</v>
      </c>
      <c r="F37" t="s">
        <v>1442</v>
      </c>
      <c r="G37">
        <v>24.126999999999999</v>
      </c>
      <c r="H37">
        <v>1.33988575268817E-2</v>
      </c>
      <c r="I37">
        <v>32.223999999999997</v>
      </c>
      <c r="J37">
        <v>1.78785772948384E-2</v>
      </c>
      <c r="K37" t="s">
        <v>966</v>
      </c>
      <c r="L37" t="s">
        <v>931</v>
      </c>
    </row>
    <row r="38" spans="1:12" x14ac:dyDescent="0.35">
      <c r="A38">
        <v>7.7602845525897898E-2</v>
      </c>
      <c r="B38">
        <v>7.5755853629737399E-2</v>
      </c>
      <c r="C38">
        <v>0.101819091447914</v>
      </c>
      <c r="D38">
        <v>8.5137769356933707E-2</v>
      </c>
      <c r="E38" t="s">
        <v>1478</v>
      </c>
      <c r="F38" t="s">
        <v>1442</v>
      </c>
      <c r="G38">
        <v>24.719000000000001</v>
      </c>
      <c r="H38">
        <v>2.4536825962614601E-2</v>
      </c>
      <c r="I38">
        <v>32.889000000000003</v>
      </c>
      <c r="J38">
        <v>2.0636792452830299E-2</v>
      </c>
      <c r="K38" t="s">
        <v>967</v>
      </c>
      <c r="L38" t="s">
        <v>931</v>
      </c>
    </row>
    <row r="39" spans="1:12" x14ac:dyDescent="0.35">
      <c r="A39">
        <v>0.113838252689951</v>
      </c>
      <c r="B39">
        <v>6.1815502695247999E-2</v>
      </c>
      <c r="C39">
        <v>9.0287471336475605E-2</v>
      </c>
      <c r="D39">
        <v>0.11311171886032199</v>
      </c>
      <c r="E39" t="s">
        <v>1479</v>
      </c>
      <c r="F39" t="s">
        <v>1442</v>
      </c>
      <c r="G39">
        <v>25.259</v>
      </c>
      <c r="H39">
        <v>2.18455439135887E-2</v>
      </c>
      <c r="I39">
        <v>33.781999999999996</v>
      </c>
      <c r="J39">
        <v>2.7151935297515601E-2</v>
      </c>
      <c r="K39" t="s">
        <v>968</v>
      </c>
      <c r="L39" t="s">
        <v>931</v>
      </c>
    </row>
    <row r="40" spans="1:12" x14ac:dyDescent="0.35">
      <c r="A40">
        <v>0.10293672514128201</v>
      </c>
      <c r="B40">
        <v>9.6664179784869297E-2</v>
      </c>
      <c r="C40">
        <v>0.148038402658868</v>
      </c>
      <c r="D40">
        <v>0.121960082107911</v>
      </c>
      <c r="E40" t="s">
        <v>1480</v>
      </c>
      <c r="F40" t="s">
        <v>1442</v>
      </c>
      <c r="G40">
        <v>26.146000000000001</v>
      </c>
      <c r="H40">
        <v>3.5116196207292602E-2</v>
      </c>
      <c r="I40">
        <v>34.768000000000001</v>
      </c>
      <c r="J40">
        <v>2.9187141081049101E-2</v>
      </c>
      <c r="K40" t="s">
        <v>969</v>
      </c>
      <c r="L40" t="s">
        <v>931</v>
      </c>
    </row>
    <row r="41" spans="1:12" x14ac:dyDescent="0.35">
      <c r="A41">
        <v>0.100470180706661</v>
      </c>
      <c r="B41">
        <v>9.1027084037313494E-2</v>
      </c>
      <c r="C41">
        <v>7.0641984000731503E-2</v>
      </c>
      <c r="D41">
        <v>0.118355060703055</v>
      </c>
      <c r="E41" t="s">
        <v>1481</v>
      </c>
      <c r="F41" t="s">
        <v>1442</v>
      </c>
      <c r="G41">
        <v>26.596</v>
      </c>
      <c r="H41">
        <v>1.7211045666641198E-2</v>
      </c>
      <c r="I41">
        <v>35.753999999999998</v>
      </c>
      <c r="J41">
        <v>2.83594109526E-2</v>
      </c>
      <c r="K41" t="s">
        <v>970</v>
      </c>
      <c r="L41" t="s">
        <v>931</v>
      </c>
    </row>
    <row r="42" spans="1:12" x14ac:dyDescent="0.35">
      <c r="A42">
        <v>0.12552467874009099</v>
      </c>
      <c r="B42">
        <v>8.1451601423466094E-2</v>
      </c>
      <c r="C42">
        <v>0.106909632651843</v>
      </c>
      <c r="D42">
        <v>0.113864763230328</v>
      </c>
      <c r="E42" t="s">
        <v>1482</v>
      </c>
      <c r="F42" t="s">
        <v>1442</v>
      </c>
      <c r="G42">
        <v>27.28</v>
      </c>
      <c r="H42">
        <v>2.5718153105730199E-2</v>
      </c>
      <c r="I42">
        <v>36.731000000000002</v>
      </c>
      <c r="J42">
        <v>2.7325613917324101E-2</v>
      </c>
      <c r="K42" t="s">
        <v>971</v>
      </c>
      <c r="L42" t="s">
        <v>931</v>
      </c>
    </row>
    <row r="43" spans="1:12" x14ac:dyDescent="0.35">
      <c r="A43">
        <v>0.101539889707692</v>
      </c>
      <c r="B43">
        <v>0.163874229132176</v>
      </c>
      <c r="C43">
        <v>0.11299973225785501</v>
      </c>
      <c r="D43">
        <v>0.119816075191493</v>
      </c>
      <c r="E43" t="s">
        <v>1483</v>
      </c>
      <c r="F43" t="s">
        <v>1442</v>
      </c>
      <c r="G43">
        <v>28.02</v>
      </c>
      <c r="H43">
        <v>2.7126099706744799E-2</v>
      </c>
      <c r="I43">
        <v>37.784999999999997</v>
      </c>
      <c r="J43">
        <v>2.8695107674715899E-2</v>
      </c>
      <c r="K43" t="s">
        <v>972</v>
      </c>
      <c r="L43" t="s">
        <v>931</v>
      </c>
    </row>
    <row r="44" spans="1:12" x14ac:dyDescent="0.35">
      <c r="A44">
        <v>9.6919062654431398E-2</v>
      </c>
      <c r="B44">
        <v>4.1150587007602997E-2</v>
      </c>
      <c r="C44">
        <v>0.115930396885483</v>
      </c>
      <c r="D44">
        <v>0.138106666956619</v>
      </c>
      <c r="E44" t="s">
        <v>1484</v>
      </c>
      <c r="F44" t="s">
        <v>1442</v>
      </c>
      <c r="G44">
        <v>28.798999999999999</v>
      </c>
      <c r="H44">
        <v>2.7801570306923699E-2</v>
      </c>
      <c r="I44">
        <v>39.027000000000001</v>
      </c>
      <c r="J44">
        <v>3.2870186581977198E-2</v>
      </c>
      <c r="K44" t="s">
        <v>973</v>
      </c>
      <c r="L44" t="s">
        <v>931</v>
      </c>
    </row>
    <row r="45" spans="1:12" x14ac:dyDescent="0.35">
      <c r="A45">
        <v>0.102667735598145</v>
      </c>
      <c r="B45">
        <v>0.12591483160208999</v>
      </c>
      <c r="C45">
        <v>0.11071312036879399</v>
      </c>
      <c r="D45">
        <v>0.12373918134004901</v>
      </c>
      <c r="E45" t="s">
        <v>1485</v>
      </c>
      <c r="F45" t="s">
        <v>1442</v>
      </c>
      <c r="G45">
        <v>29.565000000000001</v>
      </c>
      <c r="H45">
        <v>2.65981457689504E-2</v>
      </c>
      <c r="I45">
        <v>40.182000000000002</v>
      </c>
      <c r="J45">
        <v>2.9594895841340601E-2</v>
      </c>
      <c r="K45" t="s">
        <v>974</v>
      </c>
      <c r="L45" t="s">
        <v>931</v>
      </c>
    </row>
    <row r="46" spans="1:12" x14ac:dyDescent="0.35">
      <c r="A46">
        <v>0.107873886984393</v>
      </c>
      <c r="B46">
        <v>8.2350511297398302E-2</v>
      </c>
      <c r="C46">
        <v>0.14097064786198199</v>
      </c>
      <c r="D46">
        <v>0.118188584098933</v>
      </c>
      <c r="E46" t="s">
        <v>1486</v>
      </c>
      <c r="F46" t="s">
        <v>1442</v>
      </c>
      <c r="G46">
        <v>30.556000000000001</v>
      </c>
      <c r="H46">
        <v>3.3519364112971399E-2</v>
      </c>
      <c r="I46">
        <v>41.32</v>
      </c>
      <c r="J46">
        <v>2.8321138818376401E-2</v>
      </c>
      <c r="K46" t="s">
        <v>975</v>
      </c>
      <c r="L46" t="s">
        <v>931</v>
      </c>
    </row>
    <row r="47" spans="1:12" x14ac:dyDescent="0.35">
      <c r="A47">
        <v>6.8864078536554199E-2</v>
      </c>
      <c r="B47">
        <v>9.6264819656522296E-2</v>
      </c>
      <c r="C47">
        <v>8.6310442735713797E-2</v>
      </c>
      <c r="D47">
        <v>9.9129163647753094E-2</v>
      </c>
      <c r="E47" t="s">
        <v>1487</v>
      </c>
      <c r="F47" t="s">
        <v>1442</v>
      </c>
      <c r="G47">
        <v>31.195</v>
      </c>
      <c r="H47">
        <v>2.0912423092027701E-2</v>
      </c>
      <c r="I47">
        <v>42.308</v>
      </c>
      <c r="J47">
        <v>2.39109390125847E-2</v>
      </c>
      <c r="K47" t="s">
        <v>976</v>
      </c>
      <c r="L47" t="s">
        <v>931</v>
      </c>
    </row>
    <row r="48" spans="1:12" x14ac:dyDescent="0.35">
      <c r="A48">
        <v>6.7510216956085903E-2</v>
      </c>
      <c r="B48">
        <v>9.0754628296435505E-2</v>
      </c>
      <c r="C48">
        <v>4.8692861535788202E-2</v>
      </c>
      <c r="D48">
        <v>8.4524586959714404E-2</v>
      </c>
      <c r="E48" t="s">
        <v>1488</v>
      </c>
      <c r="F48" t="s">
        <v>1442</v>
      </c>
      <c r="G48">
        <v>31.568000000000001</v>
      </c>
      <c r="H48">
        <v>1.1957044398140699E-2</v>
      </c>
      <c r="I48">
        <v>43.174999999999997</v>
      </c>
      <c r="J48">
        <v>2.0492578235794499E-2</v>
      </c>
      <c r="K48" t="s">
        <v>977</v>
      </c>
      <c r="L48" t="s">
        <v>931</v>
      </c>
    </row>
    <row r="49" spans="1:12" x14ac:dyDescent="0.35">
      <c r="A49">
        <v>6.2684205945477106E-2</v>
      </c>
      <c r="B49">
        <v>7.8781408158281802E-2</v>
      </c>
      <c r="C49">
        <v>6.2752816594642893E-2</v>
      </c>
      <c r="D49">
        <v>7.3171075998094998E-2</v>
      </c>
      <c r="E49" t="s">
        <v>1489</v>
      </c>
      <c r="F49" t="s">
        <v>1442</v>
      </c>
      <c r="G49">
        <v>32.052</v>
      </c>
      <c r="H49">
        <v>1.53319817536746E-2</v>
      </c>
      <c r="I49">
        <v>43.944000000000003</v>
      </c>
      <c r="J49">
        <v>1.7811233352634799E-2</v>
      </c>
      <c r="K49" t="s">
        <v>978</v>
      </c>
      <c r="L49" t="s">
        <v>931</v>
      </c>
    </row>
    <row r="50" spans="1:12" x14ac:dyDescent="0.35">
      <c r="A50">
        <v>5.1825632418063497E-2</v>
      </c>
      <c r="B50">
        <v>6.5520529029189395E-2</v>
      </c>
      <c r="C50">
        <v>7.2002334651775995E-2</v>
      </c>
      <c r="D50">
        <v>5.7261419360111997E-2</v>
      </c>
      <c r="E50" t="s">
        <v>1490</v>
      </c>
      <c r="F50" t="s">
        <v>1442</v>
      </c>
      <c r="G50">
        <v>32.613999999999997</v>
      </c>
      <c r="H50">
        <v>1.7534007238237701E-2</v>
      </c>
      <c r="I50">
        <v>44.56</v>
      </c>
      <c r="J50">
        <v>1.40178408884035E-2</v>
      </c>
      <c r="K50" t="s">
        <v>979</v>
      </c>
      <c r="L50" t="s">
        <v>931</v>
      </c>
    </row>
    <row r="51" spans="1:12" x14ac:dyDescent="0.35">
      <c r="A51">
        <v>3.9076838958162399E-2</v>
      </c>
      <c r="B51">
        <v>8.1541548822787496E-2</v>
      </c>
      <c r="C51">
        <v>6.5317850608274997E-2</v>
      </c>
      <c r="D51">
        <v>6.8572049720328196E-2</v>
      </c>
      <c r="E51" t="s">
        <v>1491</v>
      </c>
      <c r="F51" t="s">
        <v>1442</v>
      </c>
      <c r="G51">
        <v>33.134</v>
      </c>
      <c r="H51">
        <v>1.5944073097442901E-2</v>
      </c>
      <c r="I51">
        <v>45.305</v>
      </c>
      <c r="J51">
        <v>1.6719030520646199E-2</v>
      </c>
      <c r="K51" t="s">
        <v>980</v>
      </c>
      <c r="L51" t="s">
        <v>931</v>
      </c>
    </row>
    <row r="52" spans="1:12" x14ac:dyDescent="0.35">
      <c r="A52">
        <v>6.4698202701339205E-2</v>
      </c>
      <c r="B52">
        <v>3.4072636599968002E-2</v>
      </c>
      <c r="C52">
        <v>6.8068638365729198E-2</v>
      </c>
      <c r="D52">
        <v>4.8078704643683703E-2</v>
      </c>
      <c r="E52" t="s">
        <v>1492</v>
      </c>
      <c r="F52" t="s">
        <v>1442</v>
      </c>
      <c r="G52">
        <v>33.683999999999997</v>
      </c>
      <c r="H52">
        <v>1.65992635963059E-2</v>
      </c>
      <c r="I52">
        <v>45.84</v>
      </c>
      <c r="J52">
        <v>1.1808851120185501E-2</v>
      </c>
      <c r="K52" t="s">
        <v>981</v>
      </c>
      <c r="L52" t="s">
        <v>931</v>
      </c>
    </row>
    <row r="53" spans="1:12" x14ac:dyDescent="0.35">
      <c r="A53">
        <v>4.4829664945906803E-2</v>
      </c>
      <c r="B53">
        <v>4.8009313734526098E-2</v>
      </c>
      <c r="C53">
        <v>6.1455443169872802E-2</v>
      </c>
      <c r="D53">
        <v>1.01606507354322E-2</v>
      </c>
      <c r="E53" t="s">
        <v>1493</v>
      </c>
      <c r="F53" t="s">
        <v>1442</v>
      </c>
      <c r="G53">
        <v>34.19</v>
      </c>
      <c r="H53">
        <v>1.5021968887305399E-2</v>
      </c>
      <c r="I53">
        <v>45.956000000000003</v>
      </c>
      <c r="J53">
        <v>2.5305410122164998E-3</v>
      </c>
      <c r="K53" t="s">
        <v>982</v>
      </c>
      <c r="L53" t="s">
        <v>931</v>
      </c>
    </row>
    <row r="54" spans="1:12" x14ac:dyDescent="0.35">
      <c r="A54">
        <v>3.3496613159939903E-2</v>
      </c>
      <c r="B54">
        <v>7.5539459294806698E-3</v>
      </c>
      <c r="C54">
        <v>3.4722196261408399E-2</v>
      </c>
      <c r="D54">
        <v>3.7479666516224701E-3</v>
      </c>
      <c r="E54" t="s">
        <v>1494</v>
      </c>
      <c r="F54" t="s">
        <v>1442</v>
      </c>
      <c r="G54">
        <v>34.482999999999997</v>
      </c>
      <c r="H54">
        <v>8.5697572389587008E-3</v>
      </c>
      <c r="I54">
        <v>45.999000000000002</v>
      </c>
      <c r="J54">
        <v>9.3567760466539696E-4</v>
      </c>
      <c r="K54" t="s">
        <v>983</v>
      </c>
      <c r="L54" t="s">
        <v>931</v>
      </c>
    </row>
    <row r="55" spans="1:12" x14ac:dyDescent="0.35">
      <c r="A55">
        <v>3.7100673423204902E-2</v>
      </c>
      <c r="B55">
        <v>3.1269437697415199E-2</v>
      </c>
      <c r="C55">
        <v>5.5765239502398901E-2</v>
      </c>
      <c r="D55">
        <v>-5.3805310591299397E-3</v>
      </c>
      <c r="E55" t="s">
        <v>1495</v>
      </c>
      <c r="F55" t="s">
        <v>1442</v>
      </c>
      <c r="G55">
        <v>34.954000000000001</v>
      </c>
      <c r="H55">
        <v>1.36589043876694E-2</v>
      </c>
      <c r="I55">
        <v>45.936999999999998</v>
      </c>
      <c r="J55">
        <v>-1.3478553881607299E-3</v>
      </c>
      <c r="K55" t="s">
        <v>984</v>
      </c>
      <c r="L55" t="s">
        <v>931</v>
      </c>
    </row>
    <row r="56" spans="1:12" x14ac:dyDescent="0.35">
      <c r="A56">
        <v>5.3607020035561601E-2</v>
      </c>
      <c r="B56">
        <v>4.5007889346835098E-2</v>
      </c>
      <c r="C56">
        <v>4.7632291898301399E-2</v>
      </c>
      <c r="D56">
        <v>2.2658930308778699E-3</v>
      </c>
      <c r="E56" t="s">
        <v>1496</v>
      </c>
      <c r="F56" t="s">
        <v>1442</v>
      </c>
      <c r="G56">
        <v>35.363</v>
      </c>
      <c r="H56">
        <v>1.17010928649082E-2</v>
      </c>
      <c r="I56">
        <v>45.963000000000001</v>
      </c>
      <c r="J56">
        <v>5.6599255502098899E-4</v>
      </c>
      <c r="K56" t="s">
        <v>985</v>
      </c>
      <c r="L56" t="s">
        <v>931</v>
      </c>
    </row>
    <row r="57" spans="1:12" x14ac:dyDescent="0.35">
      <c r="A57">
        <v>2.6644627827705498E-2</v>
      </c>
      <c r="B57">
        <v>2.64126969592136E-2</v>
      </c>
      <c r="C57">
        <v>3.7969215238040602E-2</v>
      </c>
      <c r="D57">
        <v>-1.13086488994096E-3</v>
      </c>
      <c r="E57" t="s">
        <v>1497</v>
      </c>
      <c r="F57" t="s">
        <v>1442</v>
      </c>
      <c r="G57">
        <v>35.694000000000003</v>
      </c>
      <c r="H57">
        <v>9.3600656052936805E-3</v>
      </c>
      <c r="I57">
        <v>45.95</v>
      </c>
      <c r="J57">
        <v>-2.82836194330227E-4</v>
      </c>
      <c r="K57" t="s">
        <v>986</v>
      </c>
      <c r="L57" t="s">
        <v>931</v>
      </c>
    </row>
    <row r="58" spans="1:12" x14ac:dyDescent="0.35">
      <c r="A58">
        <v>4.3935723897537297E-2</v>
      </c>
      <c r="B58">
        <v>5.28225710519643E-2</v>
      </c>
      <c r="C58">
        <v>7.2018998740306803E-2</v>
      </c>
      <c r="D58">
        <v>4.3596665649268101E-3</v>
      </c>
      <c r="E58" t="s">
        <v>1498</v>
      </c>
      <c r="F58" t="s">
        <v>1442</v>
      </c>
      <c r="G58">
        <v>36.32</v>
      </c>
      <c r="H58">
        <v>1.7537961562167099E-2</v>
      </c>
      <c r="I58">
        <v>46</v>
      </c>
      <c r="J58">
        <v>1.0881392818280499E-3</v>
      </c>
      <c r="K58" t="s">
        <v>987</v>
      </c>
      <c r="L58" t="s">
        <v>931</v>
      </c>
    </row>
    <row r="59" spans="1:12" x14ac:dyDescent="0.35">
      <c r="A59">
        <v>3.93022623248813E-2</v>
      </c>
      <c r="B59">
        <v>4.0487191821635002E-2</v>
      </c>
      <c r="C59">
        <v>4.4330796852368702E-2</v>
      </c>
      <c r="D59">
        <v>1.4249428601276599E-2</v>
      </c>
      <c r="E59" t="s">
        <v>1499</v>
      </c>
      <c r="F59" t="s">
        <v>1442</v>
      </c>
      <c r="G59">
        <v>36.716000000000001</v>
      </c>
      <c r="H59">
        <v>1.09030837004405E-2</v>
      </c>
      <c r="I59">
        <v>46.162999999999997</v>
      </c>
      <c r="J59">
        <v>3.5434782608694299E-3</v>
      </c>
      <c r="K59" t="s">
        <v>988</v>
      </c>
      <c r="L59" t="s">
        <v>931</v>
      </c>
    </row>
    <row r="60" spans="1:12" x14ac:dyDescent="0.35">
      <c r="A60">
        <v>3.1206818640470101E-2</v>
      </c>
      <c r="B60">
        <v>6.08178890509075E-2</v>
      </c>
      <c r="C60">
        <v>4.3619950255883798E-2</v>
      </c>
      <c r="D60">
        <v>1.29734153291148E-2</v>
      </c>
      <c r="E60" t="s">
        <v>1500</v>
      </c>
      <c r="F60" t="s">
        <v>1442</v>
      </c>
      <c r="G60">
        <v>37.11</v>
      </c>
      <c r="H60">
        <v>1.07310164505936E-2</v>
      </c>
      <c r="I60">
        <v>46.311999999999998</v>
      </c>
      <c r="J60">
        <v>3.22769317418703E-3</v>
      </c>
      <c r="K60" t="s">
        <v>989</v>
      </c>
      <c r="L60" t="s">
        <v>931</v>
      </c>
    </row>
    <row r="61" spans="1:12" x14ac:dyDescent="0.35">
      <c r="A61">
        <v>2.4937045869749999E-2</v>
      </c>
      <c r="B61">
        <v>5.0188195911601098E-2</v>
      </c>
      <c r="C61">
        <v>4.8053419713626901E-2</v>
      </c>
      <c r="D61">
        <v>8.1435979249952998E-3</v>
      </c>
      <c r="E61" t="s">
        <v>1501</v>
      </c>
      <c r="F61" t="s">
        <v>1442</v>
      </c>
      <c r="G61">
        <v>37.548000000000002</v>
      </c>
      <c r="H61">
        <v>1.1802748585286999E-2</v>
      </c>
      <c r="I61">
        <v>46.405999999999999</v>
      </c>
      <c r="J61">
        <v>2.0297115218517198E-3</v>
      </c>
      <c r="K61" t="s">
        <v>990</v>
      </c>
      <c r="L61" t="s">
        <v>931</v>
      </c>
    </row>
    <row r="62" spans="1:12" x14ac:dyDescent="0.35">
      <c r="A62">
        <v>4.8021891562025902E-2</v>
      </c>
      <c r="B62">
        <v>-1.5869949670850401E-2</v>
      </c>
      <c r="C62">
        <v>5.3895269710959599E-2</v>
      </c>
      <c r="D62">
        <v>2.2424648618448499E-2</v>
      </c>
      <c r="E62" t="s">
        <v>1502</v>
      </c>
      <c r="F62" t="s">
        <v>1442</v>
      </c>
      <c r="G62">
        <v>38.043999999999997</v>
      </c>
      <c r="H62">
        <v>1.3209758176201E-2</v>
      </c>
      <c r="I62">
        <v>46.664000000000001</v>
      </c>
      <c r="J62">
        <v>5.5596259104426799E-3</v>
      </c>
      <c r="K62" t="s">
        <v>991</v>
      </c>
      <c r="L62" t="s">
        <v>931</v>
      </c>
    </row>
    <row r="63" spans="1:12" x14ac:dyDescent="0.35">
      <c r="A63">
        <v>3.2831975950411901E-2</v>
      </c>
      <c r="B63">
        <v>9.4485381047573203E-3</v>
      </c>
      <c r="C63">
        <v>4.6526948089148097E-2</v>
      </c>
      <c r="D63">
        <v>1.2400816449865701E-2</v>
      </c>
      <c r="E63" t="s">
        <v>1503</v>
      </c>
      <c r="F63" t="s">
        <v>1442</v>
      </c>
      <c r="G63">
        <v>38.478999999999999</v>
      </c>
      <c r="H63">
        <v>1.1434128903375E-2</v>
      </c>
      <c r="I63">
        <v>46.808</v>
      </c>
      <c r="J63">
        <v>3.0858906223212301E-3</v>
      </c>
      <c r="K63" t="s">
        <v>992</v>
      </c>
      <c r="L63" t="s">
        <v>931</v>
      </c>
    </row>
    <row r="64" spans="1:12" x14ac:dyDescent="0.35">
      <c r="A64">
        <v>3.1711964087017402E-2</v>
      </c>
      <c r="B64">
        <v>2.1519541922931699E-2</v>
      </c>
      <c r="C64">
        <v>3.7630817464174598E-2</v>
      </c>
      <c r="D64">
        <v>1.6508679737656601E-2</v>
      </c>
      <c r="E64" t="s">
        <v>1504</v>
      </c>
      <c r="F64" t="s">
        <v>1442</v>
      </c>
      <c r="G64">
        <v>38.835999999999999</v>
      </c>
      <c r="H64">
        <v>9.2777878843004497E-3</v>
      </c>
      <c r="I64">
        <v>47</v>
      </c>
      <c r="J64">
        <v>4.1018629294138397E-3</v>
      </c>
      <c r="K64" t="s">
        <v>993</v>
      </c>
      <c r="L64" t="s">
        <v>931</v>
      </c>
    </row>
    <row r="65" spans="1:12" x14ac:dyDescent="0.35">
      <c r="A65">
        <v>2.8237310351865798E-2</v>
      </c>
      <c r="B65">
        <v>2.6513418939119401E-2</v>
      </c>
      <c r="C65">
        <v>4.0884190168569902E-2</v>
      </c>
      <c r="D65">
        <v>2.40435812756121E-2</v>
      </c>
      <c r="E65" t="s">
        <v>1505</v>
      </c>
      <c r="F65" t="s">
        <v>1442</v>
      </c>
      <c r="G65">
        <v>39.226999999999997</v>
      </c>
      <c r="H65">
        <v>1.0067978164589601E-2</v>
      </c>
      <c r="I65">
        <v>47.28</v>
      </c>
      <c r="J65">
        <v>5.9574468085106204E-3</v>
      </c>
      <c r="K65" t="s">
        <v>994</v>
      </c>
      <c r="L65" t="s">
        <v>931</v>
      </c>
    </row>
    <row r="66" spans="1:12" x14ac:dyDescent="0.35">
      <c r="A66">
        <v>2.86487834236928E-2</v>
      </c>
      <c r="B66">
        <v>-1.00878062845416E-2</v>
      </c>
      <c r="C66">
        <v>1.47648166353573E-2</v>
      </c>
      <c r="D66">
        <v>2.5106061305751201E-2</v>
      </c>
      <c r="E66" t="s">
        <v>1506</v>
      </c>
      <c r="F66" t="s">
        <v>1442</v>
      </c>
      <c r="G66">
        <v>39.371000000000002</v>
      </c>
      <c r="H66">
        <v>3.6709409335409201E-3</v>
      </c>
      <c r="I66">
        <v>47.573999999999998</v>
      </c>
      <c r="J66">
        <v>6.2182741116749698E-3</v>
      </c>
      <c r="K66" t="s">
        <v>995</v>
      </c>
      <c r="L66" t="s">
        <v>931</v>
      </c>
    </row>
    <row r="67" spans="1:12" x14ac:dyDescent="0.35">
      <c r="A67">
        <v>-4.2153079272678803E-3</v>
      </c>
      <c r="B67">
        <v>-9.8843189037382002E-3</v>
      </c>
      <c r="C67">
        <v>1.2042523964300099E-2</v>
      </c>
      <c r="D67">
        <v>4.1753162692227598E-2</v>
      </c>
      <c r="E67" t="s">
        <v>1507</v>
      </c>
      <c r="F67" t="s">
        <v>1442</v>
      </c>
      <c r="G67">
        <v>39.488999999999997</v>
      </c>
      <c r="H67">
        <v>2.9971298671609401E-3</v>
      </c>
      <c r="I67">
        <v>48.063000000000002</v>
      </c>
      <c r="J67">
        <v>1.02787236725943E-2</v>
      </c>
      <c r="K67" t="s">
        <v>996</v>
      </c>
      <c r="L67" t="s">
        <v>931</v>
      </c>
    </row>
    <row r="68" spans="1:12" x14ac:dyDescent="0.35">
      <c r="A68">
        <v>2.1224970793817698E-2</v>
      </c>
      <c r="B68">
        <v>5.6401548408471199E-3</v>
      </c>
      <c r="C68">
        <v>3.4679470629119601E-2</v>
      </c>
      <c r="D68">
        <v>3.6953475595025202E-2</v>
      </c>
      <c r="E68" t="s">
        <v>1508</v>
      </c>
      <c r="F68" t="s">
        <v>1442</v>
      </c>
      <c r="G68">
        <v>39.826999999999998</v>
      </c>
      <c r="H68">
        <v>8.5593456405581598E-3</v>
      </c>
      <c r="I68">
        <v>48.500999999999998</v>
      </c>
      <c r="J68">
        <v>9.1130391361338194E-3</v>
      </c>
      <c r="K68" t="s">
        <v>997</v>
      </c>
      <c r="L68" t="s">
        <v>931</v>
      </c>
    </row>
    <row r="69" spans="1:12" x14ac:dyDescent="0.35">
      <c r="A69">
        <v>2.4413629868112598E-2</v>
      </c>
      <c r="B69">
        <v>4.55022354216461E-3</v>
      </c>
      <c r="C69">
        <v>5.3779833992726497E-2</v>
      </c>
      <c r="D69">
        <v>4.4006184582173501E-2</v>
      </c>
      <c r="E69" t="s">
        <v>1509</v>
      </c>
      <c r="F69" t="s">
        <v>1442</v>
      </c>
      <c r="G69">
        <v>40.351999999999997</v>
      </c>
      <c r="H69">
        <v>1.3182012202777E-2</v>
      </c>
      <c r="I69">
        <v>49.026000000000003</v>
      </c>
      <c r="J69">
        <v>1.08245190820808E-2</v>
      </c>
      <c r="K69" t="s">
        <v>998</v>
      </c>
      <c r="L69" t="s">
        <v>931</v>
      </c>
    </row>
    <row r="70" spans="1:12" x14ac:dyDescent="0.35">
      <c r="A70">
        <v>3.8220568833408297E-2</v>
      </c>
      <c r="B70">
        <v>-6.8268953681047701E-3</v>
      </c>
      <c r="C70">
        <v>6.6318650583382599E-2</v>
      </c>
      <c r="D70">
        <v>2.5866237951436302E-2</v>
      </c>
      <c r="E70" t="s">
        <v>1510</v>
      </c>
      <c r="F70" t="s">
        <v>1442</v>
      </c>
      <c r="G70">
        <v>41.005000000000003</v>
      </c>
      <c r="H70">
        <v>1.61825931800159E-2</v>
      </c>
      <c r="I70">
        <v>49.34</v>
      </c>
      <c r="J70">
        <v>6.4047648186675897E-3</v>
      </c>
      <c r="K70" t="s">
        <v>999</v>
      </c>
      <c r="L70" t="s">
        <v>931</v>
      </c>
    </row>
    <row r="71" spans="1:12" x14ac:dyDescent="0.35">
      <c r="A71">
        <v>3.9129087464599803E-2</v>
      </c>
      <c r="B71">
        <v>1.9164012541417402E-2</v>
      </c>
      <c r="C71">
        <v>5.3726223643289599E-2</v>
      </c>
      <c r="D71">
        <v>3.4070959420577702E-2</v>
      </c>
      <c r="E71" t="s">
        <v>1511</v>
      </c>
      <c r="F71" t="s">
        <v>1442</v>
      </c>
      <c r="G71">
        <v>41.545000000000002</v>
      </c>
      <c r="H71">
        <v>1.3169125716376E-2</v>
      </c>
      <c r="I71">
        <v>49.755000000000003</v>
      </c>
      <c r="J71">
        <v>8.4110255370895004E-3</v>
      </c>
      <c r="K71" t="s">
        <v>1000</v>
      </c>
      <c r="L71" t="s">
        <v>931</v>
      </c>
    </row>
    <row r="72" spans="1:12" x14ac:dyDescent="0.35">
      <c r="A72">
        <v>3.8454021368670203E-2</v>
      </c>
      <c r="B72">
        <v>2.9219770282175001E-2</v>
      </c>
      <c r="C72">
        <v>5.1713813262120399E-2</v>
      </c>
      <c r="D72">
        <v>3.6092988240003197E-2</v>
      </c>
      <c r="E72" t="s">
        <v>1512</v>
      </c>
      <c r="F72" t="s">
        <v>1442</v>
      </c>
      <c r="G72">
        <v>42.072000000000003</v>
      </c>
      <c r="H72">
        <v>1.2685040317727899E-2</v>
      </c>
      <c r="I72">
        <v>50.198</v>
      </c>
      <c r="J72">
        <v>8.9036277761027592E-3</v>
      </c>
      <c r="K72" t="s">
        <v>1001</v>
      </c>
      <c r="L72" t="s">
        <v>931</v>
      </c>
    </row>
    <row r="73" spans="1:12" x14ac:dyDescent="0.35">
      <c r="A73">
        <v>3.5013174112648898E-2</v>
      </c>
      <c r="B73">
        <v>8.3996255435596599E-3</v>
      </c>
      <c r="C73">
        <v>2.4659104438458999E-2</v>
      </c>
      <c r="D73">
        <v>2.13651369698558E-2</v>
      </c>
      <c r="E73" t="s">
        <v>1513</v>
      </c>
      <c r="F73" t="s">
        <v>1442</v>
      </c>
      <c r="G73">
        <v>42.329000000000001</v>
      </c>
      <c r="H73">
        <v>6.1085757748620103E-3</v>
      </c>
      <c r="I73">
        <v>50.463999999999999</v>
      </c>
      <c r="J73">
        <v>5.29901589704762E-3</v>
      </c>
      <c r="K73" t="s">
        <v>1002</v>
      </c>
      <c r="L73" t="s">
        <v>931</v>
      </c>
    </row>
    <row r="74" spans="1:12" x14ac:dyDescent="0.35">
      <c r="A74">
        <v>3.19577361885768E-2</v>
      </c>
      <c r="B74">
        <v>5.5666299963321703E-2</v>
      </c>
      <c r="C74">
        <v>1.7884305064996799E-2</v>
      </c>
      <c r="D74">
        <v>3.2571809116936898E-2</v>
      </c>
      <c r="E74" t="s">
        <v>1514</v>
      </c>
      <c r="F74" t="s">
        <v>1442</v>
      </c>
      <c r="G74">
        <v>42.517000000000003</v>
      </c>
      <c r="H74">
        <v>4.4413995133361101E-3</v>
      </c>
      <c r="I74">
        <v>50.87</v>
      </c>
      <c r="J74">
        <v>8.0453392517438899E-3</v>
      </c>
      <c r="K74" t="s">
        <v>1003</v>
      </c>
      <c r="L74" t="s">
        <v>931</v>
      </c>
    </row>
    <row r="75" spans="1:12" x14ac:dyDescent="0.35">
      <c r="A75">
        <v>4.4899260052234199E-2</v>
      </c>
      <c r="B75">
        <v>3.99278081765242E-2</v>
      </c>
      <c r="C75">
        <v>4.3789897152202203E-2</v>
      </c>
      <c r="D75">
        <v>2.2279292577718199E-2</v>
      </c>
      <c r="E75" t="s">
        <v>1515</v>
      </c>
      <c r="F75" t="s">
        <v>1442</v>
      </c>
      <c r="G75">
        <v>42.975000000000001</v>
      </c>
      <c r="H75">
        <v>1.0772161723545901E-2</v>
      </c>
      <c r="I75">
        <v>51.151000000000003</v>
      </c>
      <c r="J75">
        <v>5.5238844112444098E-3</v>
      </c>
      <c r="K75" t="s">
        <v>1004</v>
      </c>
      <c r="L75" t="s">
        <v>931</v>
      </c>
    </row>
    <row r="76" spans="1:12" x14ac:dyDescent="0.35">
      <c r="A76">
        <v>5.0215068802573502E-2</v>
      </c>
      <c r="B76">
        <v>2.3053377277420399E-2</v>
      </c>
      <c r="C76">
        <v>3.6032445200426998E-2</v>
      </c>
      <c r="D76">
        <v>2.6056753006691701E-2</v>
      </c>
      <c r="E76" t="s">
        <v>1516</v>
      </c>
      <c r="F76" t="s">
        <v>1442</v>
      </c>
      <c r="G76">
        <v>43.356999999999999</v>
      </c>
      <c r="H76">
        <v>8.8888888888889496E-3</v>
      </c>
      <c r="I76">
        <v>51.481000000000002</v>
      </c>
      <c r="J76">
        <v>6.45148677445206E-3</v>
      </c>
      <c r="K76" t="s">
        <v>1005</v>
      </c>
      <c r="L76" t="s">
        <v>931</v>
      </c>
    </row>
    <row r="77" spans="1:12" x14ac:dyDescent="0.35">
      <c r="A77">
        <v>4.1025346631292002E-2</v>
      </c>
      <c r="B77">
        <v>3.2561998713341901E-2</v>
      </c>
      <c r="C77">
        <v>5.2865449677459202E-2</v>
      </c>
      <c r="D77">
        <v>2.13020937510979E-2</v>
      </c>
      <c r="E77" t="s">
        <v>1517</v>
      </c>
      <c r="F77" t="s">
        <v>1442</v>
      </c>
      <c r="G77">
        <v>43.918999999999997</v>
      </c>
      <c r="H77">
        <v>1.29621514403671E-2</v>
      </c>
      <c r="I77">
        <v>51.753</v>
      </c>
      <c r="J77">
        <v>5.2835026514637101E-3</v>
      </c>
      <c r="K77" t="s">
        <v>1006</v>
      </c>
      <c r="L77" t="s">
        <v>931</v>
      </c>
    </row>
    <row r="78" spans="1:12" x14ac:dyDescent="0.35">
      <c r="A78">
        <v>4.6770164599538401E-2</v>
      </c>
      <c r="B78">
        <v>3.00519488200592E-2</v>
      </c>
      <c r="C78">
        <v>6.2050852369377699E-2</v>
      </c>
      <c r="D78">
        <v>1.9463013158635498E-2</v>
      </c>
      <c r="E78" t="s">
        <v>1518</v>
      </c>
      <c r="F78" t="s">
        <v>1442</v>
      </c>
      <c r="G78">
        <v>44.585000000000001</v>
      </c>
      <c r="H78">
        <v>1.5164279696714401E-2</v>
      </c>
      <c r="I78">
        <v>52.003</v>
      </c>
      <c r="J78">
        <v>4.8306378374200999E-3</v>
      </c>
      <c r="K78" t="s">
        <v>1007</v>
      </c>
      <c r="L78" t="s">
        <v>931</v>
      </c>
    </row>
    <row r="79" spans="1:12" x14ac:dyDescent="0.35">
      <c r="A79">
        <v>5.4994617531312101E-2</v>
      </c>
      <c r="B79">
        <v>2.9679316947533299E-2</v>
      </c>
      <c r="C79">
        <v>6.0821876360983101E-2</v>
      </c>
      <c r="D79">
        <v>3.2856918868300999E-2</v>
      </c>
      <c r="E79" t="s">
        <v>1519</v>
      </c>
      <c r="F79" t="s">
        <v>1442</v>
      </c>
      <c r="G79">
        <v>45.247999999999998</v>
      </c>
      <c r="H79">
        <v>1.48704721318829E-2</v>
      </c>
      <c r="I79">
        <v>52.424999999999997</v>
      </c>
      <c r="J79">
        <v>8.1149164471279196E-3</v>
      </c>
      <c r="K79" t="s">
        <v>1008</v>
      </c>
      <c r="L79" t="s">
        <v>931</v>
      </c>
    </row>
    <row r="80" spans="1:12" x14ac:dyDescent="0.35">
      <c r="A80">
        <v>2.3822978628153201E-2</v>
      </c>
      <c r="B80">
        <v>2.0057150963272801E-2</v>
      </c>
      <c r="C80">
        <v>3.9922896172757301E-2</v>
      </c>
      <c r="D80">
        <v>3.0012482573731999E-2</v>
      </c>
      <c r="E80" t="s">
        <v>1520</v>
      </c>
      <c r="F80" t="s">
        <v>1442</v>
      </c>
      <c r="G80">
        <v>45.692999999999998</v>
      </c>
      <c r="H80">
        <v>9.8346888260254506E-3</v>
      </c>
      <c r="I80">
        <v>52.814</v>
      </c>
      <c r="J80">
        <v>7.4201239866476002E-3</v>
      </c>
      <c r="K80" t="s">
        <v>1009</v>
      </c>
      <c r="L80" t="s">
        <v>931</v>
      </c>
    </row>
    <row r="81" spans="1:12" x14ac:dyDescent="0.35">
      <c r="A81">
        <v>3.1803231650019199E-2</v>
      </c>
      <c r="B81">
        <v>1.4432124176051201E-2</v>
      </c>
      <c r="C81">
        <v>6.0046453160524503E-2</v>
      </c>
      <c r="D81">
        <v>2.2222434897181301E-2</v>
      </c>
      <c r="E81" t="s">
        <v>1521</v>
      </c>
      <c r="F81" t="s">
        <v>1442</v>
      </c>
      <c r="G81">
        <v>46.363999999999997</v>
      </c>
      <c r="H81">
        <v>1.46849626857506E-2</v>
      </c>
      <c r="I81">
        <v>53.104999999999997</v>
      </c>
      <c r="J81">
        <v>5.5099026773204303E-3</v>
      </c>
      <c r="K81" t="s">
        <v>1010</v>
      </c>
      <c r="L81" t="s">
        <v>931</v>
      </c>
    </row>
    <row r="82" spans="1:12" x14ac:dyDescent="0.35">
      <c r="A82">
        <v>5.92740793130948E-2</v>
      </c>
      <c r="B82">
        <v>2.8330647899498702E-2</v>
      </c>
      <c r="C82">
        <v>6.4935137330784501E-2</v>
      </c>
      <c r="D82">
        <v>2.9085137772108E-2</v>
      </c>
      <c r="E82" t="s">
        <v>1522</v>
      </c>
      <c r="F82" t="s">
        <v>1442</v>
      </c>
      <c r="G82">
        <v>47.098999999999997</v>
      </c>
      <c r="H82">
        <v>1.5852816840652199E-2</v>
      </c>
      <c r="I82">
        <v>53.487000000000002</v>
      </c>
      <c r="J82">
        <v>7.1932962997835999E-3</v>
      </c>
      <c r="K82" t="s">
        <v>1011</v>
      </c>
      <c r="L82" t="s">
        <v>931</v>
      </c>
    </row>
    <row r="83" spans="1:12" x14ac:dyDescent="0.35">
      <c r="A83">
        <v>3.6833081072387398E-2</v>
      </c>
      <c r="B83">
        <v>7.0464261662823505E-2</v>
      </c>
      <c r="C83">
        <v>4.34077415784246E-2</v>
      </c>
      <c r="D83">
        <v>3.5768290293157798E-2</v>
      </c>
      <c r="E83" t="s">
        <v>1523</v>
      </c>
      <c r="F83" t="s">
        <v>1442</v>
      </c>
      <c r="G83">
        <v>47.601999999999997</v>
      </c>
      <c r="H83">
        <v>1.0679632263954599E-2</v>
      </c>
      <c r="I83">
        <v>53.959000000000003</v>
      </c>
      <c r="J83">
        <v>8.8245741955990092E-3</v>
      </c>
      <c r="K83" t="s">
        <v>1012</v>
      </c>
      <c r="L83" t="s">
        <v>931</v>
      </c>
    </row>
    <row r="84" spans="1:12" x14ac:dyDescent="0.35">
      <c r="A84">
        <v>5.1769155239957503E-2</v>
      </c>
      <c r="B84">
        <v>5.3870047588526803E-3</v>
      </c>
      <c r="C84">
        <v>5.9429132401131797E-2</v>
      </c>
      <c r="D84">
        <v>3.9413809912278698E-2</v>
      </c>
      <c r="E84" t="s">
        <v>1524</v>
      </c>
      <c r="F84" t="s">
        <v>1442</v>
      </c>
      <c r="G84">
        <v>48.293999999999997</v>
      </c>
      <c r="H84">
        <v>1.4537204319146299E-2</v>
      </c>
      <c r="I84">
        <v>54.482999999999997</v>
      </c>
      <c r="J84">
        <v>9.7110769287791499E-3</v>
      </c>
      <c r="K84" t="s">
        <v>1013</v>
      </c>
      <c r="L84" t="s">
        <v>931</v>
      </c>
    </row>
    <row r="85" spans="1:12" x14ac:dyDescent="0.35">
      <c r="A85">
        <v>5.3985249536158401E-2</v>
      </c>
      <c r="B85">
        <v>4.8480456964960797E-2</v>
      </c>
      <c r="C85">
        <v>7.7879333039596599E-2</v>
      </c>
      <c r="D85">
        <v>1.0688095589023601E-2</v>
      </c>
      <c r="E85" t="s">
        <v>1525</v>
      </c>
      <c r="F85" t="s">
        <v>1442</v>
      </c>
      <c r="G85">
        <v>49.207999999999998</v>
      </c>
      <c r="H85">
        <v>1.8925746469540702E-2</v>
      </c>
      <c r="I85">
        <v>54.628</v>
      </c>
      <c r="J85">
        <v>2.66138061413668E-3</v>
      </c>
      <c r="K85" t="s">
        <v>1014</v>
      </c>
      <c r="L85" t="s">
        <v>931</v>
      </c>
    </row>
    <row r="86" spans="1:12" x14ac:dyDescent="0.35">
      <c r="A86">
        <v>2.1158982786186002E-2</v>
      </c>
      <c r="B86">
        <v>3.6386290478485302E-2</v>
      </c>
      <c r="C86">
        <v>1.91574066493869E-2</v>
      </c>
      <c r="D86">
        <v>7.9315148019272197E-3</v>
      </c>
      <c r="E86" t="s">
        <v>1526</v>
      </c>
      <c r="F86" t="s">
        <v>1442</v>
      </c>
      <c r="G86">
        <v>49.442</v>
      </c>
      <c r="H86">
        <v>4.7553243375060301E-3</v>
      </c>
      <c r="I86">
        <v>54.735999999999997</v>
      </c>
      <c r="J86">
        <v>1.9770081276999601E-3</v>
      </c>
      <c r="K86" t="s">
        <v>1015</v>
      </c>
      <c r="L86" t="s">
        <v>931</v>
      </c>
    </row>
    <row r="87" spans="1:12" x14ac:dyDescent="0.35">
      <c r="A87">
        <v>2.2052154501282398E-2</v>
      </c>
      <c r="B87">
        <v>1.9883287825612099E-2</v>
      </c>
      <c r="C87">
        <v>2.5316754451185201E-2</v>
      </c>
      <c r="D87">
        <v>2.0767815828135701E-2</v>
      </c>
      <c r="E87" t="s">
        <v>1527</v>
      </c>
      <c r="F87" t="s">
        <v>1442</v>
      </c>
      <c r="G87">
        <v>49.752000000000002</v>
      </c>
      <c r="H87">
        <v>6.2699728975366097E-3</v>
      </c>
      <c r="I87">
        <v>55.018000000000001</v>
      </c>
      <c r="J87">
        <v>5.1520023384976597E-3</v>
      </c>
      <c r="K87" t="s">
        <v>1016</v>
      </c>
      <c r="L87" t="s">
        <v>931</v>
      </c>
    </row>
    <row r="88" spans="1:12" x14ac:dyDescent="0.35">
      <c r="A88">
        <v>2.7438615126695699E-2</v>
      </c>
      <c r="B88">
        <v>5.2374465161812503E-2</v>
      </c>
      <c r="C88">
        <v>3.8739820782161899E-2</v>
      </c>
      <c r="D88">
        <v>1.0657034721188501E-2</v>
      </c>
      <c r="E88" t="s">
        <v>1528</v>
      </c>
      <c r="F88" t="s">
        <v>1442</v>
      </c>
      <c r="G88">
        <v>50.226999999999997</v>
      </c>
      <c r="H88">
        <v>9.5473548802056402E-3</v>
      </c>
      <c r="I88">
        <v>55.164000000000001</v>
      </c>
      <c r="J88">
        <v>2.6536769784435399E-3</v>
      </c>
      <c r="K88" t="s">
        <v>1017</v>
      </c>
      <c r="L88" t="s">
        <v>931</v>
      </c>
    </row>
    <row r="89" spans="1:12" x14ac:dyDescent="0.35">
      <c r="A89">
        <v>2.9370792816648401E-2</v>
      </c>
      <c r="B89">
        <v>4.1076934031538899E-2</v>
      </c>
      <c r="C89">
        <v>4.6254885206873202E-2</v>
      </c>
      <c r="D89">
        <v>-9.9690396175571294E-3</v>
      </c>
      <c r="E89" t="s">
        <v>1529</v>
      </c>
      <c r="F89" t="s">
        <v>1442</v>
      </c>
      <c r="G89">
        <v>50.798000000000002</v>
      </c>
      <c r="H89">
        <v>1.13683875206563E-2</v>
      </c>
      <c r="I89">
        <v>55.026000000000003</v>
      </c>
      <c r="J89">
        <v>-2.5016314988035599E-3</v>
      </c>
      <c r="K89" t="s">
        <v>1018</v>
      </c>
      <c r="L89" t="s">
        <v>931</v>
      </c>
    </row>
    <row r="90" spans="1:12" x14ac:dyDescent="0.35">
      <c r="A90">
        <v>2.5261592124571599E-2</v>
      </c>
      <c r="B90">
        <v>5.8581566563336001E-3</v>
      </c>
      <c r="C90">
        <v>3.8335869645315497E-2</v>
      </c>
      <c r="D90">
        <v>-1.04267601108922E-2</v>
      </c>
      <c r="E90" t="s">
        <v>1530</v>
      </c>
      <c r="F90" t="s">
        <v>1442</v>
      </c>
      <c r="G90">
        <v>51.277999999999999</v>
      </c>
      <c r="H90">
        <v>9.4491909130280903E-3</v>
      </c>
      <c r="I90">
        <v>54.881999999999998</v>
      </c>
      <c r="J90">
        <v>-2.61694471704299E-3</v>
      </c>
      <c r="K90" t="s">
        <v>1019</v>
      </c>
      <c r="L90" t="s">
        <v>931</v>
      </c>
    </row>
    <row r="91" spans="1:12" x14ac:dyDescent="0.35">
      <c r="A91">
        <v>2.6883329197386899E-2</v>
      </c>
      <c r="B91">
        <v>1.4672046081608801E-2</v>
      </c>
      <c r="C91">
        <v>5.5488923116520997E-2</v>
      </c>
      <c r="D91">
        <v>1.90848323659343E-2</v>
      </c>
      <c r="E91" t="s">
        <v>1531</v>
      </c>
      <c r="F91" t="s">
        <v>1442</v>
      </c>
      <c r="G91">
        <v>51.975000000000001</v>
      </c>
      <c r="H91">
        <v>1.35925738133313E-2</v>
      </c>
      <c r="I91">
        <v>55.142000000000003</v>
      </c>
      <c r="J91">
        <v>4.7374366823367299E-3</v>
      </c>
      <c r="K91" t="s">
        <v>1020</v>
      </c>
      <c r="L91" t="s">
        <v>931</v>
      </c>
    </row>
    <row r="92" spans="1:12" x14ac:dyDescent="0.35">
      <c r="A92">
        <v>2.57889573012124E-2</v>
      </c>
      <c r="B92">
        <v>3.5352763805176303E-2</v>
      </c>
      <c r="C92">
        <v>3.4689577494526398E-2</v>
      </c>
      <c r="D92">
        <v>8.1492648352745594E-3</v>
      </c>
      <c r="E92" t="s">
        <v>1532</v>
      </c>
      <c r="F92" t="s">
        <v>1442</v>
      </c>
      <c r="G92">
        <v>52.42</v>
      </c>
      <c r="H92">
        <v>8.5618085618086592E-3</v>
      </c>
      <c r="I92">
        <v>55.253999999999998</v>
      </c>
      <c r="J92">
        <v>2.03111965470959E-3</v>
      </c>
      <c r="K92" t="s">
        <v>1021</v>
      </c>
      <c r="L92" t="s">
        <v>931</v>
      </c>
    </row>
    <row r="93" spans="1:12" x14ac:dyDescent="0.35">
      <c r="A93">
        <v>2.8170464275272301E-2</v>
      </c>
      <c r="B93">
        <v>2.5395981622951001E-2</v>
      </c>
      <c r="C93">
        <v>2.9547347848341E-2</v>
      </c>
      <c r="D93">
        <v>1.8368205985927599E-2</v>
      </c>
      <c r="E93" t="s">
        <v>1533</v>
      </c>
      <c r="F93" t="s">
        <v>1442</v>
      </c>
      <c r="G93">
        <v>52.802999999999997</v>
      </c>
      <c r="H93">
        <v>7.3063716138877001E-3</v>
      </c>
      <c r="I93">
        <v>55.506</v>
      </c>
      <c r="J93">
        <v>4.5607557823867896E-3</v>
      </c>
      <c r="K93" t="s">
        <v>1022</v>
      </c>
      <c r="L93" t="s">
        <v>931</v>
      </c>
    </row>
    <row r="94" spans="1:12" x14ac:dyDescent="0.35">
      <c r="A94">
        <v>2.40619409805858E-2</v>
      </c>
      <c r="B94">
        <v>9.9983702538513092E-3</v>
      </c>
      <c r="C94">
        <v>2.2073085991106502E-2</v>
      </c>
      <c r="D94">
        <v>3.0096377482488099E-2</v>
      </c>
      <c r="E94" t="s">
        <v>1534</v>
      </c>
      <c r="F94" t="s">
        <v>1442</v>
      </c>
      <c r="G94">
        <v>53.091999999999999</v>
      </c>
      <c r="H94">
        <v>5.4731738726967504E-3</v>
      </c>
      <c r="I94">
        <v>55.918999999999997</v>
      </c>
      <c r="J94">
        <v>7.4406370482469298E-3</v>
      </c>
      <c r="K94" t="s">
        <v>1023</v>
      </c>
      <c r="L94" t="s">
        <v>931</v>
      </c>
    </row>
    <row r="95" spans="1:12" x14ac:dyDescent="0.35">
      <c r="A95">
        <v>2.70873737268695E-2</v>
      </c>
      <c r="B95">
        <v>1.7716185249098602E-2</v>
      </c>
      <c r="C95">
        <v>2.3867747826854101E-2</v>
      </c>
      <c r="D95">
        <v>2.3524161594785199E-2</v>
      </c>
      <c r="E95" t="s">
        <v>1535</v>
      </c>
      <c r="F95" t="s">
        <v>1442</v>
      </c>
      <c r="G95">
        <v>53.405999999999999</v>
      </c>
      <c r="H95">
        <v>5.91426203571155E-3</v>
      </c>
      <c r="I95">
        <v>56.244999999999997</v>
      </c>
      <c r="J95">
        <v>5.8298610490172802E-3</v>
      </c>
      <c r="K95" t="s">
        <v>1024</v>
      </c>
      <c r="L95" t="s">
        <v>931</v>
      </c>
    </row>
    <row r="96" spans="1:12" x14ac:dyDescent="0.35">
      <c r="A96">
        <v>1.7542540867755401E-2</v>
      </c>
      <c r="B96">
        <v>2.9283418694515902E-2</v>
      </c>
      <c r="C96">
        <v>1.3096071782226999E-2</v>
      </c>
      <c r="D96">
        <v>4.0598599880798903E-3</v>
      </c>
      <c r="E96" t="s">
        <v>1536</v>
      </c>
      <c r="F96" t="s">
        <v>1442</v>
      </c>
      <c r="G96">
        <v>53.58</v>
      </c>
      <c r="H96">
        <v>3.2580608920345102E-3</v>
      </c>
      <c r="I96">
        <v>56.302</v>
      </c>
      <c r="J96">
        <v>1.01342341541466E-3</v>
      </c>
      <c r="K96" t="s">
        <v>1025</v>
      </c>
      <c r="L96" t="s">
        <v>931</v>
      </c>
    </row>
    <row r="97" spans="1:12" x14ac:dyDescent="0.35">
      <c r="A97">
        <v>2.3240038949048102E-2</v>
      </c>
      <c r="B97">
        <v>3.6370296177081797E-2</v>
      </c>
      <c r="C97">
        <v>2.0612838101556001E-2</v>
      </c>
      <c r="D97">
        <v>1.8816279960193898E-2</v>
      </c>
      <c r="E97" t="s">
        <v>1537</v>
      </c>
      <c r="F97" t="s">
        <v>1442</v>
      </c>
      <c r="G97">
        <v>53.853999999999999</v>
      </c>
      <c r="H97">
        <v>5.1138484509145599E-3</v>
      </c>
      <c r="I97">
        <v>56.564999999999998</v>
      </c>
      <c r="J97">
        <v>4.6712372562254202E-3</v>
      </c>
      <c r="K97" t="s">
        <v>1026</v>
      </c>
      <c r="L97" t="s">
        <v>931</v>
      </c>
    </row>
    <row r="98" spans="1:12" x14ac:dyDescent="0.35">
      <c r="A98">
        <v>1.4387423449919501E-2</v>
      </c>
      <c r="B98">
        <v>1.8449816517922799E-2</v>
      </c>
      <c r="C98">
        <v>3.3921123111567301E-2</v>
      </c>
      <c r="D98">
        <v>2.9526755688726598E-2</v>
      </c>
      <c r="E98" t="s">
        <v>1538</v>
      </c>
      <c r="F98" t="s">
        <v>1442</v>
      </c>
      <c r="G98">
        <v>54.305</v>
      </c>
      <c r="H98">
        <v>8.3744940023024999E-3</v>
      </c>
      <c r="I98">
        <v>56.978000000000002</v>
      </c>
      <c r="J98">
        <v>7.3013347476356101E-3</v>
      </c>
      <c r="K98" t="s">
        <v>1027</v>
      </c>
      <c r="L98" t="s">
        <v>931</v>
      </c>
    </row>
    <row r="99" spans="1:12" x14ac:dyDescent="0.35">
      <c r="A99">
        <v>2.2496438657089599E-2</v>
      </c>
      <c r="B99">
        <v>3.3991498444716703E-2</v>
      </c>
      <c r="C99">
        <v>2.3479894269272002E-2</v>
      </c>
      <c r="D99">
        <v>1.7453105874537699E-2</v>
      </c>
      <c r="E99" t="s">
        <v>1539</v>
      </c>
      <c r="F99" t="s">
        <v>1442</v>
      </c>
      <c r="G99">
        <v>54.621000000000002</v>
      </c>
      <c r="H99">
        <v>5.8189853604639899E-3</v>
      </c>
      <c r="I99">
        <v>57.225000000000001</v>
      </c>
      <c r="J99">
        <v>4.3350064937344203E-3</v>
      </c>
      <c r="K99" t="s">
        <v>1028</v>
      </c>
      <c r="L99" t="s">
        <v>931</v>
      </c>
    </row>
    <row r="100" spans="1:12" x14ac:dyDescent="0.35">
      <c r="A100">
        <v>2.90726218207682E-2</v>
      </c>
      <c r="B100">
        <v>2.3185974053502999E-2</v>
      </c>
      <c r="C100">
        <v>3.5391871305663798E-2</v>
      </c>
      <c r="D100">
        <v>3.5482240520336501E-2</v>
      </c>
      <c r="E100" t="s">
        <v>1540</v>
      </c>
      <c r="F100" t="s">
        <v>1442</v>
      </c>
      <c r="G100">
        <v>55.097999999999999</v>
      </c>
      <c r="H100">
        <v>8.7329049266764401E-3</v>
      </c>
      <c r="I100">
        <v>57.725999999999999</v>
      </c>
      <c r="J100">
        <v>8.7549148099605994E-3</v>
      </c>
      <c r="K100" t="s">
        <v>1029</v>
      </c>
      <c r="L100" t="s">
        <v>931</v>
      </c>
    </row>
    <row r="101" spans="1:12" x14ac:dyDescent="0.35">
      <c r="A101">
        <v>1.88663260541506E-2</v>
      </c>
      <c r="B101">
        <v>3.3254108726641599E-2</v>
      </c>
      <c r="C101">
        <v>3.4634574022881899E-2</v>
      </c>
      <c r="D101">
        <v>3.3748767658719397E-2</v>
      </c>
      <c r="E101" t="s">
        <v>1541</v>
      </c>
      <c r="F101" t="s">
        <v>1442</v>
      </c>
      <c r="G101">
        <v>55.569000000000003</v>
      </c>
      <c r="H101">
        <v>8.5484046607862095E-3</v>
      </c>
      <c r="I101">
        <v>58.207000000000001</v>
      </c>
      <c r="J101">
        <v>8.3324671725046907E-3</v>
      </c>
      <c r="K101" t="s">
        <v>1030</v>
      </c>
      <c r="L101" t="s">
        <v>931</v>
      </c>
    </row>
    <row r="102" spans="1:12" x14ac:dyDescent="0.35">
      <c r="A102">
        <v>1.9752209109685798E-2</v>
      </c>
      <c r="B102">
        <v>3.4122786590531799E-2</v>
      </c>
      <c r="C102">
        <v>1.8555272424330301E-2</v>
      </c>
      <c r="D102">
        <v>4.0528253340275301E-2</v>
      </c>
      <c r="E102" t="s">
        <v>1542</v>
      </c>
      <c r="F102" t="s">
        <v>1442</v>
      </c>
      <c r="G102">
        <v>55.825000000000003</v>
      </c>
      <c r="H102">
        <v>4.6068851337977001E-3</v>
      </c>
      <c r="I102">
        <v>58.787999999999997</v>
      </c>
      <c r="J102">
        <v>9.9816173312487991E-3</v>
      </c>
      <c r="K102" t="s">
        <v>1031</v>
      </c>
      <c r="L102" t="s">
        <v>931</v>
      </c>
    </row>
    <row r="103" spans="1:12" x14ac:dyDescent="0.35">
      <c r="A103">
        <v>2.3426148348960799E-2</v>
      </c>
      <c r="B103">
        <v>2.6924495262994098E-2</v>
      </c>
      <c r="C103">
        <v>3.10950653969519E-2</v>
      </c>
      <c r="D103">
        <v>2.8884969324625399E-2</v>
      </c>
      <c r="E103" t="s">
        <v>1543</v>
      </c>
      <c r="F103" t="s">
        <v>1442</v>
      </c>
      <c r="G103">
        <v>56.253999999999998</v>
      </c>
      <c r="H103">
        <v>7.6847290640393896E-3</v>
      </c>
      <c r="I103">
        <v>59.207999999999998</v>
      </c>
      <c r="J103">
        <v>7.1443151663605998E-3</v>
      </c>
      <c r="K103" t="s">
        <v>1032</v>
      </c>
      <c r="L103" t="s">
        <v>931</v>
      </c>
    </row>
    <row r="104" spans="1:12" x14ac:dyDescent="0.35">
      <c r="A104">
        <v>1.6481276503132601E-2</v>
      </c>
      <c r="B104">
        <v>2.0844963333619401E-2</v>
      </c>
      <c r="C104">
        <v>1.5303746558651399E-2</v>
      </c>
      <c r="D104">
        <v>2.2275298720186399E-2</v>
      </c>
      <c r="E104" t="s">
        <v>1544</v>
      </c>
      <c r="F104" t="s">
        <v>1442</v>
      </c>
      <c r="G104">
        <v>56.468000000000004</v>
      </c>
      <c r="H104">
        <v>3.8041739254097702E-3</v>
      </c>
      <c r="I104">
        <v>59.534999999999997</v>
      </c>
      <c r="J104">
        <v>5.5229023104985701E-3</v>
      </c>
      <c r="K104" t="s">
        <v>1033</v>
      </c>
      <c r="L104" t="s">
        <v>931</v>
      </c>
    </row>
    <row r="105" spans="1:12" x14ac:dyDescent="0.35">
      <c r="A105">
        <v>1.77105887350755E-2</v>
      </c>
      <c r="B105">
        <v>5.6392491810183902E-2</v>
      </c>
      <c r="C105">
        <v>1.3670147091618101E-2</v>
      </c>
      <c r="D105">
        <v>2.3245190160411201E-2</v>
      </c>
      <c r="E105" t="s">
        <v>1545</v>
      </c>
      <c r="F105" t="s">
        <v>1442</v>
      </c>
      <c r="G105">
        <v>56.66</v>
      </c>
      <c r="H105">
        <v>3.4001558404759299E-3</v>
      </c>
      <c r="I105">
        <v>59.878</v>
      </c>
      <c r="J105">
        <v>5.7613168724279804E-3</v>
      </c>
      <c r="K105" t="s">
        <v>1034</v>
      </c>
      <c r="L105" t="s">
        <v>931</v>
      </c>
    </row>
    <row r="106" spans="1:12" x14ac:dyDescent="0.35">
      <c r="A106">
        <v>2.24149830534284E-2</v>
      </c>
      <c r="B106">
        <v>9.43340099661172E-3</v>
      </c>
      <c r="C106">
        <v>4.4785324127958097E-2</v>
      </c>
      <c r="D106">
        <v>2.1616654614663E-2</v>
      </c>
      <c r="E106" t="s">
        <v>1546</v>
      </c>
      <c r="F106" t="s">
        <v>1442</v>
      </c>
      <c r="G106">
        <v>57.283999999999999</v>
      </c>
      <c r="H106">
        <v>1.1013060360042499E-2</v>
      </c>
      <c r="I106">
        <v>60.198999999999998</v>
      </c>
      <c r="J106">
        <v>5.3609004976786804E-3</v>
      </c>
      <c r="K106" t="s">
        <v>1035</v>
      </c>
      <c r="L106" t="s">
        <v>931</v>
      </c>
    </row>
    <row r="107" spans="1:12" x14ac:dyDescent="0.35">
      <c r="A107">
        <v>2.7006131410312901E-2</v>
      </c>
      <c r="B107">
        <v>-2.1272525988481301E-2</v>
      </c>
      <c r="C107">
        <v>5.7381634098421204E-3</v>
      </c>
      <c r="D107">
        <v>4.4593389946305803E-3</v>
      </c>
      <c r="E107" t="s">
        <v>1547</v>
      </c>
      <c r="F107" t="s">
        <v>1442</v>
      </c>
      <c r="G107">
        <v>57.366</v>
      </c>
      <c r="H107">
        <v>1.4314642832204999E-3</v>
      </c>
      <c r="I107">
        <v>60.265999999999998</v>
      </c>
      <c r="J107">
        <v>1.1129752985929999E-3</v>
      </c>
      <c r="K107" t="s">
        <v>1036</v>
      </c>
      <c r="L107" t="s">
        <v>931</v>
      </c>
    </row>
    <row r="108" spans="1:12" x14ac:dyDescent="0.35">
      <c r="A108">
        <v>1.7195373350960198E-2</v>
      </c>
      <c r="B108">
        <v>2.3444846886997699E-2</v>
      </c>
      <c r="C108">
        <v>2.6760970425558899E-2</v>
      </c>
      <c r="D108">
        <v>1.9993530620905801E-2</v>
      </c>
      <c r="E108" t="s">
        <v>1548</v>
      </c>
      <c r="F108" t="s">
        <v>1442</v>
      </c>
      <c r="G108">
        <v>57.746000000000002</v>
      </c>
      <c r="H108">
        <v>6.62413276156615E-3</v>
      </c>
      <c r="I108">
        <v>60.564999999999998</v>
      </c>
      <c r="J108">
        <v>4.9613380678989998E-3</v>
      </c>
      <c r="K108" t="s">
        <v>1037</v>
      </c>
      <c r="L108" t="s">
        <v>931</v>
      </c>
    </row>
    <row r="109" spans="1:12" x14ac:dyDescent="0.35">
      <c r="A109">
        <v>2.7544322225657499E-2</v>
      </c>
      <c r="B109">
        <v>1.3803868113502E-2</v>
      </c>
      <c r="C109">
        <v>3.2814056779429501E-2</v>
      </c>
      <c r="D109">
        <v>1.3007743413415899E-2</v>
      </c>
      <c r="E109" t="s">
        <v>1549</v>
      </c>
      <c r="F109" t="s">
        <v>1442</v>
      </c>
      <c r="G109">
        <v>58.213999999999999</v>
      </c>
      <c r="H109">
        <v>8.1044574515982699E-3</v>
      </c>
      <c r="I109">
        <v>60.761000000000003</v>
      </c>
      <c r="J109">
        <v>3.2361925204327201E-3</v>
      </c>
      <c r="K109" t="s">
        <v>1038</v>
      </c>
      <c r="L109" t="s">
        <v>931</v>
      </c>
    </row>
    <row r="110" spans="1:12" x14ac:dyDescent="0.35">
      <c r="A110">
        <v>1.7773223680601899E-2</v>
      </c>
      <c r="B110">
        <v>1.36962800731413E-2</v>
      </c>
      <c r="C110">
        <v>2.76992412803541E-2</v>
      </c>
      <c r="D110">
        <v>2.2772194889475902E-2</v>
      </c>
      <c r="E110" t="s">
        <v>1550</v>
      </c>
      <c r="F110" t="s">
        <v>1442</v>
      </c>
      <c r="G110">
        <v>58.613</v>
      </c>
      <c r="H110">
        <v>6.8540213694301402E-3</v>
      </c>
      <c r="I110">
        <v>61.103999999999999</v>
      </c>
      <c r="J110">
        <v>5.6450683826796402E-3</v>
      </c>
      <c r="K110" t="s">
        <v>1039</v>
      </c>
      <c r="L110" t="s">
        <v>931</v>
      </c>
    </row>
    <row r="111" spans="1:12" x14ac:dyDescent="0.35">
      <c r="A111">
        <v>1.0067171002752701E-2</v>
      </c>
      <c r="B111">
        <v>2.65913479501769E-2</v>
      </c>
      <c r="C111">
        <v>9.5884799897107999E-3</v>
      </c>
      <c r="D111">
        <v>2.7578432526699701E-2</v>
      </c>
      <c r="E111" t="s">
        <v>1551</v>
      </c>
      <c r="F111" t="s">
        <v>1442</v>
      </c>
      <c r="G111">
        <v>58.753</v>
      </c>
      <c r="H111">
        <v>2.3885486154948698E-3</v>
      </c>
      <c r="I111">
        <v>61.521000000000001</v>
      </c>
      <c r="J111">
        <v>6.8244304791831301E-3</v>
      </c>
      <c r="K111" t="s">
        <v>1040</v>
      </c>
      <c r="L111" t="s">
        <v>931</v>
      </c>
    </row>
    <row r="112" spans="1:12" x14ac:dyDescent="0.35">
      <c r="A112">
        <v>1.05839184448571E-2</v>
      </c>
      <c r="B112">
        <v>9.2223862003817398E-3</v>
      </c>
      <c r="C112">
        <v>1.9268623425193102E-2</v>
      </c>
      <c r="D112">
        <v>1.0181522541022199E-2</v>
      </c>
      <c r="E112" t="s">
        <v>1552</v>
      </c>
      <c r="F112" t="s">
        <v>1442</v>
      </c>
      <c r="G112">
        <v>59.033999999999999</v>
      </c>
      <c r="H112">
        <v>4.7827344986639498E-3</v>
      </c>
      <c r="I112">
        <v>61.677</v>
      </c>
      <c r="J112">
        <v>2.5357195104109801E-3</v>
      </c>
      <c r="K112" t="s">
        <v>1041</v>
      </c>
      <c r="L112" t="s">
        <v>931</v>
      </c>
    </row>
    <row r="113" spans="1:12" x14ac:dyDescent="0.35">
      <c r="A113">
        <v>1.26121897911931E-2</v>
      </c>
      <c r="B113">
        <v>2.8333969394931401E-2</v>
      </c>
      <c r="C113">
        <v>3.3061309623051399E-2</v>
      </c>
      <c r="D113">
        <v>2.5996696664996499E-2</v>
      </c>
      <c r="E113" t="s">
        <v>1553</v>
      </c>
      <c r="F113" t="s">
        <v>1442</v>
      </c>
      <c r="G113">
        <v>59.515999999999998</v>
      </c>
      <c r="H113">
        <v>8.1647863942813093E-3</v>
      </c>
      <c r="I113">
        <v>62.073999999999998</v>
      </c>
      <c r="J113">
        <v>6.4367592457479396E-3</v>
      </c>
      <c r="K113" t="s">
        <v>1042</v>
      </c>
      <c r="L113" t="s">
        <v>931</v>
      </c>
    </row>
    <row r="114" spans="1:12" x14ac:dyDescent="0.35">
      <c r="A114">
        <v>3.2090280398078302E-4</v>
      </c>
      <c r="B114">
        <v>-1.66473304304918E-2</v>
      </c>
      <c r="C114">
        <v>6.3326118015940604E-3</v>
      </c>
      <c r="D114">
        <v>1.3539104320199301E-3</v>
      </c>
      <c r="E114" t="s">
        <v>1554</v>
      </c>
      <c r="F114" t="s">
        <v>1442</v>
      </c>
      <c r="G114">
        <v>59.61</v>
      </c>
      <c r="H114">
        <v>1.57940721822714E-3</v>
      </c>
      <c r="I114">
        <v>62.094999999999999</v>
      </c>
      <c r="J114">
        <v>3.3830589296646201E-4</v>
      </c>
      <c r="K114" t="s">
        <v>1043</v>
      </c>
      <c r="L114" t="s">
        <v>931</v>
      </c>
    </row>
    <row r="115" spans="1:12" x14ac:dyDescent="0.35">
      <c r="A115">
        <v>7.2384308298694099E-3</v>
      </c>
      <c r="B115">
        <v>2.5981704959145799E-2</v>
      </c>
      <c r="C115">
        <v>2.14418814289523E-2</v>
      </c>
      <c r="D115">
        <v>2.5146473935451202E-3</v>
      </c>
      <c r="E115" t="s">
        <v>1555</v>
      </c>
      <c r="F115" t="s">
        <v>1442</v>
      </c>
      <c r="G115">
        <v>59.927</v>
      </c>
      <c r="H115">
        <v>5.3178996812615099E-3</v>
      </c>
      <c r="I115">
        <v>62.134</v>
      </c>
      <c r="J115">
        <v>6.2806989290598004E-4</v>
      </c>
      <c r="K115" t="s">
        <v>1044</v>
      </c>
      <c r="L115" t="s">
        <v>931</v>
      </c>
    </row>
    <row r="116" spans="1:12" x14ac:dyDescent="0.35">
      <c r="A116">
        <v>1.2387156771827E-2</v>
      </c>
      <c r="B116">
        <v>2.6407820145390601E-2</v>
      </c>
      <c r="C116">
        <v>3.1605845001569703E-2</v>
      </c>
      <c r="D116">
        <v>2.4885302644445099E-2</v>
      </c>
      <c r="E116" t="s">
        <v>1556</v>
      </c>
      <c r="F116" t="s">
        <v>1442</v>
      </c>
      <c r="G116">
        <v>60.395000000000003</v>
      </c>
      <c r="H116">
        <v>7.8095015602317498E-3</v>
      </c>
      <c r="I116">
        <v>62.517000000000003</v>
      </c>
      <c r="J116">
        <v>6.1640969517495802E-3</v>
      </c>
      <c r="K116" t="s">
        <v>1045</v>
      </c>
      <c r="L116" t="s">
        <v>931</v>
      </c>
    </row>
    <row r="117" spans="1:12" x14ac:dyDescent="0.35">
      <c r="A117">
        <v>1.0631455336088899E-2</v>
      </c>
      <c r="B117">
        <v>1.29075602616771E-2</v>
      </c>
      <c r="C117">
        <v>3.6519198475668799E-2</v>
      </c>
      <c r="D117">
        <v>2.2777873103542599E-2</v>
      </c>
      <c r="E117" t="s">
        <v>1557</v>
      </c>
      <c r="F117" t="s">
        <v>1442</v>
      </c>
      <c r="G117">
        <v>60.939</v>
      </c>
      <c r="H117">
        <v>9.0073681596158899E-3</v>
      </c>
      <c r="I117">
        <v>62.87</v>
      </c>
      <c r="J117">
        <v>5.6464641617479704E-3</v>
      </c>
      <c r="K117" t="s">
        <v>1046</v>
      </c>
      <c r="L117" t="s">
        <v>931</v>
      </c>
    </row>
    <row r="118" spans="1:12" x14ac:dyDescent="0.35">
      <c r="A118">
        <v>7.8778546175835001E-3</v>
      </c>
      <c r="B118">
        <v>1.19346323256166E-2</v>
      </c>
      <c r="C118">
        <v>3.4639204699016303E-2</v>
      </c>
      <c r="D118">
        <v>1.61297394114919E-2</v>
      </c>
      <c r="E118" t="s">
        <v>1558</v>
      </c>
      <c r="F118" t="s">
        <v>1442</v>
      </c>
      <c r="G118">
        <v>61.46</v>
      </c>
      <c r="H118">
        <v>8.5495331396971998E-3</v>
      </c>
      <c r="I118">
        <v>63.122</v>
      </c>
      <c r="J118">
        <v>4.0082710354700799E-3</v>
      </c>
      <c r="K118" t="s">
        <v>1047</v>
      </c>
      <c r="L118" t="s">
        <v>931</v>
      </c>
    </row>
    <row r="119" spans="1:12" x14ac:dyDescent="0.35">
      <c r="A119">
        <v>2.2971603454798002E-2</v>
      </c>
      <c r="B119">
        <v>3.4068264295770097E-2</v>
      </c>
      <c r="C119">
        <v>6.1370356227924201E-2</v>
      </c>
      <c r="D119">
        <v>2.99883116478201E-2</v>
      </c>
      <c r="E119" t="s">
        <v>1559</v>
      </c>
      <c r="F119" t="s">
        <v>1442</v>
      </c>
      <c r="G119">
        <v>62.381999999999998</v>
      </c>
      <c r="H119">
        <v>1.5001627074519901E-2</v>
      </c>
      <c r="I119">
        <v>63.59</v>
      </c>
      <c r="J119">
        <v>7.4142137448116596E-3</v>
      </c>
      <c r="K119" t="s">
        <v>1048</v>
      </c>
      <c r="L119" t="s">
        <v>931</v>
      </c>
    </row>
    <row r="120" spans="1:12" x14ac:dyDescent="0.35">
      <c r="A120">
        <v>2.21977740334749E-2</v>
      </c>
      <c r="B120">
        <v>3.6824162588046098E-2</v>
      </c>
      <c r="C120">
        <v>5.6562220210462498E-2</v>
      </c>
      <c r="D120">
        <v>1.6964868305367399E-2</v>
      </c>
      <c r="E120" t="s">
        <v>1560</v>
      </c>
      <c r="F120" t="s">
        <v>1442</v>
      </c>
      <c r="G120">
        <v>63.246000000000002</v>
      </c>
      <c r="H120">
        <v>1.3850149081466E-2</v>
      </c>
      <c r="I120">
        <v>63.857999999999997</v>
      </c>
      <c r="J120">
        <v>4.2144991350840898E-3</v>
      </c>
      <c r="K120" t="s">
        <v>1049</v>
      </c>
      <c r="L120" t="s">
        <v>931</v>
      </c>
    </row>
    <row r="121" spans="1:12" x14ac:dyDescent="0.35">
      <c r="A121">
        <v>2.4473399596212499E-2</v>
      </c>
      <c r="B121">
        <v>5.00811045761866E-2</v>
      </c>
      <c r="C121">
        <v>4.9726482376824199E-2</v>
      </c>
      <c r="D121">
        <v>3.4513513517111301E-2</v>
      </c>
      <c r="E121" t="s">
        <v>1561</v>
      </c>
      <c r="F121" t="s">
        <v>1442</v>
      </c>
      <c r="G121">
        <v>64.018000000000001</v>
      </c>
      <c r="H121">
        <v>1.2206305537109099E-2</v>
      </c>
      <c r="I121">
        <v>64.402000000000001</v>
      </c>
      <c r="J121">
        <v>8.5189013122866104E-3</v>
      </c>
      <c r="K121" t="s">
        <v>1050</v>
      </c>
      <c r="L121" t="s">
        <v>931</v>
      </c>
    </row>
    <row r="122" spans="1:12" x14ac:dyDescent="0.35">
      <c r="A122">
        <v>3.2886107964122897E-2</v>
      </c>
      <c r="B122">
        <v>3.9540884737924602E-2</v>
      </c>
      <c r="C122">
        <v>5.7040318663066601E-2</v>
      </c>
      <c r="D122">
        <v>3.2054289459933799E-2</v>
      </c>
      <c r="E122" t="s">
        <v>1562</v>
      </c>
      <c r="F122" t="s">
        <v>1442</v>
      </c>
      <c r="G122">
        <v>64.912000000000006</v>
      </c>
      <c r="H122">
        <v>1.3964822393701899E-2</v>
      </c>
      <c r="I122">
        <v>64.912000000000006</v>
      </c>
      <c r="J122">
        <v>7.9190087264371396E-3</v>
      </c>
      <c r="K122" t="s">
        <v>1051</v>
      </c>
      <c r="L122" t="s">
        <v>931</v>
      </c>
    </row>
    <row r="123" spans="1:12" x14ac:dyDescent="0.35">
      <c r="A123">
        <v>1.9193585341739101E-2</v>
      </c>
      <c r="B123">
        <v>1.5459188057563401E-2</v>
      </c>
      <c r="C123">
        <v>4.2438786901308999E-2</v>
      </c>
      <c r="D123">
        <v>4.6322155050911397E-2</v>
      </c>
      <c r="E123" t="s">
        <v>1563</v>
      </c>
      <c r="F123" t="s">
        <v>1442</v>
      </c>
      <c r="G123">
        <v>65.59</v>
      </c>
      <c r="H123">
        <v>1.0444910032043399E-2</v>
      </c>
      <c r="I123">
        <v>65.650999999999996</v>
      </c>
      <c r="J123">
        <v>1.13846438254868E-2</v>
      </c>
      <c r="K123" t="s">
        <v>1052</v>
      </c>
      <c r="L123" t="s">
        <v>931</v>
      </c>
    </row>
    <row r="124" spans="1:12" x14ac:dyDescent="0.35">
      <c r="A124">
        <v>2.6053548554263901E-2</v>
      </c>
      <c r="B124">
        <v>2.8949345820011199E-2</v>
      </c>
      <c r="C124">
        <v>4.7728620369875199E-2</v>
      </c>
      <c r="D124">
        <v>2.6457667912965801E-2</v>
      </c>
      <c r="E124" t="s">
        <v>1564</v>
      </c>
      <c r="F124" t="s">
        <v>1442</v>
      </c>
      <c r="G124">
        <v>66.358999999999995</v>
      </c>
      <c r="H124">
        <v>1.1724348223814501E-2</v>
      </c>
      <c r="I124">
        <v>66.081000000000003</v>
      </c>
      <c r="J124">
        <v>6.5497859895509202E-3</v>
      </c>
      <c r="K124" t="s">
        <v>1053</v>
      </c>
      <c r="L124" t="s">
        <v>931</v>
      </c>
    </row>
    <row r="125" spans="1:12" x14ac:dyDescent="0.35">
      <c r="A125">
        <v>2.2816932316492001E-2</v>
      </c>
      <c r="B125">
        <v>1.82242710503548E-2</v>
      </c>
      <c r="C125">
        <v>5.7499642478727998E-2</v>
      </c>
      <c r="D125">
        <v>2.3755596803619598E-2</v>
      </c>
      <c r="E125" t="s">
        <v>1565</v>
      </c>
      <c r="F125" t="s">
        <v>1442</v>
      </c>
      <c r="G125">
        <v>67.293000000000006</v>
      </c>
      <c r="H125">
        <v>1.40749559215783E-2</v>
      </c>
      <c r="I125">
        <v>66.47</v>
      </c>
      <c r="J125">
        <v>5.8867147894250396E-3</v>
      </c>
      <c r="K125" t="s">
        <v>1054</v>
      </c>
      <c r="L125" t="s">
        <v>931</v>
      </c>
    </row>
    <row r="126" spans="1:12" x14ac:dyDescent="0.35">
      <c r="A126">
        <v>2.9937016463394299E-2</v>
      </c>
      <c r="B126">
        <v>6.8223280329673397E-3</v>
      </c>
      <c r="C126">
        <v>5.4456520671492398E-2</v>
      </c>
      <c r="D126">
        <v>2.4902004743710501E-2</v>
      </c>
      <c r="E126" t="s">
        <v>1566</v>
      </c>
      <c r="F126" t="s">
        <v>1442</v>
      </c>
      <c r="G126">
        <v>68.191000000000003</v>
      </c>
      <c r="H126">
        <v>1.33446272272004E-2</v>
      </c>
      <c r="I126">
        <v>66.88</v>
      </c>
      <c r="J126">
        <v>6.16819617872721E-3</v>
      </c>
      <c r="K126" t="s">
        <v>1055</v>
      </c>
      <c r="L126" t="s">
        <v>931</v>
      </c>
    </row>
    <row r="127" spans="1:12" x14ac:dyDescent="0.35">
      <c r="A127">
        <v>1.8884884410707199E-2</v>
      </c>
      <c r="B127">
        <v>2.1198789662036002E-2</v>
      </c>
      <c r="C127">
        <v>1.7060457300781501E-2</v>
      </c>
      <c r="D127">
        <v>1.0326833438175601E-2</v>
      </c>
      <c r="E127" t="s">
        <v>1567</v>
      </c>
      <c r="F127" t="s">
        <v>1442</v>
      </c>
      <c r="G127">
        <v>68.48</v>
      </c>
      <c r="H127">
        <v>4.2380959364138899E-3</v>
      </c>
      <c r="I127">
        <v>67.052000000000007</v>
      </c>
      <c r="J127">
        <v>2.5717703349283898E-3</v>
      </c>
      <c r="K127" t="s">
        <v>1056</v>
      </c>
      <c r="L127" t="s">
        <v>931</v>
      </c>
    </row>
    <row r="128" spans="1:12" x14ac:dyDescent="0.35">
      <c r="A128">
        <v>2.0085104332627801E-3</v>
      </c>
      <c r="B128">
        <v>2.5873085754739799E-2</v>
      </c>
      <c r="C128">
        <v>1.0084643678167899E-2</v>
      </c>
      <c r="D128">
        <v>1.25865662000337E-2</v>
      </c>
      <c r="E128" t="s">
        <v>1568</v>
      </c>
      <c r="F128" t="s">
        <v>1442</v>
      </c>
      <c r="G128">
        <v>68.652000000000001</v>
      </c>
      <c r="H128">
        <v>2.5116822429906999E-3</v>
      </c>
      <c r="I128">
        <v>67.262</v>
      </c>
      <c r="J128">
        <v>3.1318976316887502E-3</v>
      </c>
      <c r="K128" t="s">
        <v>1057</v>
      </c>
      <c r="L128" t="s">
        <v>931</v>
      </c>
    </row>
    <row r="129" spans="1:12" x14ac:dyDescent="0.35">
      <c r="A129">
        <v>1.65597149400032E-3</v>
      </c>
      <c r="B129">
        <v>2.61448943379867E-2</v>
      </c>
      <c r="C129">
        <v>4.4939487008062197E-3</v>
      </c>
      <c r="D129">
        <v>2.16417401943385E-2</v>
      </c>
      <c r="E129" t="s">
        <v>1569</v>
      </c>
      <c r="F129" t="s">
        <v>1442</v>
      </c>
      <c r="G129">
        <v>68.728999999999999</v>
      </c>
      <c r="H129">
        <v>1.1215987880905901E-3</v>
      </c>
      <c r="I129">
        <v>67.623000000000005</v>
      </c>
      <c r="J129">
        <v>5.3670720466236803E-3</v>
      </c>
      <c r="K129" t="s">
        <v>1058</v>
      </c>
      <c r="L129" t="s">
        <v>931</v>
      </c>
    </row>
    <row r="130" spans="1:12" x14ac:dyDescent="0.35">
      <c r="A130">
        <v>8.0448095256371293E-3</v>
      </c>
      <c r="B130">
        <v>2.6192779718551499E-2</v>
      </c>
      <c r="C130">
        <v>2.6210777008154801E-2</v>
      </c>
      <c r="D130">
        <v>1.77439998941584E-2</v>
      </c>
      <c r="E130" t="s">
        <v>1570</v>
      </c>
      <c r="F130" t="s">
        <v>1442</v>
      </c>
      <c r="G130">
        <v>69.174999999999997</v>
      </c>
      <c r="H130">
        <v>6.4892548996784401E-3</v>
      </c>
      <c r="I130">
        <v>67.921000000000006</v>
      </c>
      <c r="J130">
        <v>4.4067846738535801E-3</v>
      </c>
      <c r="K130" t="s">
        <v>1059</v>
      </c>
      <c r="L130" t="s">
        <v>931</v>
      </c>
    </row>
    <row r="131" spans="1:12" x14ac:dyDescent="0.35">
      <c r="A131">
        <v>2.9998743908273201E-2</v>
      </c>
      <c r="B131">
        <v>3.8349371649444103E-2</v>
      </c>
      <c r="C131">
        <v>3.99637104830428E-2</v>
      </c>
      <c r="D131">
        <v>2.19088618142655E-2</v>
      </c>
      <c r="E131" t="s">
        <v>1571</v>
      </c>
      <c r="F131" t="s">
        <v>1442</v>
      </c>
      <c r="G131">
        <v>69.855999999999995</v>
      </c>
      <c r="H131">
        <v>9.8445970365015293E-3</v>
      </c>
      <c r="I131">
        <v>68.290000000000006</v>
      </c>
      <c r="J131">
        <v>5.4327822028532599E-3</v>
      </c>
      <c r="K131" t="s">
        <v>1060</v>
      </c>
      <c r="L131" t="s">
        <v>931</v>
      </c>
    </row>
    <row r="132" spans="1:12" x14ac:dyDescent="0.35">
      <c r="A132">
        <v>2.0869776308943801E-2</v>
      </c>
      <c r="B132">
        <v>3.4801584391165798E-2</v>
      </c>
      <c r="C132">
        <v>3.3157579483975103E-2</v>
      </c>
      <c r="D132">
        <v>1.23573378485025E-2</v>
      </c>
      <c r="E132" t="s">
        <v>1572</v>
      </c>
      <c r="F132" t="s">
        <v>1442</v>
      </c>
      <c r="G132">
        <v>70.427999999999997</v>
      </c>
      <c r="H132">
        <v>8.1882730187814393E-3</v>
      </c>
      <c r="I132">
        <v>68.5</v>
      </c>
      <c r="J132">
        <v>3.07512080831729E-3</v>
      </c>
      <c r="K132" t="s">
        <v>1061</v>
      </c>
      <c r="L132" t="s">
        <v>931</v>
      </c>
    </row>
    <row r="133" spans="1:12" x14ac:dyDescent="0.35">
      <c r="A133">
        <v>1.8806157080279301E-2</v>
      </c>
      <c r="B133">
        <v>7.6203068975526894E-2</v>
      </c>
      <c r="C133">
        <v>4.04120889716926E-2</v>
      </c>
      <c r="D133">
        <v>6.9083360828583497E-3</v>
      </c>
      <c r="E133" t="s">
        <v>1573</v>
      </c>
      <c r="F133" t="s">
        <v>1442</v>
      </c>
      <c r="G133">
        <v>71.129000000000005</v>
      </c>
      <c r="H133">
        <v>9.9534276140171903E-3</v>
      </c>
      <c r="I133">
        <v>68.617999999999995</v>
      </c>
      <c r="J133">
        <v>1.7226277372262E-3</v>
      </c>
      <c r="K133" t="s">
        <v>1062</v>
      </c>
      <c r="L133" t="s">
        <v>931</v>
      </c>
    </row>
    <row r="134" spans="1:12" x14ac:dyDescent="0.35">
      <c r="A134">
        <v>3.0939531110064901E-2</v>
      </c>
      <c r="B134">
        <v>4.5343406532494003E-2</v>
      </c>
      <c r="C134">
        <v>6.4192818314913899E-2</v>
      </c>
      <c r="D134">
        <v>3.35839967225895E-2</v>
      </c>
      <c r="E134" t="s">
        <v>1574</v>
      </c>
      <c r="F134" t="s">
        <v>1442</v>
      </c>
      <c r="G134">
        <v>72.244</v>
      </c>
      <c r="H134">
        <v>1.5675744070632099E-2</v>
      </c>
      <c r="I134">
        <v>69.186999999999998</v>
      </c>
      <c r="J134">
        <v>8.2922848232243104E-3</v>
      </c>
      <c r="K134" t="s">
        <v>1063</v>
      </c>
      <c r="L134" t="s">
        <v>931</v>
      </c>
    </row>
    <row r="135" spans="1:12" x14ac:dyDescent="0.35">
      <c r="A135">
        <v>4.0077661469082298E-3</v>
      </c>
      <c r="B135">
        <v>2.8726975579467701E-2</v>
      </c>
      <c r="C135">
        <v>2.60483280529056E-3</v>
      </c>
      <c r="D135">
        <v>4.1691340309692997E-3</v>
      </c>
      <c r="E135" t="s">
        <v>1575</v>
      </c>
      <c r="F135" t="s">
        <v>1442</v>
      </c>
      <c r="G135">
        <v>72.290999999999997</v>
      </c>
      <c r="H135">
        <v>6.5057305797022703E-4</v>
      </c>
      <c r="I135">
        <v>69.259</v>
      </c>
      <c r="J135">
        <v>1.0406579270672001E-3</v>
      </c>
      <c r="K135" t="s">
        <v>1064</v>
      </c>
      <c r="L135" t="s">
        <v>931</v>
      </c>
    </row>
    <row r="136" spans="1:12" x14ac:dyDescent="0.35">
      <c r="A136">
        <v>2.6637470683258401E-2</v>
      </c>
      <c r="B136">
        <v>3.6701160751028999E-2</v>
      </c>
      <c r="C136">
        <v>3.2537484109284899E-2</v>
      </c>
      <c r="D136">
        <v>5.0920666130191998E-3</v>
      </c>
      <c r="E136" t="s">
        <v>1576</v>
      </c>
      <c r="F136" t="s">
        <v>1442</v>
      </c>
      <c r="G136">
        <v>72.872</v>
      </c>
      <c r="H136">
        <v>8.0369617241426994E-3</v>
      </c>
      <c r="I136">
        <v>69.346999999999994</v>
      </c>
      <c r="J136">
        <v>1.2705929915244299E-3</v>
      </c>
      <c r="K136" t="s">
        <v>1065</v>
      </c>
      <c r="L136" t="s">
        <v>931</v>
      </c>
    </row>
    <row r="137" spans="1:12" x14ac:dyDescent="0.35">
      <c r="A137">
        <v>1.9809591582912799E-2</v>
      </c>
      <c r="B137">
        <v>3.0297839189273201E-2</v>
      </c>
      <c r="C137">
        <v>3.6723057880070603E-2</v>
      </c>
      <c r="D137">
        <v>1.11208187291489E-2</v>
      </c>
      <c r="E137" t="s">
        <v>1577</v>
      </c>
      <c r="F137" t="s">
        <v>1442</v>
      </c>
      <c r="G137">
        <v>73.531999999999996</v>
      </c>
      <c r="H137">
        <v>9.0569766165331505E-3</v>
      </c>
      <c r="I137">
        <v>69.539000000000001</v>
      </c>
      <c r="J137">
        <v>2.7686850188184402E-3</v>
      </c>
      <c r="K137" t="s">
        <v>1066</v>
      </c>
      <c r="L137" t="s">
        <v>931</v>
      </c>
    </row>
    <row r="138" spans="1:12" x14ac:dyDescent="0.35">
      <c r="A138">
        <v>3.1204615634115699E-2</v>
      </c>
      <c r="B138">
        <v>3.4471201135703997E-2</v>
      </c>
      <c r="C138">
        <v>5.7672124037001303E-2</v>
      </c>
      <c r="D138">
        <v>2.6313046913832801E-2</v>
      </c>
      <c r="E138" t="s">
        <v>1578</v>
      </c>
      <c r="F138" t="s">
        <v>1442</v>
      </c>
      <c r="G138">
        <v>74.569999999999993</v>
      </c>
      <c r="H138">
        <v>1.41163031061307E-2</v>
      </c>
      <c r="I138">
        <v>69.992000000000004</v>
      </c>
      <c r="J138">
        <v>6.5143300881520504E-3</v>
      </c>
      <c r="K138" t="s">
        <v>1067</v>
      </c>
      <c r="L138" t="s">
        <v>931</v>
      </c>
    </row>
    <row r="139" spans="1:12" x14ac:dyDescent="0.35">
      <c r="A139">
        <v>2.7200294389546201E-2</v>
      </c>
      <c r="B139">
        <v>3.5181669062461299E-2</v>
      </c>
      <c r="C139">
        <v>5.42271951092188E-2</v>
      </c>
      <c r="D139">
        <v>7.5544557477534205E-2</v>
      </c>
      <c r="E139" t="s">
        <v>1579</v>
      </c>
      <c r="F139" t="s">
        <v>1442</v>
      </c>
      <c r="G139">
        <v>75.561000000000007</v>
      </c>
      <c r="H139">
        <v>1.3289526619284101E-2</v>
      </c>
      <c r="I139">
        <v>71.278000000000006</v>
      </c>
      <c r="J139">
        <v>1.8373528403245999E-2</v>
      </c>
      <c r="K139" t="s">
        <v>1068</v>
      </c>
      <c r="L139" t="s">
        <v>931</v>
      </c>
    </row>
    <row r="140" spans="1:12" x14ac:dyDescent="0.35">
      <c r="A140">
        <v>1.9813936050087699E-2</v>
      </c>
      <c r="B140">
        <v>3.71188179062025E-2</v>
      </c>
      <c r="C140">
        <v>5.5705667373545202E-2</v>
      </c>
      <c r="D140">
        <v>0.112118604043563</v>
      </c>
      <c r="E140" t="s">
        <v>1580</v>
      </c>
      <c r="F140" t="s">
        <v>1442</v>
      </c>
      <c r="G140">
        <v>76.591999999999999</v>
      </c>
      <c r="H140">
        <v>1.3644605021108799E-2</v>
      </c>
      <c r="I140">
        <v>73.197000000000003</v>
      </c>
      <c r="J140">
        <v>2.6922753163668899E-2</v>
      </c>
      <c r="K140" t="s">
        <v>1069</v>
      </c>
      <c r="L140" t="s">
        <v>931</v>
      </c>
    </row>
    <row r="141" spans="1:12" x14ac:dyDescent="0.35">
      <c r="A141">
        <v>3.4620969363609901E-2</v>
      </c>
      <c r="B141">
        <v>3.9499400752586601E-2</v>
      </c>
      <c r="C141">
        <v>6.4048552869122796E-2</v>
      </c>
      <c r="D141">
        <v>9.9586266592777403E-2</v>
      </c>
      <c r="E141" t="s">
        <v>1581</v>
      </c>
      <c r="F141" t="s">
        <v>1442</v>
      </c>
      <c r="G141">
        <v>77.790000000000006</v>
      </c>
      <c r="H141">
        <v>1.5641320242323099E-2</v>
      </c>
      <c r="I141">
        <v>74.954999999999998</v>
      </c>
      <c r="J141">
        <v>2.4017377761383699E-2</v>
      </c>
      <c r="K141" t="s">
        <v>1070</v>
      </c>
      <c r="L141" t="s">
        <v>931</v>
      </c>
    </row>
    <row r="142" spans="1:12" x14ac:dyDescent="0.35">
      <c r="A142">
        <v>2.34535899973984E-2</v>
      </c>
      <c r="B142">
        <v>5.3706890981395999E-2</v>
      </c>
      <c r="C142">
        <v>3.69057460702173E-2</v>
      </c>
      <c r="D142">
        <v>3.4210597371460802E-2</v>
      </c>
      <c r="E142" t="s">
        <v>1582</v>
      </c>
      <c r="F142" t="s">
        <v>1442</v>
      </c>
      <c r="G142">
        <v>78.498000000000005</v>
      </c>
      <c r="H142">
        <v>9.1014269186271406E-3</v>
      </c>
      <c r="I142">
        <v>75.587999999999994</v>
      </c>
      <c r="J142">
        <v>8.4450670402240694E-3</v>
      </c>
      <c r="K142" t="s">
        <v>1071</v>
      </c>
      <c r="L142" t="s">
        <v>931</v>
      </c>
    </row>
    <row r="143" spans="1:12" x14ac:dyDescent="0.35">
      <c r="A143">
        <v>2.5499802950129401E-2</v>
      </c>
      <c r="B143">
        <v>3.6566859174503898E-2</v>
      </c>
      <c r="C143">
        <v>4.6392177019789503E-2</v>
      </c>
      <c r="D143">
        <v>7.7400259900339399E-2</v>
      </c>
      <c r="E143" t="s">
        <v>1583</v>
      </c>
      <c r="F143" t="s">
        <v>1442</v>
      </c>
      <c r="G143">
        <v>79.393000000000001</v>
      </c>
      <c r="H143">
        <v>1.14015643710668E-2</v>
      </c>
      <c r="I143">
        <v>77.010000000000005</v>
      </c>
      <c r="J143">
        <v>1.8812509922210102E-2</v>
      </c>
      <c r="K143" t="s">
        <v>1072</v>
      </c>
      <c r="L143" t="s">
        <v>931</v>
      </c>
    </row>
    <row r="144" spans="1:12" x14ac:dyDescent="0.35">
      <c r="A144">
        <v>4.3914132970667798E-2</v>
      </c>
      <c r="B144">
        <v>4.2425430776049898E-2</v>
      </c>
      <c r="C144">
        <v>5.93159029125543E-2</v>
      </c>
      <c r="D144">
        <v>9.2099438138909306E-2</v>
      </c>
      <c r="E144" t="s">
        <v>1584</v>
      </c>
      <c r="F144" t="s">
        <v>1442</v>
      </c>
      <c r="G144">
        <v>80.545000000000002</v>
      </c>
      <c r="H144">
        <v>1.45100953484565E-2</v>
      </c>
      <c r="I144">
        <v>78.724999999999994</v>
      </c>
      <c r="J144">
        <v>2.2269835086352399E-2</v>
      </c>
      <c r="K144" t="s">
        <v>1073</v>
      </c>
      <c r="L144" t="s">
        <v>931</v>
      </c>
    </row>
    <row r="145" spans="1:12" x14ac:dyDescent="0.35">
      <c r="A145">
        <v>3.2225013743436802E-2</v>
      </c>
      <c r="B145">
        <v>2.9052051363888599E-2</v>
      </c>
      <c r="C145">
        <v>6.9322056053448003E-2</v>
      </c>
      <c r="D145">
        <v>5.6967190258747399E-2</v>
      </c>
      <c r="E145" t="s">
        <v>1585</v>
      </c>
      <c r="F145" t="s">
        <v>1442</v>
      </c>
      <c r="G145">
        <v>81.906000000000006</v>
      </c>
      <c r="H145">
        <v>1.68973865541002E-2</v>
      </c>
      <c r="I145">
        <v>79.822999999999993</v>
      </c>
      <c r="J145">
        <v>1.39472848523341E-2</v>
      </c>
      <c r="K145" t="s">
        <v>1074</v>
      </c>
      <c r="L145" t="s">
        <v>931</v>
      </c>
    </row>
    <row r="146" spans="1:12" x14ac:dyDescent="0.35">
      <c r="A146">
        <v>2.0935342800184199E-2</v>
      </c>
      <c r="B146">
        <v>3.4093201961780999E-2</v>
      </c>
      <c r="C146">
        <v>2.9725271896635399E-2</v>
      </c>
      <c r="D146">
        <v>2.50876168066392E-2</v>
      </c>
      <c r="E146" t="s">
        <v>1586</v>
      </c>
      <c r="F146" t="s">
        <v>1442</v>
      </c>
      <c r="G146">
        <v>82.507999999999996</v>
      </c>
      <c r="H146">
        <v>7.3498888970282604E-3</v>
      </c>
      <c r="I146">
        <v>80.319000000000003</v>
      </c>
      <c r="J146">
        <v>6.2137479172670301E-3</v>
      </c>
      <c r="K146" t="s">
        <v>1075</v>
      </c>
      <c r="L146" t="s">
        <v>931</v>
      </c>
    </row>
    <row r="147" spans="1:12" x14ac:dyDescent="0.35">
      <c r="A147">
        <v>3.5555363218846101E-2</v>
      </c>
      <c r="B147">
        <v>2.8135458399094499E-2</v>
      </c>
      <c r="C147">
        <v>5.61203132204302E-2</v>
      </c>
      <c r="D147">
        <v>9.1105361450751501E-2</v>
      </c>
      <c r="E147" t="s">
        <v>1587</v>
      </c>
      <c r="F147" t="s">
        <v>1442</v>
      </c>
      <c r="G147">
        <v>83.641999999999996</v>
      </c>
      <c r="H147">
        <v>1.37441217821301E-2</v>
      </c>
      <c r="I147">
        <v>82.088999999999999</v>
      </c>
      <c r="J147">
        <v>2.20371269562618E-2</v>
      </c>
      <c r="K147" t="s">
        <v>1076</v>
      </c>
      <c r="L147" t="s">
        <v>931</v>
      </c>
    </row>
    <row r="148" spans="1:12" x14ac:dyDescent="0.35">
      <c r="A148">
        <v>2.9090990484891902E-2</v>
      </c>
      <c r="B148">
        <v>2.9966625510563099E-2</v>
      </c>
      <c r="C148">
        <v>3.6843754178801799E-2</v>
      </c>
      <c r="D148">
        <v>5.6869734933791702E-2</v>
      </c>
      <c r="E148" t="s">
        <v>1588</v>
      </c>
      <c r="F148" t="s">
        <v>1442</v>
      </c>
      <c r="G148">
        <v>84.402000000000001</v>
      </c>
      <c r="H148">
        <v>9.0863441811530592E-3</v>
      </c>
      <c r="I148">
        <v>83.231999999999999</v>
      </c>
      <c r="J148">
        <v>1.39239118517707E-2</v>
      </c>
      <c r="K148" t="s">
        <v>1077</v>
      </c>
      <c r="L148" t="s">
        <v>931</v>
      </c>
    </row>
    <row r="149" spans="1:12" x14ac:dyDescent="0.35">
      <c r="A149">
        <v>-6.5707467210734897E-3</v>
      </c>
      <c r="B149">
        <v>2.09838687014814E-2</v>
      </c>
      <c r="C149">
        <v>3.0338463665483501E-2</v>
      </c>
      <c r="D149">
        <v>9.7213617262259494E-2</v>
      </c>
      <c r="E149" t="s">
        <v>1589</v>
      </c>
      <c r="F149" t="s">
        <v>1442</v>
      </c>
      <c r="G149">
        <v>85.034999999999997</v>
      </c>
      <c r="H149">
        <v>7.4998222790929603E-3</v>
      </c>
      <c r="I149">
        <v>85.185000000000002</v>
      </c>
      <c r="J149">
        <v>2.34645328719723E-2</v>
      </c>
      <c r="K149" t="s">
        <v>1078</v>
      </c>
      <c r="L149" t="s">
        <v>931</v>
      </c>
    </row>
    <row r="150" spans="1:12" x14ac:dyDescent="0.35">
      <c r="A150">
        <v>3.7059917165470399E-2</v>
      </c>
      <c r="B150">
        <v>3.4651107406359301E-2</v>
      </c>
      <c r="C150">
        <v>7.2299496950969405E-2</v>
      </c>
      <c r="D150">
        <v>0.104792955269219</v>
      </c>
      <c r="E150" t="s">
        <v>1590</v>
      </c>
      <c r="F150" t="s">
        <v>1442</v>
      </c>
      <c r="G150">
        <v>86.531999999999996</v>
      </c>
      <c r="H150">
        <v>1.7604515787616799E-2</v>
      </c>
      <c r="I150">
        <v>87.334000000000003</v>
      </c>
      <c r="J150">
        <v>2.5227446146622E-2</v>
      </c>
      <c r="K150" t="s">
        <v>1079</v>
      </c>
      <c r="L150" t="s">
        <v>931</v>
      </c>
    </row>
    <row r="151" spans="1:12" x14ac:dyDescent="0.35">
      <c r="A151">
        <v>3.4406916686266602E-2</v>
      </c>
      <c r="B151">
        <v>3.2361806516408201E-2</v>
      </c>
      <c r="C151">
        <v>4.4022069506022297E-2</v>
      </c>
      <c r="D151">
        <v>4.2476788274359099E-2</v>
      </c>
      <c r="E151" t="s">
        <v>1591</v>
      </c>
      <c r="F151" t="s">
        <v>1442</v>
      </c>
      <c r="G151">
        <v>87.468999999999994</v>
      </c>
      <c r="H151">
        <v>1.0828364073406401E-2</v>
      </c>
      <c r="I151">
        <v>88.247</v>
      </c>
      <c r="J151">
        <v>1.0454118670849799E-2</v>
      </c>
      <c r="K151" t="s">
        <v>1080</v>
      </c>
      <c r="L151" t="s">
        <v>931</v>
      </c>
    </row>
    <row r="152" spans="1:12" x14ac:dyDescent="0.35">
      <c r="A152">
        <v>2.2795387185985401E-2</v>
      </c>
      <c r="B152">
        <v>2.78463672712683E-2</v>
      </c>
      <c r="C152">
        <v>4.5480126137950501E-2</v>
      </c>
      <c r="D152">
        <v>3.9088464000031499E-2</v>
      </c>
      <c r="E152" t="s">
        <v>1592</v>
      </c>
      <c r="F152" t="s">
        <v>1442</v>
      </c>
      <c r="G152">
        <v>88.447000000000003</v>
      </c>
      <c r="H152">
        <v>1.11811041626177E-2</v>
      </c>
      <c r="I152">
        <v>89.096999999999994</v>
      </c>
      <c r="J152">
        <v>9.6320554806394992E-3</v>
      </c>
      <c r="K152" t="s">
        <v>1081</v>
      </c>
      <c r="L152" t="s">
        <v>931</v>
      </c>
    </row>
    <row r="153" spans="1:12" x14ac:dyDescent="0.35">
      <c r="A153">
        <v>4.1308326629664098E-2</v>
      </c>
      <c r="B153">
        <v>3.2459146974833902E-2</v>
      </c>
      <c r="C153">
        <v>6.2039731527971001E-2</v>
      </c>
      <c r="D153">
        <v>4.7886506250196997E-2</v>
      </c>
      <c r="E153" t="s">
        <v>1593</v>
      </c>
      <c r="F153" t="s">
        <v>1442</v>
      </c>
      <c r="G153">
        <v>89.787999999999997</v>
      </c>
      <c r="H153">
        <v>1.51616222144335E-2</v>
      </c>
      <c r="I153">
        <v>90.144999999999996</v>
      </c>
      <c r="J153">
        <v>1.1762461137861099E-2</v>
      </c>
      <c r="K153" t="s">
        <v>1082</v>
      </c>
      <c r="L153" t="s">
        <v>931</v>
      </c>
    </row>
    <row r="154" spans="1:12" x14ac:dyDescent="0.35">
      <c r="A154">
        <v>3.2954987594988598E-2</v>
      </c>
      <c r="B154">
        <v>3.4144429632388298E-2</v>
      </c>
      <c r="C154">
        <v>7.23147883586404E-2</v>
      </c>
      <c r="D154">
        <v>3.8436409888859401E-2</v>
      </c>
      <c r="E154" t="s">
        <v>1594</v>
      </c>
      <c r="F154" t="s">
        <v>1442</v>
      </c>
      <c r="G154">
        <v>91.369</v>
      </c>
      <c r="H154">
        <v>1.7608143627210901E-2</v>
      </c>
      <c r="I154">
        <v>90.998999999999995</v>
      </c>
      <c r="J154">
        <v>9.4736258250596207E-3</v>
      </c>
      <c r="K154" t="s">
        <v>1083</v>
      </c>
      <c r="L154" t="s">
        <v>931</v>
      </c>
    </row>
    <row r="155" spans="1:12" x14ac:dyDescent="0.35">
      <c r="A155">
        <v>3.9493950261418401E-2</v>
      </c>
      <c r="B155">
        <v>4.1602053152730099E-2</v>
      </c>
      <c r="C155">
        <v>6.3263019462217004E-2</v>
      </c>
      <c r="D155">
        <v>3.1126430511134499E-2</v>
      </c>
      <c r="E155" t="s">
        <v>1595</v>
      </c>
      <c r="F155" t="s">
        <v>1442</v>
      </c>
      <c r="G155">
        <v>92.781000000000006</v>
      </c>
      <c r="H155">
        <v>1.5453819129026301E-2</v>
      </c>
      <c r="I155">
        <v>91.698999999999998</v>
      </c>
      <c r="J155">
        <v>7.6923922240903497E-3</v>
      </c>
      <c r="K155" t="s">
        <v>1084</v>
      </c>
      <c r="L155" t="s">
        <v>931</v>
      </c>
    </row>
    <row r="156" spans="1:12" x14ac:dyDescent="0.35">
      <c r="A156">
        <v>4.3386852489040402E-2</v>
      </c>
      <c r="B156">
        <v>3.03408157550791E-2</v>
      </c>
      <c r="C156">
        <v>5.52136316684275E-2</v>
      </c>
      <c r="D156">
        <v>5.2701497522020399E-2</v>
      </c>
      <c r="E156" t="s">
        <v>1596</v>
      </c>
      <c r="F156" t="s">
        <v>1442</v>
      </c>
      <c r="G156">
        <v>94.036000000000001</v>
      </c>
      <c r="H156">
        <v>1.35264763259719E-2</v>
      </c>
      <c r="I156">
        <v>92.884</v>
      </c>
      <c r="J156">
        <v>1.29227145334192E-2</v>
      </c>
      <c r="K156" t="s">
        <v>1085</v>
      </c>
      <c r="L156" t="s">
        <v>931</v>
      </c>
    </row>
    <row r="157" spans="1:12" x14ac:dyDescent="0.35">
      <c r="A157">
        <v>-6.2360196436278902E-2</v>
      </c>
      <c r="B157">
        <v>-1.8917326805224201E-2</v>
      </c>
      <c r="C157">
        <v>-7.4155067193705196E-2</v>
      </c>
      <c r="D157">
        <v>7.5335045349203197E-2</v>
      </c>
      <c r="E157" t="s">
        <v>1597</v>
      </c>
      <c r="F157" t="s">
        <v>1442</v>
      </c>
      <c r="G157">
        <v>92.242000000000004</v>
      </c>
      <c r="H157">
        <v>-1.9077799991492599E-2</v>
      </c>
      <c r="I157">
        <v>94.585999999999999</v>
      </c>
      <c r="J157">
        <v>1.8323930924594199E-2</v>
      </c>
      <c r="K157" t="s">
        <v>1086</v>
      </c>
      <c r="L157" t="s">
        <v>931</v>
      </c>
    </row>
    <row r="158" spans="1:12" x14ac:dyDescent="0.35">
      <c r="A158">
        <v>-2.6731212813050201E-2</v>
      </c>
      <c r="B158">
        <v>-3.3135327897025703E-2</v>
      </c>
      <c r="C158">
        <v>-6.8462037949067106E-2</v>
      </c>
      <c r="D158">
        <v>2.5185264843212301E-2</v>
      </c>
      <c r="E158" t="s">
        <v>1598</v>
      </c>
      <c r="F158" t="s">
        <v>1442</v>
      </c>
      <c r="G158">
        <v>90.620999999999995</v>
      </c>
      <c r="H158">
        <v>-1.7573339693415201E-2</v>
      </c>
      <c r="I158">
        <v>95.176000000000002</v>
      </c>
      <c r="J158">
        <v>6.2377095976149403E-3</v>
      </c>
      <c r="K158" t="s">
        <v>1087</v>
      </c>
      <c r="L158" t="s">
        <v>931</v>
      </c>
    </row>
    <row r="159" spans="1:12" x14ac:dyDescent="0.35">
      <c r="A159">
        <v>1.6004255010514602E-2</v>
      </c>
      <c r="B159">
        <v>7.2471101838833497E-4</v>
      </c>
      <c r="C159">
        <v>1.9832196265286098E-2</v>
      </c>
      <c r="D159">
        <v>-3.4674689642026801E-2</v>
      </c>
      <c r="E159" t="s">
        <v>1599</v>
      </c>
      <c r="F159" t="s">
        <v>1442</v>
      </c>
      <c r="G159">
        <v>91.066999999999993</v>
      </c>
      <c r="H159">
        <v>4.9215965394333603E-3</v>
      </c>
      <c r="I159">
        <v>94.34</v>
      </c>
      <c r="J159">
        <v>-8.7837269899974108E-3</v>
      </c>
      <c r="K159" t="s">
        <v>1088</v>
      </c>
      <c r="L159" t="s">
        <v>931</v>
      </c>
    </row>
    <row r="160" spans="1:12" x14ac:dyDescent="0.35">
      <c r="A160">
        <v>2.78350080421834E-2</v>
      </c>
      <c r="B160">
        <v>1.22854862155337E-2</v>
      </c>
      <c r="C160">
        <v>3.47933032481611E-2</v>
      </c>
      <c r="D160">
        <v>-3.55556982427905E-2</v>
      </c>
      <c r="E160" t="s">
        <v>1600</v>
      </c>
      <c r="F160" t="s">
        <v>1442</v>
      </c>
      <c r="G160">
        <v>91.849000000000004</v>
      </c>
      <c r="H160">
        <v>8.5870842346844594E-3</v>
      </c>
      <c r="I160">
        <v>93.49</v>
      </c>
      <c r="J160">
        <v>-9.0099639601441996E-3</v>
      </c>
      <c r="K160" t="s">
        <v>1089</v>
      </c>
      <c r="L160" t="s">
        <v>931</v>
      </c>
    </row>
    <row r="161" spans="1:12" x14ac:dyDescent="0.35">
      <c r="A161">
        <v>3.1240948480233E-2</v>
      </c>
      <c r="B161">
        <v>3.11127095791379E-2</v>
      </c>
      <c r="C161">
        <v>3.76238534925952E-2</v>
      </c>
      <c r="D161">
        <v>-3.0769865450653898E-3</v>
      </c>
      <c r="E161" t="s">
        <v>1601</v>
      </c>
      <c r="F161" t="s">
        <v>1442</v>
      </c>
      <c r="G161">
        <v>92.700999999999993</v>
      </c>
      <c r="H161">
        <v>9.2760944593843798E-3</v>
      </c>
      <c r="I161">
        <v>93.418000000000006</v>
      </c>
      <c r="J161">
        <v>-7.7013584340557305E-4</v>
      </c>
      <c r="K161" t="s">
        <v>1090</v>
      </c>
      <c r="L161" t="s">
        <v>931</v>
      </c>
    </row>
    <row r="162" spans="1:12" x14ac:dyDescent="0.35">
      <c r="A162">
        <v>1.5538458112328299E-2</v>
      </c>
      <c r="B162">
        <v>2.5706833981413501E-2</v>
      </c>
      <c r="C162">
        <v>4.6975487060338501E-2</v>
      </c>
      <c r="D162">
        <v>1.13952226394907E-2</v>
      </c>
      <c r="E162" t="s">
        <v>1602</v>
      </c>
      <c r="F162" t="s">
        <v>1442</v>
      </c>
      <c r="G162">
        <v>93.771000000000001</v>
      </c>
      <c r="H162">
        <v>1.15424860573241E-2</v>
      </c>
      <c r="I162">
        <v>93.683000000000007</v>
      </c>
      <c r="J162">
        <v>2.8367124108843499E-3</v>
      </c>
      <c r="K162" t="s">
        <v>1091</v>
      </c>
      <c r="L162" t="s">
        <v>931</v>
      </c>
    </row>
    <row r="163" spans="1:12" x14ac:dyDescent="0.35">
      <c r="A163">
        <v>6.2204942357442202E-3</v>
      </c>
      <c r="B163">
        <v>3.1017939025557401E-2</v>
      </c>
      <c r="C163">
        <v>2.9062361366274402E-2</v>
      </c>
      <c r="D163">
        <v>1.7491325837778699E-2</v>
      </c>
      <c r="E163" t="s">
        <v>1603</v>
      </c>
      <c r="F163" t="s">
        <v>1442</v>
      </c>
      <c r="G163">
        <v>94.444999999999993</v>
      </c>
      <c r="H163">
        <v>7.18772328331774E-3</v>
      </c>
      <c r="I163">
        <v>94.09</v>
      </c>
      <c r="J163">
        <v>4.3444381584705196E-3</v>
      </c>
      <c r="K163" t="s">
        <v>1092</v>
      </c>
      <c r="L163" t="s">
        <v>931</v>
      </c>
    </row>
    <row r="164" spans="1:12" x14ac:dyDescent="0.35">
      <c r="A164">
        <v>7.72594376628044E-3</v>
      </c>
      <c r="B164">
        <v>1.59750935835106E-2</v>
      </c>
      <c r="C164">
        <v>2.3067349052007899E-2</v>
      </c>
      <c r="D164">
        <v>1.2643202128826501E-2</v>
      </c>
      <c r="E164" t="s">
        <v>1604</v>
      </c>
      <c r="F164" t="s">
        <v>1442</v>
      </c>
      <c r="G164">
        <v>94.984999999999999</v>
      </c>
      <c r="H164">
        <v>5.7176134258034601E-3</v>
      </c>
      <c r="I164">
        <v>94.385999999999996</v>
      </c>
      <c r="J164">
        <v>3.1459241152087501E-3</v>
      </c>
      <c r="K164" t="s">
        <v>1093</v>
      </c>
      <c r="L164" t="s">
        <v>931</v>
      </c>
    </row>
    <row r="165" spans="1:12" x14ac:dyDescent="0.35">
      <c r="A165">
        <v>2.5862689650447499E-2</v>
      </c>
      <c r="B165">
        <v>3.29452826155043E-2</v>
      </c>
      <c r="C165">
        <v>3.7879756208726099E-2</v>
      </c>
      <c r="D165">
        <v>1.8090208281751299E-2</v>
      </c>
      <c r="E165" t="s">
        <v>1605</v>
      </c>
      <c r="F165" t="s">
        <v>1442</v>
      </c>
      <c r="G165">
        <v>95.872</v>
      </c>
      <c r="H165">
        <v>9.3383165763014607E-3</v>
      </c>
      <c r="I165">
        <v>94.81</v>
      </c>
      <c r="J165">
        <v>4.4921916385904899E-3</v>
      </c>
      <c r="K165" t="s">
        <v>1094</v>
      </c>
      <c r="L165" t="s">
        <v>931</v>
      </c>
    </row>
    <row r="166" spans="1:12" x14ac:dyDescent="0.35">
      <c r="A166">
        <v>3.4016266815046298E-2</v>
      </c>
      <c r="B166">
        <v>3.64259738306612E-2</v>
      </c>
      <c r="C166">
        <v>4.5137017344844002E-2</v>
      </c>
      <c r="D166">
        <v>2.4394704867924499E-2</v>
      </c>
      <c r="E166" t="s">
        <v>1606</v>
      </c>
      <c r="F166" t="s">
        <v>1442</v>
      </c>
      <c r="G166">
        <v>96.936000000000007</v>
      </c>
      <c r="H166">
        <v>1.10981308411215E-2</v>
      </c>
      <c r="I166">
        <v>95.382999999999996</v>
      </c>
      <c r="J166">
        <v>6.0436662799281402E-3</v>
      </c>
      <c r="K166" t="s">
        <v>1095</v>
      </c>
      <c r="L166" t="s">
        <v>931</v>
      </c>
    </row>
    <row r="167" spans="1:12" x14ac:dyDescent="0.35">
      <c r="A167">
        <v>3.9906323464895102E-2</v>
      </c>
      <c r="B167">
        <v>3.6682670107609103E-2</v>
      </c>
      <c r="C167">
        <v>5.0829697512543702E-2</v>
      </c>
      <c r="D167">
        <v>4.1043493786856698E-2</v>
      </c>
      <c r="E167" t="s">
        <v>1607</v>
      </c>
      <c r="F167" t="s">
        <v>1442</v>
      </c>
      <c r="G167">
        <v>98.144999999999996</v>
      </c>
      <c r="H167">
        <v>1.24721465709332E-2</v>
      </c>
      <c r="I167">
        <v>96.346999999999994</v>
      </c>
      <c r="J167">
        <v>1.01066227734501E-2</v>
      </c>
      <c r="K167" t="s">
        <v>1096</v>
      </c>
      <c r="L167" t="s">
        <v>931</v>
      </c>
    </row>
    <row r="168" spans="1:12" x14ac:dyDescent="0.35">
      <c r="A168">
        <v>1.8640626124373699E-2</v>
      </c>
      <c r="B168">
        <v>1.39908352832361E-2</v>
      </c>
      <c r="C168">
        <v>1.5247657751557699E-2</v>
      </c>
      <c r="D168">
        <v>4.5983903903995101E-2</v>
      </c>
      <c r="E168" t="s">
        <v>1608</v>
      </c>
      <c r="F168" t="s">
        <v>1442</v>
      </c>
      <c r="G168">
        <v>98.516999999999996</v>
      </c>
      <c r="H168">
        <v>3.7903102552345699E-3</v>
      </c>
      <c r="I168">
        <v>97.436000000000007</v>
      </c>
      <c r="J168">
        <v>1.13028947450362E-2</v>
      </c>
      <c r="K168" t="s">
        <v>1097</v>
      </c>
      <c r="L168" t="s">
        <v>931</v>
      </c>
    </row>
    <row r="169" spans="1:12" x14ac:dyDescent="0.35">
      <c r="A169">
        <v>1.32561299755005E-2</v>
      </c>
      <c r="B169">
        <v>-5.33618345022691E-3</v>
      </c>
      <c r="C169">
        <v>-1.40950235359611E-2</v>
      </c>
      <c r="D169">
        <v>3.8137779822804398E-2</v>
      </c>
      <c r="E169" t="s">
        <v>1609</v>
      </c>
      <c r="F169" t="s">
        <v>1442</v>
      </c>
      <c r="G169">
        <v>98.168000000000006</v>
      </c>
      <c r="H169">
        <v>-3.54253580600294E-3</v>
      </c>
      <c r="I169">
        <v>98.352000000000004</v>
      </c>
      <c r="J169">
        <v>9.4010427357444897E-3</v>
      </c>
      <c r="K169" t="s">
        <v>1098</v>
      </c>
      <c r="L169" t="s">
        <v>931</v>
      </c>
    </row>
    <row r="170" spans="1:12" x14ac:dyDescent="0.35">
      <c r="A170">
        <v>2.6761481120787502E-2</v>
      </c>
      <c r="B170">
        <v>1.39201532997375E-2</v>
      </c>
      <c r="C170">
        <v>5.4116713606157101E-2</v>
      </c>
      <c r="D170">
        <v>3.0312571909831599E-2</v>
      </c>
      <c r="E170" t="s">
        <v>1610</v>
      </c>
      <c r="F170" t="s">
        <v>1442</v>
      </c>
      <c r="G170">
        <v>99.47</v>
      </c>
      <c r="H170">
        <v>1.32629777524242E-2</v>
      </c>
      <c r="I170">
        <v>99.088999999999999</v>
      </c>
      <c r="J170">
        <v>7.4934927606962196E-3</v>
      </c>
      <c r="K170" t="s">
        <v>1099</v>
      </c>
      <c r="L170" t="s">
        <v>931</v>
      </c>
    </row>
    <row r="171" spans="1:12" x14ac:dyDescent="0.35">
      <c r="A171">
        <v>9.7203652064314899E-3</v>
      </c>
      <c r="B171">
        <v>8.8550245823753003E-3</v>
      </c>
      <c r="C171">
        <v>-6.9787462524018001E-3</v>
      </c>
      <c r="D171">
        <v>3.2273930792219303E-2</v>
      </c>
      <c r="E171" t="s">
        <v>1611</v>
      </c>
      <c r="F171" t="s">
        <v>1442</v>
      </c>
      <c r="G171">
        <v>99.296000000000006</v>
      </c>
      <c r="H171">
        <v>-1.7492711370261599E-3</v>
      </c>
      <c r="I171">
        <v>99.879000000000005</v>
      </c>
      <c r="J171">
        <v>7.9726306653615797E-3</v>
      </c>
      <c r="K171" t="s">
        <v>1100</v>
      </c>
      <c r="L171" t="s">
        <v>931</v>
      </c>
    </row>
    <row r="172" spans="1:12" x14ac:dyDescent="0.35">
      <c r="A172">
        <v>1.1676944984941699E-2</v>
      </c>
      <c r="B172">
        <v>7.7077122555302396E-3</v>
      </c>
      <c r="C172">
        <v>2.44311343320835E-2</v>
      </c>
      <c r="D172">
        <v>2.17207841742009E-2</v>
      </c>
      <c r="E172" t="s">
        <v>1612</v>
      </c>
      <c r="F172" t="s">
        <v>1442</v>
      </c>
      <c r="G172">
        <v>99.897000000000006</v>
      </c>
      <c r="H172">
        <v>6.0526103770543998E-3</v>
      </c>
      <c r="I172">
        <v>100.417</v>
      </c>
      <c r="J172">
        <v>5.3865176864005297E-3</v>
      </c>
      <c r="K172" t="s">
        <v>1101</v>
      </c>
      <c r="L172" t="s">
        <v>931</v>
      </c>
    </row>
    <row r="173" spans="1:12" x14ac:dyDescent="0.35">
      <c r="A173">
        <v>2.2614716677978E-2</v>
      </c>
      <c r="B173">
        <v>4.9632662336496196E-3</v>
      </c>
      <c r="C173">
        <v>5.8918140200379103E-2</v>
      </c>
      <c r="D173">
        <v>7.9104688711333394E-3</v>
      </c>
      <c r="E173" t="s">
        <v>1613</v>
      </c>
      <c r="F173" t="s">
        <v>1442</v>
      </c>
      <c r="G173">
        <v>101.337</v>
      </c>
      <c r="H173">
        <v>1.4414847292711501E-2</v>
      </c>
      <c r="I173">
        <v>100.61499999999999</v>
      </c>
      <c r="J173">
        <v>1.9717776870449301E-3</v>
      </c>
      <c r="K173" t="s">
        <v>1102</v>
      </c>
      <c r="L173" t="s">
        <v>931</v>
      </c>
    </row>
    <row r="174" spans="1:12" x14ac:dyDescent="0.35">
      <c r="A174">
        <v>1.45079389824292E-2</v>
      </c>
      <c r="B174">
        <v>-1.9949826125076301E-4</v>
      </c>
      <c r="C174">
        <v>5.3376513955371498E-2</v>
      </c>
      <c r="D174">
        <v>1.6319173615011201E-2</v>
      </c>
      <c r="E174" t="s">
        <v>1614</v>
      </c>
      <c r="F174" t="s">
        <v>1442</v>
      </c>
      <c r="G174">
        <v>102.663</v>
      </c>
      <c r="H174">
        <v>1.3085052843482501E-2</v>
      </c>
      <c r="I174">
        <v>101.023</v>
      </c>
      <c r="J174">
        <v>4.05506137255873E-3</v>
      </c>
      <c r="K174" t="s">
        <v>1103</v>
      </c>
      <c r="L174" t="s">
        <v>931</v>
      </c>
    </row>
    <row r="175" spans="1:12" x14ac:dyDescent="0.35">
      <c r="A175">
        <v>2.8548469670495202E-3</v>
      </c>
      <c r="B175">
        <v>7.9245575399269404E-3</v>
      </c>
      <c r="C175">
        <v>2.14833879994034E-2</v>
      </c>
      <c r="D175">
        <v>2.0547855013869399E-2</v>
      </c>
      <c r="E175" t="s">
        <v>1615</v>
      </c>
      <c r="F175" t="s">
        <v>1442</v>
      </c>
      <c r="G175">
        <v>103.21</v>
      </c>
      <c r="H175">
        <v>5.3281123676494103E-3</v>
      </c>
      <c r="I175">
        <v>101.538</v>
      </c>
      <c r="J175">
        <v>5.0978490046820202E-3</v>
      </c>
      <c r="K175" t="s">
        <v>1104</v>
      </c>
      <c r="L175" t="s">
        <v>931</v>
      </c>
    </row>
    <row r="176" spans="1:12" x14ac:dyDescent="0.35">
      <c r="A176">
        <v>1.6326843500240801E-2</v>
      </c>
      <c r="B176">
        <v>1.3006397529373E-2</v>
      </c>
      <c r="C176">
        <v>3.4225885044726997E-2</v>
      </c>
      <c r="D176">
        <v>2.1723337040250802E-2</v>
      </c>
      <c r="E176" t="s">
        <v>1616</v>
      </c>
      <c r="F176" t="s">
        <v>1442</v>
      </c>
      <c r="G176">
        <v>104.08199999999999</v>
      </c>
      <c r="H176">
        <v>8.4487937215385108E-3</v>
      </c>
      <c r="I176">
        <v>102.08499999999999</v>
      </c>
      <c r="J176">
        <v>5.3871456991470001E-3</v>
      </c>
      <c r="K176" t="s">
        <v>1105</v>
      </c>
      <c r="L176" t="s">
        <v>931</v>
      </c>
    </row>
    <row r="177" spans="1:12" x14ac:dyDescent="0.35">
      <c r="A177">
        <v>1.6859105016114002E-2</v>
      </c>
      <c r="B177">
        <v>6.2259222369993199E-2</v>
      </c>
      <c r="C177">
        <v>2.1461497744286601E-2</v>
      </c>
      <c r="D177">
        <v>3.0554089712781E-2</v>
      </c>
      <c r="E177" t="s">
        <v>1617</v>
      </c>
      <c r="F177" t="s">
        <v>1442</v>
      </c>
      <c r="G177">
        <v>104.636</v>
      </c>
      <c r="H177">
        <v>5.3227263119464104E-3</v>
      </c>
      <c r="I177">
        <v>102.85599999999999</v>
      </c>
      <c r="J177">
        <v>7.55252975461618E-3</v>
      </c>
      <c r="K177" t="s">
        <v>1106</v>
      </c>
      <c r="L177" t="s">
        <v>931</v>
      </c>
    </row>
    <row r="178" spans="1:12" x14ac:dyDescent="0.35">
      <c r="A178">
        <v>1.93744928521071E-2</v>
      </c>
      <c r="B178">
        <v>-1.02831916231174E-2</v>
      </c>
      <c r="C178">
        <v>3.4027993671362999E-2</v>
      </c>
      <c r="D178">
        <v>2.27077607090642E-2</v>
      </c>
      <c r="E178" t="s">
        <v>1618</v>
      </c>
      <c r="F178" t="s">
        <v>1442</v>
      </c>
      <c r="G178">
        <v>105.515</v>
      </c>
      <c r="H178">
        <v>8.4005504797584098E-3</v>
      </c>
      <c r="I178">
        <v>103.435</v>
      </c>
      <c r="J178">
        <v>5.6292292136579398E-3</v>
      </c>
      <c r="K178" t="s">
        <v>1107</v>
      </c>
      <c r="L178" t="s">
        <v>931</v>
      </c>
    </row>
    <row r="179" spans="1:12" x14ac:dyDescent="0.35">
      <c r="A179">
        <v>2.0192934056340501E-2</v>
      </c>
      <c r="B179">
        <v>1.7798477087045E-2</v>
      </c>
      <c r="C179">
        <v>1.2683683496116101E-2</v>
      </c>
      <c r="D179">
        <v>1.8378329285591199E-2</v>
      </c>
      <c r="E179" t="s">
        <v>1619</v>
      </c>
      <c r="F179" t="s">
        <v>1442</v>
      </c>
      <c r="G179">
        <v>105.848</v>
      </c>
      <c r="H179">
        <v>3.1559493910817702E-3</v>
      </c>
      <c r="I179">
        <v>103.907</v>
      </c>
      <c r="J179">
        <v>4.5632522840430801E-3</v>
      </c>
      <c r="K179" t="s">
        <v>1108</v>
      </c>
      <c r="L179" t="s">
        <v>931</v>
      </c>
    </row>
    <row r="180" spans="1:12" x14ac:dyDescent="0.35">
      <c r="A180">
        <v>1.13601398604235E-2</v>
      </c>
      <c r="B180">
        <v>1.8827452214838801E-2</v>
      </c>
      <c r="C180">
        <v>2.3098181930942801E-2</v>
      </c>
      <c r="D180">
        <v>1.94654703730235E-2</v>
      </c>
      <c r="E180" t="s">
        <v>1620</v>
      </c>
      <c r="F180" t="s">
        <v>1442</v>
      </c>
      <c r="G180">
        <v>106.45399999999999</v>
      </c>
      <c r="H180">
        <v>5.7251908396946903E-3</v>
      </c>
      <c r="I180">
        <v>104.40900000000001</v>
      </c>
      <c r="J180">
        <v>4.8312433233566E-3</v>
      </c>
      <c r="K180" t="s">
        <v>1109</v>
      </c>
      <c r="L180" t="s">
        <v>931</v>
      </c>
    </row>
    <row r="181" spans="1:12" x14ac:dyDescent="0.35">
      <c r="A181">
        <v>-4.6048768205230201E-3</v>
      </c>
      <c r="B181">
        <v>5.3720415632923001E-3</v>
      </c>
      <c r="C181">
        <v>-3.1150724387948299E-3</v>
      </c>
      <c r="D181">
        <v>7.0678568534106E-3</v>
      </c>
      <c r="E181" t="s">
        <v>1621</v>
      </c>
      <c r="F181" t="s">
        <v>1442</v>
      </c>
      <c r="G181">
        <v>106.371</v>
      </c>
      <c r="H181">
        <v>-7.7967948597512703E-4</v>
      </c>
      <c r="I181">
        <v>104.593</v>
      </c>
      <c r="J181">
        <v>1.76230018484991E-3</v>
      </c>
      <c r="K181" t="s">
        <v>1110</v>
      </c>
      <c r="L181" t="s">
        <v>931</v>
      </c>
    </row>
    <row r="182" spans="1:12" x14ac:dyDescent="0.35">
      <c r="A182">
        <v>-1.65067373701384E-2</v>
      </c>
      <c r="B182">
        <v>-6.4248737444822001E-3</v>
      </c>
      <c r="C182">
        <v>-3.9305105462135198E-2</v>
      </c>
      <c r="D182">
        <v>-1.18502082280647E-3</v>
      </c>
      <c r="E182" t="s">
        <v>1622</v>
      </c>
      <c r="F182" t="s">
        <v>1442</v>
      </c>
      <c r="G182">
        <v>105.31</v>
      </c>
      <c r="H182">
        <v>-9.9745231313045392E-3</v>
      </c>
      <c r="I182">
        <v>104.562</v>
      </c>
      <c r="J182">
        <v>-2.9638694750133698E-4</v>
      </c>
      <c r="K182" t="s">
        <v>1111</v>
      </c>
      <c r="L182" t="s">
        <v>931</v>
      </c>
    </row>
    <row r="183" spans="1:12" x14ac:dyDescent="0.35">
      <c r="A183">
        <v>1.9548766403745001E-2</v>
      </c>
      <c r="B183">
        <v>7.87290366046434E-3</v>
      </c>
      <c r="C183">
        <v>2.82887807392058E-2</v>
      </c>
      <c r="D183">
        <v>1.76749178700988E-2</v>
      </c>
      <c r="E183" t="s">
        <v>1623</v>
      </c>
      <c r="F183" t="s">
        <v>1442</v>
      </c>
      <c r="G183">
        <v>106.047</v>
      </c>
      <c r="H183">
        <v>6.9983857183553199E-3</v>
      </c>
      <c r="I183">
        <v>105.021</v>
      </c>
      <c r="J183">
        <v>4.3897400585299904E-3</v>
      </c>
      <c r="K183" t="s">
        <v>1112</v>
      </c>
      <c r="L183" t="s">
        <v>931</v>
      </c>
    </row>
    <row r="184" spans="1:12" x14ac:dyDescent="0.35">
      <c r="A184">
        <v>9.6917092109320997E-3</v>
      </c>
      <c r="B184">
        <v>6.1419866574232698E-3</v>
      </c>
      <c r="C184">
        <v>2.4162101667697402E-3</v>
      </c>
      <c r="D184">
        <v>1.1398511762960899E-2</v>
      </c>
      <c r="E184" t="s">
        <v>1624</v>
      </c>
      <c r="F184" t="s">
        <v>1442</v>
      </c>
      <c r="G184">
        <v>106.111</v>
      </c>
      <c r="H184">
        <v>6.0350599262592997E-4</v>
      </c>
      <c r="I184">
        <v>105.319</v>
      </c>
      <c r="J184">
        <v>2.8375277325487498E-3</v>
      </c>
      <c r="K184" t="s">
        <v>1113</v>
      </c>
      <c r="L184" t="s">
        <v>931</v>
      </c>
    </row>
    <row r="185" spans="1:12" x14ac:dyDescent="0.35">
      <c r="A185">
        <v>-3.9403871252573497E-3</v>
      </c>
      <c r="B185">
        <v>-3.1716537268759999E-3</v>
      </c>
      <c r="C185">
        <v>-1.5664221695060501E-2</v>
      </c>
      <c r="D185">
        <v>-2.2010123911118101E-3</v>
      </c>
      <c r="E185" t="s">
        <v>1625</v>
      </c>
      <c r="F185" t="s">
        <v>1442</v>
      </c>
      <c r="G185">
        <v>105.693</v>
      </c>
      <c r="H185">
        <v>-3.9392711405981098E-3</v>
      </c>
      <c r="I185">
        <v>105.261</v>
      </c>
      <c r="J185">
        <v>-5.5070784948596497E-4</v>
      </c>
      <c r="K185" t="s">
        <v>1114</v>
      </c>
      <c r="L185" t="s">
        <v>931</v>
      </c>
    </row>
    <row r="186" spans="1:12" x14ac:dyDescent="0.35">
      <c r="A186">
        <v>2.1316685833889801E-3</v>
      </c>
      <c r="B186">
        <v>-9.9615046560082004E-3</v>
      </c>
      <c r="C186">
        <v>-3.3665208430493802E-2</v>
      </c>
      <c r="D186">
        <v>-9.6550430027560995E-3</v>
      </c>
      <c r="E186" t="s">
        <v>1626</v>
      </c>
      <c r="F186" t="s">
        <v>1442</v>
      </c>
      <c r="G186">
        <v>104.792</v>
      </c>
      <c r="H186">
        <v>-8.5246894307096106E-3</v>
      </c>
      <c r="I186">
        <v>105.006</v>
      </c>
      <c r="J186">
        <v>-2.4225496622680702E-3</v>
      </c>
      <c r="K186" t="s">
        <v>1115</v>
      </c>
      <c r="L186" t="s">
        <v>931</v>
      </c>
    </row>
    <row r="187" spans="1:12" x14ac:dyDescent="0.35">
      <c r="A187">
        <v>2.5357857709627601E-2</v>
      </c>
      <c r="B187">
        <v>2.1698746196001199E-2</v>
      </c>
      <c r="C187">
        <v>3.0770998377488399E-2</v>
      </c>
      <c r="D187">
        <v>3.3008554152673703E-2</v>
      </c>
      <c r="E187" t="s">
        <v>1627</v>
      </c>
      <c r="F187" t="s">
        <v>1442</v>
      </c>
      <c r="G187">
        <v>105.589</v>
      </c>
      <c r="H187">
        <v>7.6055424078174099E-3</v>
      </c>
      <c r="I187">
        <v>105.86199999999999</v>
      </c>
      <c r="J187">
        <v>8.1519151286593202E-3</v>
      </c>
      <c r="K187" t="s">
        <v>1116</v>
      </c>
      <c r="L187" t="s">
        <v>931</v>
      </c>
    </row>
    <row r="188" spans="1:12" x14ac:dyDescent="0.35">
      <c r="A188">
        <v>1.5085753101185199E-2</v>
      </c>
      <c r="B188">
        <v>1.5625918949128799E-2</v>
      </c>
      <c r="C188">
        <v>1.5469326265677499E-2</v>
      </c>
      <c r="D188">
        <v>3.0262315011426702E-3</v>
      </c>
      <c r="E188" t="s">
        <v>1628</v>
      </c>
      <c r="F188" t="s">
        <v>1442</v>
      </c>
      <c r="G188">
        <v>105.995</v>
      </c>
      <c r="H188">
        <v>3.8450975006867299E-3</v>
      </c>
      <c r="I188">
        <v>105.94199999999999</v>
      </c>
      <c r="J188">
        <v>7.5570081804610101E-4</v>
      </c>
      <c r="K188" t="s">
        <v>1117</v>
      </c>
      <c r="L188" t="s">
        <v>931</v>
      </c>
    </row>
    <row r="189" spans="1:12" x14ac:dyDescent="0.35">
      <c r="A189">
        <v>1.9065277405527499E-2</v>
      </c>
      <c r="B189">
        <v>1.9426037707255001E-2</v>
      </c>
      <c r="C189">
        <v>1.98067429774604E-2</v>
      </c>
      <c r="D189">
        <v>1.9471921944120799E-2</v>
      </c>
      <c r="E189" t="s">
        <v>1629</v>
      </c>
      <c r="F189" t="s">
        <v>1442</v>
      </c>
      <c r="G189">
        <v>106.51600000000001</v>
      </c>
      <c r="H189">
        <v>4.9153261946317502E-3</v>
      </c>
      <c r="I189">
        <v>106.45399999999999</v>
      </c>
      <c r="J189">
        <v>4.8328330595985803E-3</v>
      </c>
      <c r="K189" t="s">
        <v>1118</v>
      </c>
      <c r="L189" t="s">
        <v>931</v>
      </c>
    </row>
    <row r="190" spans="1:12" x14ac:dyDescent="0.35">
      <c r="A190">
        <v>2.3896314746341098E-2</v>
      </c>
      <c r="B190">
        <v>1.9409885132803301E-2</v>
      </c>
      <c r="C190">
        <v>3.9514900887574103E-2</v>
      </c>
      <c r="D190">
        <v>2.7099611156277601E-2</v>
      </c>
      <c r="E190" t="s">
        <v>1630</v>
      </c>
      <c r="F190" t="s">
        <v>1442</v>
      </c>
      <c r="G190">
        <v>107.53400000000001</v>
      </c>
      <c r="H190">
        <v>9.5572496150813108E-3</v>
      </c>
      <c r="I190">
        <v>107.188</v>
      </c>
      <c r="J190">
        <v>6.8949969000695601E-3</v>
      </c>
      <c r="K190" t="s">
        <v>1119</v>
      </c>
      <c r="L190" t="s">
        <v>931</v>
      </c>
    </row>
    <row r="191" spans="1:12" x14ac:dyDescent="0.35">
      <c r="A191">
        <v>9.9328007831764892E-3</v>
      </c>
      <c r="B191">
        <v>1.3103273651826199E-2</v>
      </c>
      <c r="C191">
        <v>9.0306358829268501E-3</v>
      </c>
      <c r="D191">
        <v>2.1521193573355E-2</v>
      </c>
      <c r="E191" t="s">
        <v>1631</v>
      </c>
      <c r="F191" t="s">
        <v>1442</v>
      </c>
      <c r="G191">
        <v>107.80200000000001</v>
      </c>
      <c r="H191">
        <v>2.49223501404217E-3</v>
      </c>
      <c r="I191">
        <v>107.712</v>
      </c>
      <c r="J191">
        <v>4.8886069336120403E-3</v>
      </c>
      <c r="K191" t="s">
        <v>1120</v>
      </c>
      <c r="L191" t="s">
        <v>931</v>
      </c>
    </row>
    <row r="192" spans="1:12" x14ac:dyDescent="0.35">
      <c r="A192">
        <v>1.4603017582518699E-2</v>
      </c>
      <c r="B192">
        <v>1.7788818797953999E-2</v>
      </c>
      <c r="C192">
        <v>3.6635495652026999E-2</v>
      </c>
      <c r="D192">
        <v>3.6311211479282998E-2</v>
      </c>
      <c r="E192" t="s">
        <v>1632</v>
      </c>
      <c r="F192" t="s">
        <v>1442</v>
      </c>
      <c r="G192">
        <v>108.785</v>
      </c>
      <c r="H192">
        <v>9.1185692287711895E-3</v>
      </c>
      <c r="I192">
        <v>108.676</v>
      </c>
      <c r="J192">
        <v>8.94979203802726E-3</v>
      </c>
      <c r="K192" t="s">
        <v>1121</v>
      </c>
      <c r="L192" t="s">
        <v>931</v>
      </c>
    </row>
    <row r="193" spans="1:12" x14ac:dyDescent="0.35">
      <c r="A193">
        <v>2.5719713356744601E-2</v>
      </c>
      <c r="B193">
        <v>2.90667642529692E-2</v>
      </c>
      <c r="C193">
        <v>5.7042627848445E-2</v>
      </c>
      <c r="D193">
        <v>2.3197124388088401E-2</v>
      </c>
      <c r="E193" t="s">
        <v>1633</v>
      </c>
      <c r="F193" t="s">
        <v>1442</v>
      </c>
      <c r="G193">
        <v>110.252</v>
      </c>
      <c r="H193">
        <v>1.3485315071011699E-2</v>
      </c>
      <c r="I193">
        <v>109.285</v>
      </c>
      <c r="J193">
        <v>5.6038131694209304E-3</v>
      </c>
      <c r="K193" t="s">
        <v>1122</v>
      </c>
      <c r="L193" t="s">
        <v>931</v>
      </c>
    </row>
    <row r="194" spans="1:12" x14ac:dyDescent="0.35">
      <c r="A194">
        <v>2.9147369447939799E-2</v>
      </c>
      <c r="B194">
        <v>4.11537159385129E-2</v>
      </c>
      <c r="C194">
        <v>5.2316315130779299E-2</v>
      </c>
      <c r="D194">
        <v>3.8107075575473298E-2</v>
      </c>
      <c r="E194" t="s">
        <v>1634</v>
      </c>
      <c r="F194" t="s">
        <v>1442</v>
      </c>
      <c r="G194">
        <v>111.627</v>
      </c>
      <c r="H194">
        <v>1.24714290897217E-2</v>
      </c>
      <c r="I194">
        <v>110.291</v>
      </c>
      <c r="J194">
        <v>9.2052889234570702E-3</v>
      </c>
      <c r="K194" t="s">
        <v>1123</v>
      </c>
      <c r="L194" t="s">
        <v>931</v>
      </c>
    </row>
    <row r="195" spans="1:12" x14ac:dyDescent="0.35">
      <c r="A195">
        <v>2.1663179127611398E-2</v>
      </c>
      <c r="B195">
        <v>2.95524402709311E-2</v>
      </c>
      <c r="C195">
        <v>4.1414814571916599E-2</v>
      </c>
      <c r="D195">
        <v>5.71493007542314E-2</v>
      </c>
      <c r="E195" t="s">
        <v>1635</v>
      </c>
      <c r="F195" t="s">
        <v>1442</v>
      </c>
      <c r="G195">
        <v>112.81100000000001</v>
      </c>
      <c r="H195">
        <v>1.06067528465337E-2</v>
      </c>
      <c r="I195">
        <v>111.736</v>
      </c>
      <c r="J195">
        <v>1.3101703674824E-2</v>
      </c>
      <c r="K195" t="s">
        <v>1124</v>
      </c>
      <c r="L195" t="s">
        <v>931</v>
      </c>
    </row>
    <row r="196" spans="1:12" x14ac:dyDescent="0.35">
      <c r="A196">
        <v>1.4350946991545E-2</v>
      </c>
      <c r="B196">
        <v>2.3387558006987101E-2</v>
      </c>
      <c r="C196">
        <v>3.8836746328921902E-2</v>
      </c>
      <c r="D196">
        <v>2.9745006586506799E-2</v>
      </c>
      <c r="E196" t="s">
        <v>1636</v>
      </c>
      <c r="F196" t="s">
        <v>1442</v>
      </c>
      <c r="G196">
        <v>113.875</v>
      </c>
      <c r="H196">
        <v>9.4317043550717905E-3</v>
      </c>
      <c r="I196">
        <v>112.542</v>
      </c>
      <c r="J196">
        <v>7.2134316603422698E-3</v>
      </c>
      <c r="K196" t="s">
        <v>1125</v>
      </c>
      <c r="L196" t="s">
        <v>931</v>
      </c>
    </row>
    <row r="197" spans="1:12" x14ac:dyDescent="0.35">
      <c r="A197">
        <v>1.51565091171486E-2</v>
      </c>
      <c r="B197">
        <v>2.9652502701153601E-2</v>
      </c>
      <c r="C197">
        <v>1.6036274889288799E-2</v>
      </c>
      <c r="D197">
        <v>4.1912016313216102E-2</v>
      </c>
      <c r="E197" t="s">
        <v>1637</v>
      </c>
      <c r="F197" t="s">
        <v>1442</v>
      </c>
      <c r="G197">
        <v>114.43899999999999</v>
      </c>
      <c r="H197">
        <v>4.9527991218440998E-3</v>
      </c>
      <c r="I197">
        <v>113.715</v>
      </c>
      <c r="J197">
        <v>1.0422775497147801E-2</v>
      </c>
      <c r="K197" t="s">
        <v>1126</v>
      </c>
      <c r="L197" t="s">
        <v>931</v>
      </c>
    </row>
    <row r="198" spans="1:12" x14ac:dyDescent="0.35">
      <c r="A198">
        <v>8.3593342288621492E-3</v>
      </c>
      <c r="B198">
        <v>4.3357912415273203E-2</v>
      </c>
      <c r="C198">
        <v>-1.6750426853228501E-2</v>
      </c>
      <c r="D198">
        <v>1.5721372171975601E-2</v>
      </c>
      <c r="E198" t="s">
        <v>1638</v>
      </c>
      <c r="F198" t="s">
        <v>1442</v>
      </c>
      <c r="G198">
        <v>113.98</v>
      </c>
      <c r="H198">
        <v>-4.0108704200489996E-3</v>
      </c>
      <c r="I198">
        <v>114.175</v>
      </c>
      <c r="J198">
        <v>4.0452007211009304E-3</v>
      </c>
      <c r="K198" t="s">
        <v>1127</v>
      </c>
      <c r="L198" t="s">
        <v>931</v>
      </c>
    </row>
    <row r="199" spans="1:12" x14ac:dyDescent="0.35">
      <c r="A199">
        <v>2.4734353401226102E-2</v>
      </c>
      <c r="B199">
        <v>-2.6343933972632301E-2</v>
      </c>
      <c r="C199">
        <v>2.5813818283005E-2</v>
      </c>
      <c r="D199">
        <v>4.8037769815769002E-2</v>
      </c>
      <c r="E199" t="s">
        <v>1639</v>
      </c>
      <c r="F199" t="s">
        <v>1442</v>
      </c>
      <c r="G199">
        <v>114.758</v>
      </c>
      <c r="H199">
        <v>6.8257589050710896E-3</v>
      </c>
      <c r="I199">
        <v>115.41800000000001</v>
      </c>
      <c r="J199">
        <v>1.0886796584191E-2</v>
      </c>
      <c r="K199" t="s">
        <v>1128</v>
      </c>
      <c r="L199" t="s">
        <v>931</v>
      </c>
    </row>
    <row r="200" spans="1:12" x14ac:dyDescent="0.35">
      <c r="A200">
        <v>1.0490970472330399E-2</v>
      </c>
      <c r="B200">
        <v>1.0018821110834301E-2</v>
      </c>
      <c r="C200">
        <v>8.6124156242581903E-3</v>
      </c>
      <c r="D200">
        <v>1.9083730667159401E-2</v>
      </c>
      <c r="E200" t="s">
        <v>1640</v>
      </c>
      <c r="F200" t="s">
        <v>1442</v>
      </c>
      <c r="G200">
        <v>114.919</v>
      </c>
      <c r="H200">
        <v>1.40295229962173E-3</v>
      </c>
      <c r="I200">
        <v>115.982</v>
      </c>
      <c r="J200">
        <v>4.8865861477411796E-3</v>
      </c>
      <c r="K200" t="s">
        <v>1129</v>
      </c>
      <c r="L200" t="s">
        <v>931</v>
      </c>
    </row>
    <row r="201" spans="1:12" x14ac:dyDescent="0.35">
      <c r="A201">
        <v>1.45690487077856E-2</v>
      </c>
      <c r="B201">
        <v>1.6245763277308499E-2</v>
      </c>
      <c r="C201">
        <v>1.6996215944869601E-2</v>
      </c>
      <c r="D201">
        <v>5.8979339636946503E-3</v>
      </c>
      <c r="E201" t="s">
        <v>1641</v>
      </c>
      <c r="F201" t="s">
        <v>1442</v>
      </c>
      <c r="G201">
        <v>115.285</v>
      </c>
      <c r="H201">
        <v>3.1848519391919298E-3</v>
      </c>
      <c r="I201">
        <v>116.167</v>
      </c>
      <c r="J201">
        <v>1.59507509785994E-3</v>
      </c>
      <c r="K201" t="s">
        <v>1130</v>
      </c>
      <c r="L201" t="s">
        <v>931</v>
      </c>
    </row>
    <row r="202" spans="1:12" x14ac:dyDescent="0.35">
      <c r="A202">
        <v>1.46624987744557E-2</v>
      </c>
      <c r="B202">
        <v>1.3591255249432201E-2</v>
      </c>
      <c r="C202">
        <v>5.0660572456327199E-2</v>
      </c>
      <c r="D202">
        <v>1.0418465412080901E-2</v>
      </c>
      <c r="E202" t="s">
        <v>1642</v>
      </c>
      <c r="F202" t="s">
        <v>1442</v>
      </c>
      <c r="G202">
        <v>116.54600000000001</v>
      </c>
      <c r="H202">
        <v>1.09381099015484E-2</v>
      </c>
      <c r="I202">
        <v>116.5</v>
      </c>
      <c r="J202">
        <v>2.86656279322006E-3</v>
      </c>
      <c r="K202" t="s">
        <v>1131</v>
      </c>
      <c r="L202" t="s">
        <v>931</v>
      </c>
    </row>
    <row r="203" spans="1:12" x14ac:dyDescent="0.35">
      <c r="A203">
        <v>-1.7940859457881899E-2</v>
      </c>
      <c r="B203">
        <v>3.31045118831508E-3</v>
      </c>
      <c r="C203">
        <v>-1.06133933402519E-3</v>
      </c>
      <c r="D203">
        <v>-7.65559802497651E-3</v>
      </c>
      <c r="E203" t="s">
        <v>1643</v>
      </c>
      <c r="F203" t="s">
        <v>1442</v>
      </c>
      <c r="G203">
        <v>116.072</v>
      </c>
      <c r="H203">
        <v>-4.0670636486881398E-3</v>
      </c>
      <c r="I203">
        <v>116.19499999999999</v>
      </c>
      <c r="J203">
        <v>-2.61802575107306E-3</v>
      </c>
      <c r="K203" t="s">
        <v>1132</v>
      </c>
      <c r="L203" t="s">
        <v>931</v>
      </c>
    </row>
    <row r="204" spans="1:12" x14ac:dyDescent="0.35">
      <c r="A204">
        <v>3.3775526155126898E-2</v>
      </c>
      <c r="B204">
        <v>2.5959727144998501E-2</v>
      </c>
      <c r="C204">
        <v>3.4596703938155803E-2</v>
      </c>
      <c r="D204">
        <v>4.1355015452944698E-2</v>
      </c>
      <c r="E204" t="s">
        <v>1644</v>
      </c>
      <c r="F204" t="s">
        <v>1442</v>
      </c>
      <c r="G204">
        <v>116.51900000000001</v>
      </c>
      <c r="H204">
        <v>3.8510579640223001E-3</v>
      </c>
      <c r="I204">
        <v>117.285</v>
      </c>
      <c r="J204">
        <v>9.3807823056069103E-3</v>
      </c>
      <c r="K204" t="s">
        <v>1133</v>
      </c>
      <c r="L204" t="s">
        <v>931</v>
      </c>
    </row>
    <row r="205" spans="1:12" x14ac:dyDescent="0.35">
      <c r="A205">
        <v>1.6442937470855502E-2</v>
      </c>
      <c r="B205">
        <v>2.4447407360365301E-2</v>
      </c>
      <c r="C205">
        <v>5.1547958936444697E-2</v>
      </c>
      <c r="D205">
        <v>1.8415186976738801E-2</v>
      </c>
      <c r="E205" t="s">
        <v>1645</v>
      </c>
      <c r="F205" t="s">
        <v>1442</v>
      </c>
      <c r="G205">
        <v>117.593</v>
      </c>
      <c r="H205">
        <v>9.2173808563409398E-3</v>
      </c>
      <c r="I205">
        <v>117.706</v>
      </c>
      <c r="J205">
        <v>3.5895468303705999E-3</v>
      </c>
      <c r="K205" t="s">
        <v>1134</v>
      </c>
      <c r="L205" t="s">
        <v>931</v>
      </c>
    </row>
    <row r="206" spans="1:12" x14ac:dyDescent="0.35">
      <c r="A206">
        <v>4.5025943450948999E-2</v>
      </c>
      <c r="B206">
        <v>4.0827649049089101E-2</v>
      </c>
      <c r="C206">
        <v>9.2834286401326696E-2</v>
      </c>
      <c r="D206">
        <v>6.4160755006020101E-2</v>
      </c>
      <c r="E206" t="s">
        <v>1646</v>
      </c>
      <c r="F206" t="s">
        <v>1442</v>
      </c>
      <c r="G206">
        <v>119.419</v>
      </c>
      <c r="H206">
        <v>1.5528135178114201E-2</v>
      </c>
      <c r="I206">
        <v>119.416</v>
      </c>
      <c r="J206">
        <v>1.45277216114725E-2</v>
      </c>
      <c r="K206" t="s">
        <v>1135</v>
      </c>
      <c r="L206" t="s">
        <v>931</v>
      </c>
    </row>
    <row r="207" spans="1:12" x14ac:dyDescent="0.35">
      <c r="A207">
        <v>6.4441802743663304E-2</v>
      </c>
      <c r="B207">
        <v>4.1247362410053098E-2</v>
      </c>
      <c r="C207">
        <v>8.0575514620662397E-2</v>
      </c>
      <c r="D207">
        <v>0.104589902157439</v>
      </c>
      <c r="E207" t="s">
        <v>1647</v>
      </c>
      <c r="F207" t="s">
        <v>1442</v>
      </c>
      <c r="G207">
        <v>121.425</v>
      </c>
      <c r="H207">
        <v>1.6797996968656699E-2</v>
      </c>
      <c r="I207">
        <v>122.101</v>
      </c>
      <c r="J207">
        <v>2.24844241977624E-2</v>
      </c>
      <c r="K207" t="s">
        <v>1136</v>
      </c>
      <c r="L207" t="s">
        <v>931</v>
      </c>
    </row>
    <row r="208" spans="1:12" x14ac:dyDescent="0.35">
      <c r="A208">
        <v>5.5998846943190198E-2</v>
      </c>
      <c r="B208">
        <v>4.40178580952795E-2</v>
      </c>
      <c r="C208">
        <v>6.4680375979367696E-2</v>
      </c>
      <c r="D208">
        <v>9.3631239224950299E-2</v>
      </c>
      <c r="E208" t="s">
        <v>1648</v>
      </c>
      <c r="F208" t="s">
        <v>1442</v>
      </c>
      <c r="G208">
        <v>123.291</v>
      </c>
      <c r="H208">
        <v>1.53675108091413E-2</v>
      </c>
      <c r="I208">
        <v>124.71</v>
      </c>
      <c r="J208">
        <v>2.13675563672697E-2</v>
      </c>
      <c r="K208" t="s">
        <v>1137</v>
      </c>
      <c r="L208" t="s">
        <v>931</v>
      </c>
    </row>
    <row r="209" spans="1:12" x14ac:dyDescent="0.35">
      <c r="A209">
        <v>6.1859650545573498E-2</v>
      </c>
      <c r="B209">
        <v>4.34322998250962E-2</v>
      </c>
      <c r="C209">
        <v>8.4136934840178798E-2</v>
      </c>
      <c r="D209">
        <v>0.12124821634027599</v>
      </c>
      <c r="E209" t="s">
        <v>1649</v>
      </c>
      <c r="F209" t="s">
        <v>1442</v>
      </c>
      <c r="G209">
        <v>125.712</v>
      </c>
      <c r="H209">
        <v>1.96364698153151E-2</v>
      </c>
      <c r="I209">
        <v>128.44900000000001</v>
      </c>
      <c r="J209">
        <v>2.9981557212733798E-2</v>
      </c>
      <c r="K209" t="s">
        <v>1138</v>
      </c>
      <c r="L209" t="s">
        <v>931</v>
      </c>
    </row>
    <row r="210" spans="1:12" x14ac:dyDescent="0.35">
      <c r="A210">
        <v>7.4784916271317198E-2</v>
      </c>
      <c r="B210">
        <v>5.6798579453040801E-2</v>
      </c>
      <c r="C210">
        <v>0.10120576467409099</v>
      </c>
      <c r="D210">
        <v>0.12687792670398401</v>
      </c>
      <c r="E210" t="s">
        <v>1650</v>
      </c>
      <c r="F210" t="s">
        <v>1442</v>
      </c>
      <c r="G210">
        <v>129</v>
      </c>
      <c r="H210">
        <v>2.6155021000381799E-2</v>
      </c>
      <c r="I210">
        <v>132.33099999999999</v>
      </c>
      <c r="J210">
        <v>3.0222111499505398E-2</v>
      </c>
      <c r="K210" t="s">
        <v>1139</v>
      </c>
      <c r="L210" t="s">
        <v>931</v>
      </c>
    </row>
    <row r="211" spans="1:12" x14ac:dyDescent="0.35">
      <c r="A211">
        <v>7.2922192171477093E-2</v>
      </c>
      <c r="B211">
        <v>5.9959109255099501E-2</v>
      </c>
      <c r="C211">
        <v>0.15221841372862299</v>
      </c>
      <c r="D211">
        <v>0.13796693794697101</v>
      </c>
      <c r="E211" t="s">
        <v>1651</v>
      </c>
      <c r="F211" t="s">
        <v>1442</v>
      </c>
      <c r="G211">
        <v>133.62100000000001</v>
      </c>
      <c r="H211">
        <v>3.5821705426356799E-2</v>
      </c>
      <c r="I211">
        <v>136.69900000000001</v>
      </c>
      <c r="J211">
        <v>3.3008138682546297E-2</v>
      </c>
      <c r="K211" t="s">
        <v>1140</v>
      </c>
      <c r="L211" t="s">
        <v>931</v>
      </c>
    </row>
    <row r="212" spans="1:12" x14ac:dyDescent="0.35">
      <c r="A212">
        <v>4.1796200977757901E-2</v>
      </c>
      <c r="B212">
        <v>4.8377032065661102E-2</v>
      </c>
      <c r="C212">
        <v>8.9811228034972802E-3</v>
      </c>
      <c r="D212">
        <v>8.9581033951388098E-2</v>
      </c>
      <c r="E212" t="s">
        <v>1652</v>
      </c>
      <c r="F212" t="s">
        <v>1442</v>
      </c>
      <c r="H212">
        <v>1.10762503071244E-2</v>
      </c>
      <c r="J212">
        <v>1.10762503071244E-2</v>
      </c>
      <c r="K212" t="s">
        <v>1141</v>
      </c>
      <c r="L212" t="s">
        <v>1142</v>
      </c>
    </row>
    <row r="213" spans="1:12" x14ac:dyDescent="0.35">
      <c r="A213">
        <v>2.7447616796656402E-2</v>
      </c>
      <c r="B213">
        <v>2.3249618404576101E-2</v>
      </c>
      <c r="C213">
        <v>3.8298767461848897E-2</v>
      </c>
      <c r="D213">
        <v>3.8298767461848897E-2</v>
      </c>
      <c r="E213" t="s">
        <v>1653</v>
      </c>
      <c r="F213" t="s">
        <v>1654</v>
      </c>
      <c r="H213">
        <v>9.4401732935755992E-3</v>
      </c>
      <c r="J213">
        <v>9.4401732935755992E-3</v>
      </c>
      <c r="K213" t="s">
        <v>1143</v>
      </c>
      <c r="L213" t="s">
        <v>1142</v>
      </c>
    </row>
    <row r="214" spans="1:12" x14ac:dyDescent="0.35">
      <c r="A214">
        <v>2.49173870638888E-2</v>
      </c>
      <c r="B214">
        <v>2.1715756912072299E-2</v>
      </c>
      <c r="C214">
        <v>3.6085750781477598E-2</v>
      </c>
      <c r="D214">
        <v>3.6085750781477598E-2</v>
      </c>
      <c r="E214" t="s">
        <v>1655</v>
      </c>
      <c r="F214" t="s">
        <v>1654</v>
      </c>
      <c r="H214">
        <v>8.9018658885664497E-3</v>
      </c>
      <c r="J214">
        <v>8.9018658885664497E-3</v>
      </c>
      <c r="K214" t="s">
        <v>1144</v>
      </c>
      <c r="L214" t="s">
        <v>1142</v>
      </c>
    </row>
    <row r="215" spans="1:12" x14ac:dyDescent="0.35">
      <c r="A215">
        <v>2.33440010578361E-2</v>
      </c>
      <c r="B215">
        <v>2.1485909848918801E-2</v>
      </c>
      <c r="C215">
        <v>3.2005284910624002E-2</v>
      </c>
      <c r="D215">
        <v>3.2005284910624002E-2</v>
      </c>
      <c r="E215" t="s">
        <v>1656</v>
      </c>
      <c r="F215" t="s">
        <v>1654</v>
      </c>
      <c r="H215">
        <v>7.9070438771131606E-3</v>
      </c>
      <c r="J215">
        <v>7.9070438771131606E-3</v>
      </c>
      <c r="K215" t="s">
        <v>1145</v>
      </c>
      <c r="L215" t="s">
        <v>1142</v>
      </c>
    </row>
    <row r="216" spans="1:12" x14ac:dyDescent="0.35">
      <c r="A216">
        <v>2.2676579457354702E-2</v>
      </c>
      <c r="B216">
        <v>2.1729771469873E-2</v>
      </c>
      <c r="C216">
        <v>2.9538555790939999E-2</v>
      </c>
      <c r="D216">
        <v>2.9538555790939999E-2</v>
      </c>
      <c r="E216" t="s">
        <v>1657</v>
      </c>
      <c r="F216" t="s">
        <v>1654</v>
      </c>
      <c r="H216">
        <v>7.3042210756391101E-3</v>
      </c>
      <c r="J216">
        <v>7.3042210756391101E-3</v>
      </c>
      <c r="K216" t="s">
        <v>1146</v>
      </c>
      <c r="L216" t="s">
        <v>1142</v>
      </c>
    </row>
    <row r="217" spans="1:12" x14ac:dyDescent="0.35">
      <c r="A217">
        <v>2.2178287431426899E-2</v>
      </c>
      <c r="B217">
        <v>2.22727407121028E-2</v>
      </c>
      <c r="C217">
        <v>2.8512142036472E-2</v>
      </c>
      <c r="D217">
        <v>2.8512142036472E-2</v>
      </c>
      <c r="E217" t="s">
        <v>1658</v>
      </c>
      <c r="F217" t="s">
        <v>1654</v>
      </c>
      <c r="H217">
        <v>7.0530654325617901E-3</v>
      </c>
      <c r="J217">
        <v>7.0530654325617901E-3</v>
      </c>
      <c r="K217" t="s">
        <v>1147</v>
      </c>
      <c r="L217" t="s">
        <v>1142</v>
      </c>
    </row>
    <row r="218" spans="1:12" x14ac:dyDescent="0.35">
      <c r="A218">
        <v>2.1434276652948898E-2</v>
      </c>
      <c r="B218">
        <v>2.23623952750127E-2</v>
      </c>
      <c r="C218">
        <v>2.8283584176253401E-2</v>
      </c>
      <c r="D218">
        <v>2.8283584176253401E-2</v>
      </c>
      <c r="E218" t="s">
        <v>1659</v>
      </c>
      <c r="F218" t="s">
        <v>1654</v>
      </c>
      <c r="H218">
        <v>6.9971134735056202E-3</v>
      </c>
      <c r="J218">
        <v>6.9971134735056202E-3</v>
      </c>
      <c r="K218" t="s">
        <v>1148</v>
      </c>
      <c r="L218" t="s">
        <v>1142</v>
      </c>
    </row>
    <row r="219" spans="1:12" x14ac:dyDescent="0.35">
      <c r="A219">
        <v>2.10072065089228E-2</v>
      </c>
      <c r="B219">
        <v>2.2496789219665199E-2</v>
      </c>
      <c r="C219">
        <v>2.7654852328046001E-2</v>
      </c>
      <c r="D219">
        <v>2.7654852328046001E-2</v>
      </c>
      <c r="E219" t="s">
        <v>1660</v>
      </c>
      <c r="F219" t="s">
        <v>1654</v>
      </c>
      <c r="H219">
        <v>6.8431490448084302E-3</v>
      </c>
      <c r="J219">
        <v>6.8431490448084302E-3</v>
      </c>
      <c r="K219" t="s">
        <v>1149</v>
      </c>
      <c r="L219" t="s">
        <v>1142</v>
      </c>
    </row>
    <row r="220" spans="1:12" x14ac:dyDescent="0.35">
      <c r="A220">
        <v>2.0591622707038602E-2</v>
      </c>
      <c r="B220">
        <v>2.25123599902981E-2</v>
      </c>
      <c r="C220">
        <v>2.7753662335143502E-2</v>
      </c>
      <c r="D220">
        <v>2.7753662335143502E-2</v>
      </c>
      <c r="E220" t="s">
        <v>1661</v>
      </c>
      <c r="F220" t="s">
        <v>1654</v>
      </c>
      <c r="H220">
        <v>6.8673504076357502E-3</v>
      </c>
      <c r="J220">
        <v>6.8673504076357502E-3</v>
      </c>
      <c r="K220" t="s">
        <v>1150</v>
      </c>
      <c r="L220" t="s">
        <v>1142</v>
      </c>
    </row>
    <row r="221" spans="1:12" x14ac:dyDescent="0.35">
      <c r="A221">
        <v>2.0347186911993099E-2</v>
      </c>
      <c r="B221">
        <v>2.2891901714989799E-2</v>
      </c>
      <c r="C221">
        <v>2.8110399323646899E-2</v>
      </c>
      <c r="D221">
        <v>2.8110399323646899E-2</v>
      </c>
      <c r="E221" t="s">
        <v>1662</v>
      </c>
      <c r="F221" t="s">
        <v>1654</v>
      </c>
      <c r="H221">
        <v>6.9547108559351303E-3</v>
      </c>
      <c r="J221">
        <v>6.9547108559351303E-3</v>
      </c>
      <c r="K221" t="s">
        <v>1151</v>
      </c>
      <c r="L221" t="s">
        <v>1142</v>
      </c>
    </row>
    <row r="222" spans="1:12" x14ac:dyDescent="0.35">
      <c r="A222">
        <v>2.03844462174123E-2</v>
      </c>
      <c r="B222">
        <v>2.2688598137850801E-2</v>
      </c>
      <c r="C222">
        <v>2.89673943247446E-2</v>
      </c>
      <c r="D222">
        <v>2.89673943247446E-2</v>
      </c>
      <c r="E222" t="s">
        <v>1663</v>
      </c>
      <c r="F222" t="s">
        <v>1654</v>
      </c>
      <c r="H222">
        <v>7.1644853940870902E-3</v>
      </c>
      <c r="J222">
        <v>7.1644853940870902E-3</v>
      </c>
      <c r="K222" t="s">
        <v>1152</v>
      </c>
      <c r="L222" t="s">
        <v>1142</v>
      </c>
    </row>
    <row r="223" spans="1:12" x14ac:dyDescent="0.35">
      <c r="A223">
        <v>2.02121429685698E-2</v>
      </c>
      <c r="B223">
        <v>2.2861927422401802E-2</v>
      </c>
      <c r="C223">
        <v>2.97171972862664E-2</v>
      </c>
      <c r="D223">
        <v>2.97171972862664E-2</v>
      </c>
      <c r="E223" t="s">
        <v>1664</v>
      </c>
      <c r="F223" t="s">
        <v>1654</v>
      </c>
      <c r="H223">
        <v>7.3479141028771596E-3</v>
      </c>
      <c r="J223">
        <v>7.3479141028771596E-3</v>
      </c>
      <c r="K223" t="s">
        <v>1153</v>
      </c>
      <c r="L223" t="s">
        <v>1142</v>
      </c>
    </row>
    <row r="224" spans="1:12" x14ac:dyDescent="0.35">
      <c r="A224">
        <v>2.00951255413373E-2</v>
      </c>
      <c r="B224">
        <v>2.2789213164977801E-2</v>
      </c>
      <c r="C224">
        <v>2.9972823640437098E-2</v>
      </c>
      <c r="D224">
        <v>2.9972823640437098E-2</v>
      </c>
      <c r="E224" t="s">
        <v>1665</v>
      </c>
      <c r="F224" t="s">
        <v>1654</v>
      </c>
      <c r="H224">
        <v>7.4104265836887296E-3</v>
      </c>
      <c r="J224">
        <v>7.4104265836887296E-3</v>
      </c>
      <c r="K224" t="s">
        <v>1154</v>
      </c>
      <c r="L224" t="s">
        <v>1142</v>
      </c>
    </row>
    <row r="225" spans="1:12" x14ac:dyDescent="0.35">
      <c r="A225">
        <v>2.0005533751415599E-2</v>
      </c>
      <c r="B225">
        <v>2.30067515754304E-2</v>
      </c>
      <c r="C225">
        <v>3.0378543432117301E-2</v>
      </c>
      <c r="D225">
        <v>3.0378543432117301E-2</v>
      </c>
      <c r="E225" t="s">
        <v>1666</v>
      </c>
      <c r="F225" t="s">
        <v>1654</v>
      </c>
      <c r="H225">
        <v>7.5096199742570296E-3</v>
      </c>
      <c r="J225">
        <v>7.5096199742570296E-3</v>
      </c>
      <c r="K225" t="s">
        <v>1155</v>
      </c>
      <c r="L225" t="s">
        <v>1142</v>
      </c>
    </row>
    <row r="226" spans="1:12" x14ac:dyDescent="0.35">
      <c r="A226">
        <v>1.9992497685795502E-2</v>
      </c>
      <c r="B226">
        <v>2.28689196510703E-2</v>
      </c>
      <c r="C226">
        <v>3.0384347471833498E-2</v>
      </c>
      <c r="D226">
        <v>3.0384347471833498E-2</v>
      </c>
      <c r="E226" t="s">
        <v>1667</v>
      </c>
      <c r="F226" t="s">
        <v>1654</v>
      </c>
      <c r="H226">
        <v>7.5110387764860701E-3</v>
      </c>
      <c r="J226">
        <v>7.5110387764860701E-3</v>
      </c>
      <c r="K226" t="s">
        <v>1156</v>
      </c>
      <c r="L226" t="s">
        <v>1142</v>
      </c>
    </row>
    <row r="227" spans="1:12" x14ac:dyDescent="0.35">
      <c r="A227">
        <v>1.99491524210023E-2</v>
      </c>
      <c r="B227">
        <v>2.2952518060170599E-2</v>
      </c>
      <c r="C227">
        <v>3.0780667439755299E-2</v>
      </c>
      <c r="D227">
        <v>3.0780667439755299E-2</v>
      </c>
      <c r="E227" t="s">
        <v>1668</v>
      </c>
      <c r="F227" t="s">
        <v>1654</v>
      </c>
      <c r="H227">
        <v>7.6079053396602703E-3</v>
      </c>
      <c r="J227">
        <v>7.6079053396602703E-3</v>
      </c>
      <c r="K227" t="s">
        <v>1157</v>
      </c>
      <c r="L227" t="s">
        <v>1142</v>
      </c>
    </row>
    <row r="228" spans="1:12" x14ac:dyDescent="0.35">
      <c r="A228">
        <v>1.99785657506244E-2</v>
      </c>
      <c r="B228">
        <v>2.3092018308592099E-2</v>
      </c>
      <c r="C228">
        <v>3.09234356698747E-2</v>
      </c>
      <c r="D228">
        <v>3.09234356698747E-2</v>
      </c>
      <c r="E228" t="s">
        <v>1669</v>
      </c>
      <c r="F228" t="s">
        <v>1654</v>
      </c>
      <c r="H228">
        <v>7.6427931995954896E-3</v>
      </c>
      <c r="J228">
        <v>7.6427931995954896E-3</v>
      </c>
      <c r="K228" t="s">
        <v>1158</v>
      </c>
      <c r="L228" t="s">
        <v>1142</v>
      </c>
    </row>
    <row r="229" spans="1:12" x14ac:dyDescent="0.35">
      <c r="A229">
        <v>1.9973482507164499E-2</v>
      </c>
      <c r="B229">
        <v>2.29188557927167E-2</v>
      </c>
      <c r="C229">
        <v>3.0940126349132901E-2</v>
      </c>
      <c r="D229">
        <v>3.0940126349132901E-2</v>
      </c>
      <c r="E229" t="s">
        <v>1670</v>
      </c>
      <c r="F229" t="s">
        <v>1654</v>
      </c>
      <c r="H229">
        <v>7.6468716160857904E-3</v>
      </c>
      <c r="J229">
        <v>7.6468716160857904E-3</v>
      </c>
      <c r="K229" t="s">
        <v>1159</v>
      </c>
      <c r="L229" t="s">
        <v>1142</v>
      </c>
    </row>
    <row r="230" spans="1:12" x14ac:dyDescent="0.35">
      <c r="A230">
        <v>2.00262569988248E-2</v>
      </c>
      <c r="B230">
        <v>2.34219478386497E-2</v>
      </c>
      <c r="C230">
        <v>3.08963138434795E-2</v>
      </c>
      <c r="D230">
        <v>3.08963138434795E-2</v>
      </c>
      <c r="E230" t="s">
        <v>1671</v>
      </c>
      <c r="F230" t="s">
        <v>1654</v>
      </c>
      <c r="H230">
        <v>7.6361657960506398E-3</v>
      </c>
      <c r="J230">
        <v>7.6361657960506398E-3</v>
      </c>
      <c r="K230" t="s">
        <v>1160</v>
      </c>
      <c r="L230" t="s">
        <v>1142</v>
      </c>
    </row>
    <row r="231" spans="1:12" x14ac:dyDescent="0.35">
      <c r="A231">
        <v>2.0068184200822601E-2</v>
      </c>
      <c r="B231">
        <v>2.29559923804479E-2</v>
      </c>
      <c r="C231">
        <v>3.1171169586274899E-2</v>
      </c>
      <c r="D231">
        <v>3.1171169586274899E-2</v>
      </c>
      <c r="E231" t="s">
        <v>1672</v>
      </c>
      <c r="F231" t="s">
        <v>1654</v>
      </c>
      <c r="H231">
        <v>7.7033226228278E-3</v>
      </c>
      <c r="J231">
        <v>7.7033226228278E-3</v>
      </c>
      <c r="K231" t="s">
        <v>1161</v>
      </c>
      <c r="L231" t="s">
        <v>1142</v>
      </c>
    </row>
    <row r="232" spans="1:12" x14ac:dyDescent="0.35">
      <c r="A232">
        <v>2.00733299513789E-2</v>
      </c>
      <c r="B232">
        <v>2.3089907346120601E-2</v>
      </c>
      <c r="C232">
        <v>3.11290252355114E-2</v>
      </c>
      <c r="D232">
        <v>3.11290252355114E-2</v>
      </c>
      <c r="E232" t="s">
        <v>1673</v>
      </c>
      <c r="F232" t="s">
        <v>1654</v>
      </c>
      <c r="H232">
        <v>7.6930261622452098E-3</v>
      </c>
      <c r="J232">
        <v>7.6930261622452098E-3</v>
      </c>
      <c r="K232" t="s">
        <v>1162</v>
      </c>
      <c r="L232" t="s">
        <v>1142</v>
      </c>
    </row>
    <row r="233" spans="1:12" x14ac:dyDescent="0.35">
      <c r="A233">
        <v>2.00833471581769E-2</v>
      </c>
      <c r="B233">
        <v>2.2986135275529802E-2</v>
      </c>
      <c r="C233">
        <v>3.12799263503531E-2</v>
      </c>
      <c r="D233">
        <v>3.12799263503531E-2</v>
      </c>
      <c r="E233" t="s">
        <v>1674</v>
      </c>
      <c r="F233" t="s">
        <v>1654</v>
      </c>
      <c r="H233">
        <v>7.72989197946106E-3</v>
      </c>
      <c r="J233">
        <v>7.72989197946106E-3</v>
      </c>
      <c r="K233" t="s">
        <v>1163</v>
      </c>
      <c r="L233" t="s">
        <v>1142</v>
      </c>
    </row>
    <row r="234" spans="1:12" x14ac:dyDescent="0.35">
      <c r="A234">
        <v>2.0140093939852201E-2</v>
      </c>
      <c r="B234">
        <v>2.31414769468055E-2</v>
      </c>
      <c r="C234">
        <v>3.1432246791632999E-2</v>
      </c>
      <c r="D234">
        <v>3.1432246791632999E-2</v>
      </c>
      <c r="E234" t="s">
        <v>1675</v>
      </c>
      <c r="F234" t="s">
        <v>1654</v>
      </c>
      <c r="H234">
        <v>7.76710044167461E-3</v>
      </c>
      <c r="J234">
        <v>7.76710044167461E-3</v>
      </c>
      <c r="K234" t="s">
        <v>1164</v>
      </c>
      <c r="L234" t="s">
        <v>1142</v>
      </c>
    </row>
    <row r="235" spans="1:12" x14ac:dyDescent="0.35">
      <c r="A235">
        <v>2.02021592909249E-2</v>
      </c>
      <c r="B235">
        <v>2.2984714477401601E-2</v>
      </c>
      <c r="C235">
        <v>3.1205847095053599E-2</v>
      </c>
      <c r="D235">
        <v>3.1205847095053599E-2</v>
      </c>
      <c r="E235" t="s">
        <v>1676</v>
      </c>
      <c r="F235" t="s">
        <v>1654</v>
      </c>
      <c r="H235">
        <v>7.7117945916846996E-3</v>
      </c>
      <c r="J235">
        <v>7.7117945916846996E-3</v>
      </c>
      <c r="K235" t="s">
        <v>1165</v>
      </c>
      <c r="L235" t="s">
        <v>1142</v>
      </c>
    </row>
    <row r="236" spans="1:12" x14ac:dyDescent="0.35">
      <c r="A236">
        <v>2.0211898969260102E-2</v>
      </c>
      <c r="B236">
        <v>2.2913195171825301E-2</v>
      </c>
      <c r="C236">
        <v>3.14110402970686E-2</v>
      </c>
      <c r="D236">
        <v>3.14110402970686E-2</v>
      </c>
      <c r="E236" t="s">
        <v>1677</v>
      </c>
      <c r="F236" t="s">
        <v>1654</v>
      </c>
      <c r="H236">
        <v>7.7619204183672101E-3</v>
      </c>
      <c r="J236">
        <v>7.7619204183672101E-3</v>
      </c>
      <c r="K236" t="s">
        <v>1166</v>
      </c>
      <c r="L236" t="s">
        <v>1142</v>
      </c>
    </row>
    <row r="237" spans="1:12" x14ac:dyDescent="0.35">
      <c r="A237">
        <v>2.0290430669000999E-2</v>
      </c>
      <c r="B237">
        <v>2.29758501503456E-2</v>
      </c>
      <c r="C237">
        <v>3.1565029186180898E-2</v>
      </c>
      <c r="D237">
        <v>3.1565029186180898E-2</v>
      </c>
      <c r="E237" t="s">
        <v>1678</v>
      </c>
      <c r="F237" t="s">
        <v>1654</v>
      </c>
      <c r="H237">
        <v>7.7995328359632401E-3</v>
      </c>
      <c r="J237">
        <v>7.7995328359632401E-3</v>
      </c>
      <c r="K237" t="s">
        <v>1167</v>
      </c>
      <c r="L237" t="s">
        <v>1142</v>
      </c>
    </row>
    <row r="238" spans="1:12" x14ac:dyDescent="0.35">
      <c r="A238">
        <v>2.0308808571870299E-2</v>
      </c>
      <c r="B238">
        <v>2.2824531954790599E-2</v>
      </c>
      <c r="C238">
        <v>3.1531274423854297E-2</v>
      </c>
      <c r="D238">
        <v>3.1531274423854297E-2</v>
      </c>
      <c r="E238" t="s">
        <v>1679</v>
      </c>
      <c r="F238" t="s">
        <v>1654</v>
      </c>
      <c r="H238">
        <v>7.7912884572341997E-3</v>
      </c>
      <c r="J238">
        <v>7.7912884572341997E-3</v>
      </c>
      <c r="K238" t="s">
        <v>1168</v>
      </c>
      <c r="L238" t="s">
        <v>1142</v>
      </c>
    </row>
    <row r="239" spans="1:12" x14ac:dyDescent="0.35">
      <c r="A239">
        <v>2.03080060292413E-2</v>
      </c>
      <c r="B239">
        <v>2.2972481063801901E-2</v>
      </c>
      <c r="C239">
        <v>3.1542996473644003E-2</v>
      </c>
      <c r="D239">
        <v>3.1542996473644003E-2</v>
      </c>
      <c r="E239" t="s">
        <v>1680</v>
      </c>
      <c r="F239" t="s">
        <v>1654</v>
      </c>
      <c r="H239">
        <v>7.7941515137436301E-3</v>
      </c>
      <c r="J239">
        <v>7.7941515137436301E-3</v>
      </c>
      <c r="K239" t="s">
        <v>1169</v>
      </c>
      <c r="L239" t="s">
        <v>1142</v>
      </c>
    </row>
    <row r="240" spans="1:12" x14ac:dyDescent="0.35">
      <c r="A240">
        <v>2.0323983720006399E-2</v>
      </c>
      <c r="B240">
        <v>2.2824566637221998E-2</v>
      </c>
      <c r="C240">
        <v>3.1855243350590097E-2</v>
      </c>
      <c r="D240">
        <v>3.1855243350590097E-2</v>
      </c>
      <c r="E240" t="s">
        <v>1681</v>
      </c>
      <c r="F240" t="s">
        <v>1654</v>
      </c>
      <c r="H240">
        <v>7.8704073905595494E-3</v>
      </c>
      <c r="J240">
        <v>7.8704073905595494E-3</v>
      </c>
      <c r="K240" t="s">
        <v>1170</v>
      </c>
      <c r="L240" t="s">
        <v>1142</v>
      </c>
    </row>
    <row r="241" spans="1:12" x14ac:dyDescent="0.35">
      <c r="A241">
        <v>2.0325704902500501E-2</v>
      </c>
      <c r="B241">
        <v>2.2886555231629101E-2</v>
      </c>
      <c r="C241">
        <v>3.1708818720508798E-2</v>
      </c>
      <c r="D241">
        <v>3.1708818720508798E-2</v>
      </c>
      <c r="E241" t="s">
        <v>1682</v>
      </c>
      <c r="F241" t="s">
        <v>1654</v>
      </c>
      <c r="H241">
        <v>7.8346502176538397E-3</v>
      </c>
      <c r="J241">
        <v>7.8346502176538397E-3</v>
      </c>
      <c r="K241" t="s">
        <v>1171</v>
      </c>
      <c r="L241" t="s">
        <v>1142</v>
      </c>
    </row>
    <row r="242" spans="1:12" x14ac:dyDescent="0.35">
      <c r="A242">
        <v>2.0305041683886599E-2</v>
      </c>
      <c r="B242">
        <v>2.29465623765257E-2</v>
      </c>
      <c r="C242">
        <v>3.1893508731351002E-2</v>
      </c>
      <c r="D242">
        <v>3.1893508731351002E-2</v>
      </c>
      <c r="E242" t="s">
        <v>1683</v>
      </c>
      <c r="F242" t="s">
        <v>1654</v>
      </c>
      <c r="H242">
        <v>7.8797512420421007E-3</v>
      </c>
      <c r="J242">
        <v>7.8797512420421007E-3</v>
      </c>
      <c r="K242" t="s">
        <v>1172</v>
      </c>
      <c r="L242" t="s">
        <v>1142</v>
      </c>
    </row>
    <row r="243" spans="1:12" x14ac:dyDescent="0.35">
      <c r="A243">
        <v>2.0287096358251301E-2</v>
      </c>
      <c r="B243">
        <v>2.2798980065175601E-2</v>
      </c>
      <c r="C243">
        <v>3.1810408581062898E-2</v>
      </c>
      <c r="D243">
        <v>3.1810408581062898E-2</v>
      </c>
      <c r="E243" t="s">
        <v>1684</v>
      </c>
      <c r="F243" t="s">
        <v>1654</v>
      </c>
      <c r="H243">
        <v>7.8594590588953999E-3</v>
      </c>
      <c r="J243">
        <v>7.8594590588953999E-3</v>
      </c>
      <c r="K243" t="s">
        <v>1173</v>
      </c>
      <c r="L243" t="s">
        <v>1142</v>
      </c>
    </row>
    <row r="244" spans="1:12" x14ac:dyDescent="0.35">
      <c r="A244">
        <v>2.0271579331879098E-2</v>
      </c>
      <c r="B244">
        <v>2.2857567238674801E-2</v>
      </c>
      <c r="C244">
        <v>3.1611362599311098E-2</v>
      </c>
      <c r="D244">
        <v>3.1611362599311098E-2</v>
      </c>
      <c r="E244" t="s">
        <v>1685</v>
      </c>
      <c r="F244" t="s">
        <v>1654</v>
      </c>
      <c r="H244">
        <v>7.8108491379678098E-3</v>
      </c>
      <c r="J244">
        <v>7.8108491379678098E-3</v>
      </c>
      <c r="K244" t="s">
        <v>1174</v>
      </c>
      <c r="L244" t="s">
        <v>1142</v>
      </c>
    </row>
    <row r="245" spans="1:12" x14ac:dyDescent="0.35">
      <c r="A245">
        <v>2.0226750918557398E-2</v>
      </c>
      <c r="B245">
        <v>2.30078651102898E-2</v>
      </c>
      <c r="C245">
        <v>3.1895036638032601E-2</v>
      </c>
      <c r="D245">
        <v>3.1895036638032601E-2</v>
      </c>
      <c r="E245" t="s">
        <v>1686</v>
      </c>
      <c r="F245" t="s">
        <v>1654</v>
      </c>
      <c r="H245">
        <v>7.8801243293176206E-3</v>
      </c>
      <c r="J245">
        <v>7.8801243293176206E-3</v>
      </c>
      <c r="K245" t="s">
        <v>1175</v>
      </c>
      <c r="L245" t="s">
        <v>1142</v>
      </c>
    </row>
    <row r="246" spans="1:12" x14ac:dyDescent="0.35">
      <c r="A246">
        <v>2.0229639632362201E-2</v>
      </c>
      <c r="B246">
        <v>2.2755662461575201E-2</v>
      </c>
      <c r="C246">
        <v>3.1906732152356301E-2</v>
      </c>
      <c r="D246">
        <v>3.1906732152356301E-2</v>
      </c>
      <c r="E246" t="s">
        <v>1687</v>
      </c>
      <c r="F246" t="s">
        <v>1654</v>
      </c>
      <c r="H246">
        <v>7.88298014941358E-3</v>
      </c>
      <c r="J246">
        <v>7.88298014941358E-3</v>
      </c>
      <c r="K246" t="s">
        <v>1176</v>
      </c>
      <c r="L246" t="s">
        <v>1142</v>
      </c>
    </row>
    <row r="247" spans="1:12" x14ac:dyDescent="0.35">
      <c r="A247">
        <v>2.0196749252488402E-2</v>
      </c>
      <c r="B247">
        <v>2.2817811468051102E-2</v>
      </c>
      <c r="C247">
        <v>3.1666344390047098E-2</v>
      </c>
      <c r="D247">
        <v>3.1666344390047098E-2</v>
      </c>
      <c r="E247" t="s">
        <v>1688</v>
      </c>
      <c r="F247" t="s">
        <v>1654</v>
      </c>
      <c r="H247">
        <v>7.8242771932854893E-3</v>
      </c>
      <c r="J247">
        <v>7.8242771932854893E-3</v>
      </c>
      <c r="K247" t="s">
        <v>1177</v>
      </c>
      <c r="L247" t="s">
        <v>1142</v>
      </c>
    </row>
    <row r="248" spans="1:12" x14ac:dyDescent="0.35">
      <c r="A248">
        <v>2.0138226913895701E-2</v>
      </c>
      <c r="B248">
        <v>2.3174738681931199E-2</v>
      </c>
      <c r="C248">
        <v>3.1749922428638201E-2</v>
      </c>
      <c r="D248">
        <v>3.1749922428638201E-2</v>
      </c>
      <c r="E248" t="s">
        <v>1689</v>
      </c>
      <c r="F248" t="s">
        <v>1654</v>
      </c>
      <c r="H248">
        <v>7.8446882055194199E-3</v>
      </c>
      <c r="J248">
        <v>7.8446882055194199E-3</v>
      </c>
      <c r="K248" t="s">
        <v>1178</v>
      </c>
      <c r="L248" t="s">
        <v>1142</v>
      </c>
    </row>
    <row r="249" spans="1:12" x14ac:dyDescent="0.35">
      <c r="A249">
        <v>2.0129535533826501E-2</v>
      </c>
      <c r="B249">
        <v>2.27379267080541E-2</v>
      </c>
      <c r="C249">
        <v>3.1908648163189397E-2</v>
      </c>
      <c r="D249">
        <v>3.1908648163189397E-2</v>
      </c>
      <c r="E249" t="s">
        <v>1690</v>
      </c>
      <c r="F249" t="s">
        <v>1654</v>
      </c>
      <c r="H249">
        <v>7.8834480001659397E-3</v>
      </c>
      <c r="J249">
        <v>7.8834480001659397E-3</v>
      </c>
      <c r="K249" t="s">
        <v>1179</v>
      </c>
      <c r="L249" t="s">
        <v>1142</v>
      </c>
    </row>
    <row r="250" spans="1:12" x14ac:dyDescent="0.35">
      <c r="A250">
        <v>2.0106884793451098E-2</v>
      </c>
      <c r="B250">
        <v>2.3093327603912001E-2</v>
      </c>
      <c r="C250">
        <v>3.1692204125751702E-2</v>
      </c>
      <c r="D250">
        <v>3.1692204125751702E-2</v>
      </c>
      <c r="E250" t="s">
        <v>1691</v>
      </c>
      <c r="F250" t="s">
        <v>1654</v>
      </c>
      <c r="H250">
        <v>7.8305926616084598E-3</v>
      </c>
      <c r="J250">
        <v>7.8305926616084598E-3</v>
      </c>
      <c r="K250" t="s">
        <v>1180</v>
      </c>
      <c r="L250" t="s">
        <v>1142</v>
      </c>
    </row>
    <row r="251" spans="1:12" x14ac:dyDescent="0.35">
      <c r="A251">
        <v>2.0037252982960399E-2</v>
      </c>
      <c r="B251">
        <v>2.2853757020905099E-2</v>
      </c>
      <c r="C251">
        <v>3.1763978164364597E-2</v>
      </c>
      <c r="D251">
        <v>3.1763978164364597E-2</v>
      </c>
      <c r="E251" t="s">
        <v>1692</v>
      </c>
      <c r="F251" t="s">
        <v>1654</v>
      </c>
      <c r="H251">
        <v>7.8481207054677E-3</v>
      </c>
      <c r="J251">
        <v>7.8481207054677E-3</v>
      </c>
      <c r="K251" t="s">
        <v>1181</v>
      </c>
      <c r="L251" t="s">
        <v>1142</v>
      </c>
    </row>
    <row r="252" spans="1:12" x14ac:dyDescent="0.35">
      <c r="A252">
        <v>2.0056022895238401E-2</v>
      </c>
      <c r="B252">
        <v>2.2713969923905002E-2</v>
      </c>
      <c r="C252">
        <v>3.17278315390737E-2</v>
      </c>
      <c r="D252">
        <v>3.17278315390737E-2</v>
      </c>
      <c r="E252" t="s">
        <v>1693</v>
      </c>
      <c r="F252" t="s">
        <v>1654</v>
      </c>
      <c r="H252">
        <v>7.8392933990876195E-3</v>
      </c>
      <c r="J252">
        <v>7.8392933990876195E-3</v>
      </c>
      <c r="K252" t="s">
        <v>1182</v>
      </c>
      <c r="L252" t="s">
        <v>1142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October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Sarah Ahmad</cp:lastModifiedBy>
  <cp:revision/>
  <dcterms:created xsi:type="dcterms:W3CDTF">2021-05-28T15:43:48Z</dcterms:created>
  <dcterms:modified xsi:type="dcterms:W3CDTF">2024-11-27T15:31:52Z</dcterms:modified>
  <cp:category/>
  <cp:contentStatus/>
</cp:coreProperties>
</file>