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pivotTables/pivotTable2.xml" ContentType="application/vnd.openxmlformats-officedocument.spreadsheetml.pivotTable+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9.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CEA84CA6-5256-49E0-8CF1-56BCC34C4673}" xr6:coauthVersionLast="47" xr6:coauthVersionMax="47" xr10:uidLastSave="{00000000-0000-0000-0000-000000000000}"/>
  <bookViews>
    <workbookView xWindow="28680" yWindow="-120" windowWidth="29040" windowHeight="15720" firstSheet="18" activeTab="21"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deflators_override" sheetId="71" r:id="rId8"/>
    <sheet name="forecast comparison" sheetId="55" r:id="rId9"/>
    <sheet name="Dec v. Now" sheetId="83" r:id="rId10"/>
    <sheet name="forecast" sheetId="35" r:id="rId11"/>
    <sheet name="December - MPI" sheetId="80" r:id="rId12"/>
    <sheet name="mpc" sheetId="56" r:id="rId13"/>
    <sheet name="Unemployment Insurance" sheetId="25" r:id="rId14"/>
    <sheet name="Unemployment Insurance - lorae" sheetId="74" state="hidden" r:id="rId15"/>
    <sheet name="Grants" sheetId="26" r:id="rId16"/>
    <sheet name="Federal and State Purchases" sheetId="20" r:id="rId17"/>
    <sheet name="Subsidies" sheetId="30" r:id="rId18"/>
    <sheet name="Medicaid" sheetId="49" r:id="rId19"/>
    <sheet name="Medicare" sheetId="33" r:id="rId20"/>
    <sheet name="Student loans" sheetId="67" r:id="rId21"/>
    <sheet name="Social Benefits" sheetId="59" r:id="rId22"/>
    <sheet name="Social Benefits (BETA VERSION)" sheetId="75" r:id="rId23"/>
    <sheet name="Social Benefits (EXPLANATION)" sheetId="77" r:id="rId24"/>
    <sheet name="Supply Side IRA" sheetId="78" r:id="rId25"/>
    <sheet name="Taxes" sheetId="48" r:id="rId26"/>
    <sheet name="Deflators" sheetId="70" r:id="rId27"/>
    <sheet name="PPP (expired)" sheetId="38" r:id="rId28"/>
    <sheet name="Provider Relief (expired)" sheetId="40" r:id="rId29"/>
    <sheet name="Rebate Checks (expired)" sheetId="29"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14" i="78" l="1"/>
  <c r="AJ13" i="78"/>
  <c r="AI13" i="78"/>
  <c r="AC28" i="49"/>
  <c r="AC12" i="33"/>
  <c r="AG10" i="48"/>
  <c r="D69" i="83"/>
  <c r="E69" i="83"/>
  <c r="F69" i="83"/>
  <c r="G69" i="83"/>
  <c r="H69" i="83"/>
  <c r="I69" i="83"/>
  <c r="J69" i="83"/>
  <c r="K69" i="83"/>
  <c r="D70" i="83"/>
  <c r="E70" i="83"/>
  <c r="F70" i="83"/>
  <c r="G70" i="83"/>
  <c r="H70" i="83"/>
  <c r="I70" i="83"/>
  <c r="J70" i="83"/>
  <c r="K70" i="83"/>
  <c r="D71" i="83"/>
  <c r="E71" i="83"/>
  <c r="F71" i="83"/>
  <c r="G71" i="83"/>
  <c r="H71" i="83"/>
  <c r="I71" i="83"/>
  <c r="J71" i="83"/>
  <c r="K71" i="83"/>
  <c r="D72" i="83"/>
  <c r="E72" i="83"/>
  <c r="F72" i="83"/>
  <c r="G72" i="83"/>
  <c r="H72" i="83"/>
  <c r="I72" i="83"/>
  <c r="J72" i="83"/>
  <c r="K72" i="83"/>
  <c r="D73" i="83"/>
  <c r="E73" i="83"/>
  <c r="F73" i="83"/>
  <c r="G73" i="83"/>
  <c r="H73" i="83"/>
  <c r="I73" i="83"/>
  <c r="J73" i="83"/>
  <c r="K73" i="83"/>
  <c r="D74" i="83"/>
  <c r="E74" i="83"/>
  <c r="F74" i="83"/>
  <c r="G74" i="83"/>
  <c r="H74" i="83"/>
  <c r="I74" i="83"/>
  <c r="J74" i="83"/>
  <c r="K74" i="83"/>
  <c r="D75" i="83"/>
  <c r="E75" i="83"/>
  <c r="F75" i="83"/>
  <c r="G75" i="83"/>
  <c r="H75" i="83"/>
  <c r="I75" i="83"/>
  <c r="J75" i="83"/>
  <c r="K75" i="83"/>
  <c r="D76" i="83"/>
  <c r="D77" i="83"/>
  <c r="D78" i="83"/>
  <c r="D79" i="83"/>
  <c r="E79" i="83"/>
  <c r="F79" i="83"/>
  <c r="G79" i="83"/>
  <c r="H79" i="83"/>
  <c r="I79" i="83"/>
  <c r="J79" i="83"/>
  <c r="K79" i="83"/>
  <c r="D80" i="83"/>
  <c r="E80" i="83"/>
  <c r="F80" i="83"/>
  <c r="G80" i="83"/>
  <c r="H80" i="83"/>
  <c r="I80" i="83"/>
  <c r="J80" i="83"/>
  <c r="K80" i="83"/>
  <c r="D85" i="83"/>
  <c r="E85" i="83"/>
  <c r="F85" i="83"/>
  <c r="G85" i="83"/>
  <c r="H85" i="83"/>
  <c r="D86" i="83"/>
  <c r="E86" i="83"/>
  <c r="F86" i="83"/>
  <c r="G86" i="83"/>
  <c r="H86" i="83"/>
  <c r="I86" i="83"/>
  <c r="J86" i="83"/>
  <c r="K86" i="83"/>
  <c r="D87" i="83"/>
  <c r="E87" i="83"/>
  <c r="F87" i="83"/>
  <c r="G87" i="83"/>
  <c r="H87" i="83"/>
  <c r="I87" i="83"/>
  <c r="J87" i="83"/>
  <c r="K87" i="83"/>
  <c r="D88" i="83"/>
  <c r="E88" i="83"/>
  <c r="F88" i="83"/>
  <c r="G88" i="83"/>
  <c r="H88" i="83"/>
  <c r="I88" i="83"/>
  <c r="J88" i="83"/>
  <c r="K88" i="83"/>
  <c r="D89" i="83"/>
  <c r="E89" i="83"/>
  <c r="F89" i="83"/>
  <c r="G89" i="83"/>
  <c r="H89" i="83"/>
  <c r="I89" i="83"/>
  <c r="J89" i="83"/>
  <c r="K89" i="83"/>
  <c r="E68" i="83"/>
  <c r="F68" i="83"/>
  <c r="G68" i="83"/>
  <c r="H68" i="83"/>
  <c r="I68" i="83"/>
  <c r="J68" i="83"/>
  <c r="K68" i="83"/>
  <c r="D68" i="83"/>
  <c r="AC10" i="48"/>
  <c r="M56" i="48"/>
  <c r="I57" i="48"/>
  <c r="J57" i="48"/>
  <c r="K57" i="48"/>
  <c r="L57" i="48"/>
  <c r="M57" i="48"/>
  <c r="N57" i="48"/>
  <c r="O57" i="48"/>
  <c r="P57" i="48"/>
  <c r="Q57" i="48"/>
  <c r="R57" i="48"/>
  <c r="S57" i="48"/>
  <c r="T57" i="48"/>
  <c r="U57" i="48"/>
  <c r="H57" i="48"/>
  <c r="J128" i="83"/>
  <c r="I128" i="83"/>
  <c r="G128" i="83"/>
  <c r="K126" i="83"/>
  <c r="I126" i="83"/>
  <c r="I125" i="83"/>
  <c r="H125" i="83"/>
  <c r="F125" i="83"/>
  <c r="E125" i="83"/>
  <c r="K124" i="83"/>
  <c r="J121" i="83"/>
  <c r="H121" i="83"/>
  <c r="G121" i="83"/>
  <c r="E121" i="83"/>
  <c r="I112" i="83"/>
  <c r="G112" i="83"/>
  <c r="F111" i="83"/>
  <c r="D111" i="83"/>
  <c r="J107" i="83"/>
  <c r="H107" i="83"/>
  <c r="G107" i="83"/>
  <c r="E107" i="83"/>
  <c r="E106" i="83"/>
  <c r="D106" i="83"/>
  <c r="J105" i="83"/>
  <c r="I105" i="83"/>
  <c r="G105" i="83"/>
  <c r="G104" i="83"/>
  <c r="F104" i="83"/>
  <c r="D104" i="83"/>
  <c r="K103" i="83"/>
  <c r="I103" i="83"/>
  <c r="I102" i="83"/>
  <c r="H102" i="83"/>
  <c r="F102" i="83"/>
  <c r="E102" i="83"/>
  <c r="K101" i="83"/>
  <c r="K100" i="83"/>
  <c r="J100" i="83"/>
  <c r="H100" i="83"/>
  <c r="G100" i="83"/>
  <c r="E96" i="83"/>
  <c r="D96" i="83"/>
  <c r="J95" i="83"/>
  <c r="I95" i="83"/>
  <c r="G95" i="83"/>
  <c r="G94" i="83"/>
  <c r="F94" i="83"/>
  <c r="D94" i="83"/>
  <c r="K93" i="83"/>
  <c r="I93" i="83"/>
  <c r="I92" i="83"/>
  <c r="H92" i="83"/>
  <c r="F92" i="83"/>
  <c r="E92" i="83"/>
  <c r="L32" i="83"/>
  <c r="K32" i="83"/>
  <c r="K128" i="83" s="1"/>
  <c r="J32" i="83"/>
  <c r="J96" i="83" s="1"/>
  <c r="I32" i="83"/>
  <c r="I96" i="83" s="1"/>
  <c r="H32" i="83"/>
  <c r="H128" i="83" s="1"/>
  <c r="G32" i="83"/>
  <c r="G96" i="83" s="1"/>
  <c r="F32" i="83"/>
  <c r="F128" i="83" s="1"/>
  <c r="E32" i="83"/>
  <c r="E128" i="83" s="1"/>
  <c r="D32" i="83"/>
  <c r="D128" i="83" s="1"/>
  <c r="L31" i="83"/>
  <c r="K31" i="83"/>
  <c r="K95" i="83" s="1"/>
  <c r="J31" i="83"/>
  <c r="J127" i="83" s="1"/>
  <c r="I31" i="83"/>
  <c r="I127" i="83" s="1"/>
  <c r="H31" i="83"/>
  <c r="H95" i="83" s="1"/>
  <c r="G31" i="83"/>
  <c r="G127" i="83" s="1"/>
  <c r="F31" i="83"/>
  <c r="F95" i="83" s="1"/>
  <c r="E31" i="83"/>
  <c r="E127" i="83" s="1"/>
  <c r="D31" i="83"/>
  <c r="D127" i="83" s="1"/>
  <c r="L30" i="83"/>
  <c r="K30" i="83"/>
  <c r="K94" i="83" s="1"/>
  <c r="J30" i="83"/>
  <c r="J126" i="83" s="1"/>
  <c r="I30" i="83"/>
  <c r="I94" i="83" s="1"/>
  <c r="H30" i="83"/>
  <c r="H126" i="83" s="1"/>
  <c r="G30" i="83"/>
  <c r="G126" i="83" s="1"/>
  <c r="F30" i="83"/>
  <c r="F126" i="83" s="1"/>
  <c r="E30" i="83"/>
  <c r="E94" i="83" s="1"/>
  <c r="D30" i="83"/>
  <c r="D126" i="83" s="1"/>
  <c r="L29" i="83"/>
  <c r="K29" i="83"/>
  <c r="K125" i="83" s="1"/>
  <c r="J29" i="83"/>
  <c r="J93" i="83" s="1"/>
  <c r="I29" i="83"/>
  <c r="H29" i="83"/>
  <c r="H93" i="83" s="1"/>
  <c r="G29" i="83"/>
  <c r="G125" i="83" s="1"/>
  <c r="F29" i="83"/>
  <c r="F93" i="83" s="1"/>
  <c r="E29" i="83"/>
  <c r="E93" i="83" s="1"/>
  <c r="D29" i="83"/>
  <c r="D125" i="83" s="1"/>
  <c r="L28" i="83"/>
  <c r="K28" i="83"/>
  <c r="K92" i="83" s="1"/>
  <c r="J28" i="83"/>
  <c r="J124" i="83" s="1"/>
  <c r="I28" i="83"/>
  <c r="I124" i="83" s="1"/>
  <c r="H28" i="83"/>
  <c r="H124" i="83" s="1"/>
  <c r="G28" i="83"/>
  <c r="G92" i="83" s="1"/>
  <c r="F28" i="83"/>
  <c r="F124" i="83" s="1"/>
  <c r="E28" i="83"/>
  <c r="E124" i="83" s="1"/>
  <c r="D28" i="83"/>
  <c r="D92" i="83" s="1"/>
  <c r="L25" i="83"/>
  <c r="K25" i="83"/>
  <c r="J25" i="83"/>
  <c r="I25" i="83"/>
  <c r="I121" i="83" s="1"/>
  <c r="H25" i="83"/>
  <c r="G25" i="83"/>
  <c r="F25" i="83"/>
  <c r="F121" i="83" s="1"/>
  <c r="E25" i="83"/>
  <c r="D25" i="83"/>
  <c r="D121" i="83" s="1"/>
  <c r="C25" i="83"/>
  <c r="B25" i="83"/>
  <c r="C24" i="83"/>
  <c r="B24" i="83"/>
  <c r="C23" i="83"/>
  <c r="B23" i="83"/>
  <c r="C22" i="83"/>
  <c r="B22" i="83"/>
  <c r="C21" i="83"/>
  <c r="B21" i="83"/>
  <c r="C20" i="83"/>
  <c r="B20" i="83"/>
  <c r="C19" i="83"/>
  <c r="B19" i="83"/>
  <c r="C18" i="83"/>
  <c r="B18" i="83"/>
  <c r="C17" i="83"/>
  <c r="B17" i="83"/>
  <c r="L16" i="83"/>
  <c r="K16" i="83"/>
  <c r="K112" i="83" s="1"/>
  <c r="J16" i="83"/>
  <c r="J112" i="83" s="1"/>
  <c r="I16" i="83"/>
  <c r="H16" i="83"/>
  <c r="H112" i="83" s="1"/>
  <c r="G16" i="83"/>
  <c r="F16" i="83"/>
  <c r="F112" i="83" s="1"/>
  <c r="E16" i="83"/>
  <c r="E112" i="83" s="1"/>
  <c r="D16" i="83"/>
  <c r="D112" i="83" s="1"/>
  <c r="C16" i="83"/>
  <c r="B16" i="83"/>
  <c r="L15" i="83"/>
  <c r="K15" i="83"/>
  <c r="J15" i="83"/>
  <c r="I15" i="83"/>
  <c r="H15" i="83"/>
  <c r="G15" i="83"/>
  <c r="F15" i="83"/>
  <c r="E15" i="83"/>
  <c r="E111" i="83" s="1"/>
  <c r="D15" i="83"/>
  <c r="C15" i="83"/>
  <c r="B15" i="83"/>
  <c r="D14" i="83"/>
  <c r="C14" i="83"/>
  <c r="B14" i="83"/>
  <c r="D13" i="83"/>
  <c r="D109" i="83" s="1"/>
  <c r="C13" i="83"/>
  <c r="B13" i="83"/>
  <c r="D12" i="83"/>
  <c r="C12" i="83"/>
  <c r="B12" i="83"/>
  <c r="L11" i="83"/>
  <c r="K11" i="83"/>
  <c r="J11" i="83"/>
  <c r="I11" i="83"/>
  <c r="I107" i="83" s="1"/>
  <c r="H11" i="83"/>
  <c r="G11" i="83"/>
  <c r="F11" i="83"/>
  <c r="F107" i="83" s="1"/>
  <c r="E11" i="83"/>
  <c r="D11" i="83"/>
  <c r="D107" i="83" s="1"/>
  <c r="C11" i="83"/>
  <c r="B11" i="83"/>
  <c r="L10" i="83"/>
  <c r="K10" i="83"/>
  <c r="K106" i="83" s="1"/>
  <c r="J10" i="83"/>
  <c r="J106" i="83" s="1"/>
  <c r="I10" i="83"/>
  <c r="H10" i="83"/>
  <c r="G10" i="83"/>
  <c r="G106" i="83" s="1"/>
  <c r="F10" i="83"/>
  <c r="E10" i="83"/>
  <c r="D10" i="83"/>
  <c r="C10" i="83"/>
  <c r="B10" i="83"/>
  <c r="L9" i="83"/>
  <c r="K9" i="83"/>
  <c r="K105" i="83" s="1"/>
  <c r="J9" i="83"/>
  <c r="I9" i="83"/>
  <c r="H9" i="83"/>
  <c r="H105" i="83" s="1"/>
  <c r="G9" i="83"/>
  <c r="F9" i="83"/>
  <c r="F105" i="83" s="1"/>
  <c r="E9" i="83"/>
  <c r="D9" i="83"/>
  <c r="D105" i="83" s="1"/>
  <c r="C9" i="83"/>
  <c r="B9" i="83"/>
  <c r="L8" i="83"/>
  <c r="K8" i="83"/>
  <c r="J8" i="83"/>
  <c r="J104" i="83" s="1"/>
  <c r="I8" i="83"/>
  <c r="I104" i="83" s="1"/>
  <c r="H8" i="83"/>
  <c r="G8" i="83"/>
  <c r="F8" i="83"/>
  <c r="E8" i="83"/>
  <c r="E104" i="83" s="1"/>
  <c r="D8" i="83"/>
  <c r="C8" i="83"/>
  <c r="B8" i="83"/>
  <c r="L7" i="83"/>
  <c r="K7" i="83"/>
  <c r="J7" i="83"/>
  <c r="J103" i="83" s="1"/>
  <c r="I7" i="83"/>
  <c r="H7" i="83"/>
  <c r="H103" i="83" s="1"/>
  <c r="G7" i="83"/>
  <c r="G103" i="83" s="1"/>
  <c r="F7" i="83"/>
  <c r="F103" i="83" s="1"/>
  <c r="E7" i="83"/>
  <c r="D7" i="83"/>
  <c r="D103" i="83" s="1"/>
  <c r="C7" i="83"/>
  <c r="B7" i="83"/>
  <c r="L6" i="83"/>
  <c r="K6" i="83"/>
  <c r="K102" i="83" s="1"/>
  <c r="J6" i="83"/>
  <c r="I6" i="83"/>
  <c r="H6" i="83"/>
  <c r="G6" i="83"/>
  <c r="G102" i="83" s="1"/>
  <c r="F6" i="83"/>
  <c r="E6" i="83"/>
  <c r="D6" i="83"/>
  <c r="D102" i="83" s="1"/>
  <c r="C6" i="83"/>
  <c r="B6" i="83"/>
  <c r="L5" i="83"/>
  <c r="K5" i="83"/>
  <c r="J5" i="83"/>
  <c r="J101" i="83" s="1"/>
  <c r="I5" i="83"/>
  <c r="I101" i="83" s="1"/>
  <c r="H5" i="83"/>
  <c r="H101" i="83" s="1"/>
  <c r="G5" i="83"/>
  <c r="F5" i="83"/>
  <c r="F101" i="83" s="1"/>
  <c r="E5" i="83"/>
  <c r="E101" i="83" s="1"/>
  <c r="D5" i="83"/>
  <c r="C5" i="83"/>
  <c r="B5" i="83"/>
  <c r="L4" i="83"/>
  <c r="K4" i="83"/>
  <c r="J4" i="83"/>
  <c r="I4" i="83"/>
  <c r="I100" i="83" s="1"/>
  <c r="H4" i="83"/>
  <c r="G4" i="83"/>
  <c r="F4" i="83"/>
  <c r="F100" i="83" s="1"/>
  <c r="E4" i="83"/>
  <c r="E100" i="83" s="1"/>
  <c r="D4" i="83"/>
  <c r="D100" i="83" s="1"/>
  <c r="C4" i="83"/>
  <c r="B4" i="83"/>
  <c r="C3" i="83"/>
  <c r="B3" i="83"/>
  <c r="G111" i="83" l="1"/>
  <c r="J92" i="83"/>
  <c r="H94" i="83"/>
  <c r="F96" i="83"/>
  <c r="D101" i="83"/>
  <c r="J102" i="83"/>
  <c r="H104" i="83"/>
  <c r="F106" i="83"/>
  <c r="D108" i="83"/>
  <c r="H111" i="83"/>
  <c r="D124" i="83"/>
  <c r="J125" i="83"/>
  <c r="H127" i="83"/>
  <c r="I111" i="83"/>
  <c r="K121" i="83"/>
  <c r="D93" i="83"/>
  <c r="J94" i="83"/>
  <c r="H96" i="83"/>
  <c r="H106" i="83"/>
  <c r="D110" i="83"/>
  <c r="J111" i="83"/>
  <c r="G101" i="83"/>
  <c r="E103" i="83"/>
  <c r="K104" i="83"/>
  <c r="I106" i="83"/>
  <c r="K111" i="83"/>
  <c r="G124" i="83"/>
  <c r="E126" i="83"/>
  <c r="K127" i="83"/>
  <c r="D95" i="83"/>
  <c r="F127" i="83"/>
  <c r="K107" i="83"/>
  <c r="G93" i="83"/>
  <c r="E95" i="83"/>
  <c r="K96" i="83"/>
  <c r="E105" i="83"/>
  <c r="AD12" i="49" l="1"/>
  <c r="AE12" i="49" s="1"/>
  <c r="AC12" i="49"/>
  <c r="AF12" i="49" l="1"/>
  <c r="AG12" i="49" l="1"/>
  <c r="AH12" i="49"/>
  <c r="AI12" i="49" s="1"/>
  <c r="AJ12" i="49" l="1"/>
  <c r="AK12" i="49" l="1"/>
  <c r="AL12" i="49" s="1"/>
  <c r="AM12" i="49" l="1"/>
  <c r="AN12" i="49" s="1"/>
  <c r="AG47" i="70" l="1"/>
  <c r="AF47" i="70"/>
  <c r="AE47" i="70"/>
  <c r="AC12" i="20"/>
  <c r="AD12" i="20"/>
  <c r="AJ71" i="70"/>
  <c r="AK71" i="70"/>
  <c r="AL71" i="70"/>
  <c r="AM71" i="70"/>
  <c r="AN71" i="70"/>
  <c r="AJ72" i="70"/>
  <c r="AK72" i="70"/>
  <c r="AL72" i="70"/>
  <c r="AM72" i="70"/>
  <c r="AN72" i="70"/>
  <c r="AJ73" i="70"/>
  <c r="AK73" i="70"/>
  <c r="AL73" i="70"/>
  <c r="AM73" i="70"/>
  <c r="AN73" i="70"/>
  <c r="T72" i="70"/>
  <c r="U72" i="70"/>
  <c r="V72" i="70"/>
  <c r="W72" i="70"/>
  <c r="X72" i="70"/>
  <c r="Y72" i="70"/>
  <c r="Z72" i="70"/>
  <c r="AA72" i="70"/>
  <c r="AB72" i="70"/>
  <c r="AC72" i="70"/>
  <c r="AD72" i="70"/>
  <c r="AE72" i="70"/>
  <c r="AF72" i="70"/>
  <c r="AG72" i="70"/>
  <c r="AH72" i="70"/>
  <c r="AI72" i="70"/>
  <c r="T73" i="70"/>
  <c r="U73" i="70"/>
  <c r="V73" i="70"/>
  <c r="W73" i="70"/>
  <c r="X73" i="70"/>
  <c r="Y73" i="70"/>
  <c r="Z73" i="70"/>
  <c r="AA73" i="70"/>
  <c r="AB73" i="70"/>
  <c r="AC73" i="70"/>
  <c r="AD73" i="70"/>
  <c r="AE73" i="70"/>
  <c r="AF73" i="70"/>
  <c r="AG73" i="70"/>
  <c r="AH73" i="70"/>
  <c r="AI73" i="70"/>
  <c r="U71" i="70"/>
  <c r="V71" i="70"/>
  <c r="W71" i="70"/>
  <c r="X71" i="70"/>
  <c r="Y71" i="70"/>
  <c r="Z71" i="70"/>
  <c r="AA71" i="70"/>
  <c r="AB71" i="70"/>
  <c r="AC71" i="70"/>
  <c r="AD71" i="70"/>
  <c r="AE71" i="70"/>
  <c r="AF71" i="70"/>
  <c r="AG71" i="70"/>
  <c r="AH71" i="70"/>
  <c r="AI71" i="70"/>
  <c r="T71" i="70"/>
  <c r="AG33"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C12" i="21"/>
  <c r="V11" i="21"/>
  <c r="U11" i="21"/>
  <c r="T11" i="21"/>
  <c r="S11" i="21"/>
  <c r="R11" i="21"/>
  <c r="G81" i="21" s="1"/>
  <c r="Q11" i="21"/>
  <c r="P11" i="21"/>
  <c r="O11" i="21"/>
  <c r="N11" i="21"/>
  <c r="F81" i="21" s="1"/>
  <c r="M11" i="21"/>
  <c r="L11" i="21"/>
  <c r="K11" i="21"/>
  <c r="J11" i="21"/>
  <c r="E81" i="21" s="1"/>
  <c r="I11" i="21"/>
  <c r="H11" i="21"/>
  <c r="G11" i="21"/>
  <c r="F11" i="21"/>
  <c r="D81" i="21" s="1"/>
  <c r="Q10" i="21"/>
  <c r="P10" i="21"/>
  <c r="J9" i="21"/>
  <c r="G7" i="21"/>
  <c r="F7" i="21"/>
  <c r="N6" i="21"/>
  <c r="M6" i="21"/>
  <c r="M21" i="21" s="1"/>
  <c r="M22" i="21" s="1"/>
  <c r="G5" i="21"/>
  <c r="M4" i="21"/>
  <c r="U3" i="21"/>
  <c r="T3" i="21"/>
  <c r="G3" i="21"/>
  <c r="F3" i="21"/>
  <c r="D1" i="21"/>
  <c r="D4" i="21" s="1"/>
  <c r="C19" i="6"/>
  <c r="B19" i="6"/>
  <c r="T17" i="6"/>
  <c r="S17" i="6"/>
  <c r="V51" i="21" s="1"/>
  <c r="V16" i="6"/>
  <c r="U16" i="6"/>
  <c r="T16" i="6"/>
  <c r="S16" i="6"/>
  <c r="V49" i="21" s="1"/>
  <c r="R16" i="6"/>
  <c r="U49" i="21" s="1"/>
  <c r="Q16" i="6"/>
  <c r="T49" i="21" s="1"/>
  <c r="P16" i="6"/>
  <c r="S49" i="21" s="1"/>
  <c r="O16" i="6"/>
  <c r="R49" i="21" s="1"/>
  <c r="N16" i="6"/>
  <c r="Q49" i="21" s="1"/>
  <c r="C9" i="6"/>
  <c r="D9" i="6" s="1"/>
  <c r="U6" i="6"/>
  <c r="V3" i="21" s="1"/>
  <c r="T6" i="6"/>
  <c r="S6" i="6"/>
  <c r="R6" i="6"/>
  <c r="S3" i="21" s="1"/>
  <c r="Q6" i="6"/>
  <c r="R3" i="21" s="1"/>
  <c r="P6" i="6"/>
  <c r="Q3" i="21" s="1"/>
  <c r="O6" i="6"/>
  <c r="P3" i="21" s="1"/>
  <c r="N6" i="6"/>
  <c r="M6" i="6"/>
  <c r="N3" i="21" s="1"/>
  <c r="L6" i="6"/>
  <c r="K6" i="6"/>
  <c r="J6" i="6"/>
  <c r="I6" i="6"/>
  <c r="H6" i="6"/>
  <c r="I3" i="21" s="1"/>
  <c r="G6" i="6"/>
  <c r="H3" i="21" s="1"/>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K16" i="5" s="1"/>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L16" i="5"/>
  <c r="G16" i="5"/>
  <c r="N15" i="5"/>
  <c r="M15" i="5"/>
  <c r="K15" i="5"/>
  <c r="J15" i="5"/>
  <c r="I15" i="5"/>
  <c r="H15" i="5"/>
  <c r="G15" i="5"/>
  <c r="F15" i="5"/>
  <c r="E15" i="5"/>
  <c r="D15" i="5"/>
  <c r="C15" i="5"/>
  <c r="B15" i="5"/>
  <c r="N14" i="5"/>
  <c r="M14" i="5"/>
  <c r="K14" i="5"/>
  <c r="J14" i="5"/>
  <c r="I14" i="5"/>
  <c r="H14" i="5"/>
  <c r="G14" i="5"/>
  <c r="E14" i="5"/>
  <c r="D14" i="5"/>
  <c r="C14" i="5"/>
  <c r="F14" i="5" s="1"/>
  <c r="B14" i="5"/>
  <c r="N13" i="5"/>
  <c r="M13" i="5"/>
  <c r="K13" i="5"/>
  <c r="J13" i="5"/>
  <c r="I13" i="5"/>
  <c r="H13" i="5"/>
  <c r="G13" i="5"/>
  <c r="F13" i="5"/>
  <c r="D13" i="5"/>
  <c r="C13" i="5"/>
  <c r="B13" i="5"/>
  <c r="E13" i="5" s="1"/>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U10" i="21" s="1"/>
  <c r="J9" i="5"/>
  <c r="U9" i="21" s="1"/>
  <c r="I9" i="5"/>
  <c r="H9" i="5"/>
  <c r="G9" i="5"/>
  <c r="D9" i="5"/>
  <c r="C9" i="5"/>
  <c r="F9" i="5" s="1"/>
  <c r="B9" i="5"/>
  <c r="E9" i="5" s="1"/>
  <c r="N8" i="5"/>
  <c r="M8" i="5"/>
  <c r="Q12" i="21" s="1"/>
  <c r="K8" i="5"/>
  <c r="O10" i="21" s="1"/>
  <c r="J8" i="5"/>
  <c r="P9" i="21" s="1"/>
  <c r="I8" i="5"/>
  <c r="H8" i="5"/>
  <c r="Q7" i="21" s="1"/>
  <c r="G8" i="5"/>
  <c r="Q6" i="21" s="1"/>
  <c r="F8" i="5"/>
  <c r="E8" i="5"/>
  <c r="N4" i="21" s="1"/>
  <c r="D8" i="5"/>
  <c r="C8" i="5"/>
  <c r="O3" i="21" s="1"/>
  <c r="B8" i="5"/>
  <c r="N19" i="21" s="1"/>
  <c r="N7" i="5"/>
  <c r="P13" i="21" s="1"/>
  <c r="P14" i="21" s="1"/>
  <c r="P15" i="21" s="1"/>
  <c r="M7" i="5"/>
  <c r="M12" i="21" s="1"/>
  <c r="K7" i="5"/>
  <c r="M10" i="21" s="1"/>
  <c r="J7" i="5"/>
  <c r="M9" i="21" s="1"/>
  <c r="I7" i="5"/>
  <c r="H7" i="5"/>
  <c r="M7" i="21" s="1"/>
  <c r="G7" i="5"/>
  <c r="E7" i="5"/>
  <c r="L4" i="21" s="1"/>
  <c r="D7" i="5"/>
  <c r="C7" i="5"/>
  <c r="B7" i="5"/>
  <c r="N6" i="5"/>
  <c r="I13" i="21" s="1"/>
  <c r="I14" i="21" s="1"/>
  <c r="I15" i="21" s="1"/>
  <c r="M6" i="5"/>
  <c r="I12" i="21" s="1"/>
  <c r="K6" i="5"/>
  <c r="I10" i="21" s="1"/>
  <c r="J6" i="5"/>
  <c r="I9" i="21" s="1"/>
  <c r="I6" i="5"/>
  <c r="H6" i="5"/>
  <c r="I7" i="21" s="1"/>
  <c r="G6" i="5"/>
  <c r="F6" i="5"/>
  <c r="I5" i="21" s="1"/>
  <c r="D6" i="5"/>
  <c r="C6" i="5"/>
  <c r="B6" i="5"/>
  <c r="N5" i="5"/>
  <c r="M5" i="5"/>
  <c r="L5" i="5"/>
  <c r="C11" i="21" s="1"/>
  <c r="K5" i="5"/>
  <c r="C10" i="21" s="1"/>
  <c r="J5" i="5"/>
  <c r="J16" i="5" s="1"/>
  <c r="I5" i="5"/>
  <c r="C8" i="21" s="1"/>
  <c r="H5" i="5"/>
  <c r="C7" i="21" s="1"/>
  <c r="G5" i="5"/>
  <c r="C6" i="21" s="1"/>
  <c r="E5" i="5"/>
  <c r="C4" i="21" s="1"/>
  <c r="D5" i="5"/>
  <c r="C5" i="5"/>
  <c r="F5" i="5" s="1"/>
  <c r="B5" i="5"/>
  <c r="D8" i="21" s="1"/>
  <c r="F17" i="27"/>
  <c r="F16" i="27"/>
  <c r="F15" i="27"/>
  <c r="F14" i="27"/>
  <c r="F13" i="27"/>
  <c r="F12" i="27"/>
  <c r="F11" i="27"/>
  <c r="F9" i="27"/>
  <c r="F8" i="27"/>
  <c r="F7" i="27"/>
  <c r="F6" i="27"/>
  <c r="F5" i="27"/>
  <c r="B3" i="27"/>
  <c r="F193" i="65"/>
  <c r="G193" i="65" s="1"/>
  <c r="H193" i="65" s="1"/>
  <c r="I193" i="65" s="1"/>
  <c r="E193" i="65"/>
  <c r="G192" i="65"/>
  <c r="H192" i="65" s="1"/>
  <c r="I192" i="65" s="1"/>
  <c r="J191" i="65"/>
  <c r="K191" i="65" s="1"/>
  <c r="L191" i="65" s="1"/>
  <c r="M191" i="65" s="1"/>
  <c r="I191" i="65"/>
  <c r="N189" i="65"/>
  <c r="O189" i="65" s="1"/>
  <c r="P189" i="65" s="1"/>
  <c r="Q189" i="65" s="1"/>
  <c r="S188" i="65"/>
  <c r="R188" i="65"/>
  <c r="O188" i="65"/>
  <c r="P188" i="65" s="1"/>
  <c r="Q188" i="65" s="1"/>
  <c r="N188" i="65"/>
  <c r="J188" i="65"/>
  <c r="K188" i="65" s="1"/>
  <c r="L188" i="65" s="1"/>
  <c r="M188" i="65" s="1"/>
  <c r="F188" i="65"/>
  <c r="G188" i="65" s="1"/>
  <c r="H188" i="65" s="1"/>
  <c r="I188" i="65" s="1"/>
  <c r="E188" i="65"/>
  <c r="D188" i="65"/>
  <c r="R187" i="65"/>
  <c r="S187" i="65" s="1"/>
  <c r="S186" i="65"/>
  <c r="R184" i="65"/>
  <c r="S184" i="65" s="1"/>
  <c r="N184" i="65"/>
  <c r="O184" i="65" s="1"/>
  <c r="P184" i="65" s="1"/>
  <c r="Q184" i="65" s="1"/>
  <c r="J184" i="65"/>
  <c r="K184" i="65" s="1"/>
  <c r="L184" i="65" s="1"/>
  <c r="M184" i="65" s="1"/>
  <c r="I179" i="65"/>
  <c r="H179" i="65"/>
  <c r="R194" i="65" s="1"/>
  <c r="S194" i="65" s="1"/>
  <c r="G179" i="65"/>
  <c r="N194" i="65" s="1"/>
  <c r="O194" i="65" s="1"/>
  <c r="P194" i="65" s="1"/>
  <c r="Q194" i="65" s="1"/>
  <c r="N178" i="65"/>
  <c r="M178" i="65"/>
  <c r="F178" i="65"/>
  <c r="J193" i="65" s="1"/>
  <c r="K193" i="65" s="1"/>
  <c r="L193" i="65" s="1"/>
  <c r="M193" i="65" s="1"/>
  <c r="E178" i="65"/>
  <c r="L177" i="65"/>
  <c r="K177" i="65"/>
  <c r="D177" i="65"/>
  <c r="D192" i="65" s="1"/>
  <c r="E192" i="65" s="1"/>
  <c r="O176" i="65"/>
  <c r="J176" i="65"/>
  <c r="F176" i="65"/>
  <c r="N175" i="65"/>
  <c r="M175" i="65"/>
  <c r="H175" i="65"/>
  <c r="R190" i="65" s="1"/>
  <c r="S190" i="65" s="1"/>
  <c r="D175" i="65"/>
  <c r="D190" i="65" s="1"/>
  <c r="E190" i="65" s="1"/>
  <c r="L174" i="65"/>
  <c r="K174" i="65"/>
  <c r="F174" i="65"/>
  <c r="J189" i="65" s="1"/>
  <c r="K189" i="65" s="1"/>
  <c r="L189" i="65" s="1"/>
  <c r="M189" i="65" s="1"/>
  <c r="L171" i="65"/>
  <c r="H171" i="65"/>
  <c r="R186" i="65" s="1"/>
  <c r="G171" i="65"/>
  <c r="N186" i="65" s="1"/>
  <c r="O186" i="65" s="1"/>
  <c r="P186" i="65" s="1"/>
  <c r="Q186" i="65" s="1"/>
  <c r="N170" i="65"/>
  <c r="F170" i="65"/>
  <c r="J185" i="65" s="1"/>
  <c r="K185" i="65" s="1"/>
  <c r="L185" i="65" s="1"/>
  <c r="M185" i="65" s="1"/>
  <c r="E170" i="65"/>
  <c r="F185" i="65" s="1"/>
  <c r="G185" i="65" s="1"/>
  <c r="H185" i="65" s="1"/>
  <c r="I185" i="65" s="1"/>
  <c r="O169" i="65"/>
  <c r="N169" i="65"/>
  <c r="M169" i="65"/>
  <c r="L169" i="65"/>
  <c r="K169" i="65"/>
  <c r="J169" i="65"/>
  <c r="I169" i="65"/>
  <c r="H169" i="65"/>
  <c r="G169" i="65"/>
  <c r="F169" i="65"/>
  <c r="E169" i="65"/>
  <c r="F184" i="65" s="1"/>
  <c r="G184" i="65" s="1"/>
  <c r="H184" i="65" s="1"/>
  <c r="I184" i="65" s="1"/>
  <c r="D169" i="65"/>
  <c r="D184" i="65" s="1"/>
  <c r="E184" i="65" s="1"/>
  <c r="O85" i="65"/>
  <c r="O178" i="65" s="1"/>
  <c r="N85" i="65"/>
  <c r="M85" i="65"/>
  <c r="L85" i="65"/>
  <c r="L178" i="65" s="1"/>
  <c r="K85" i="65"/>
  <c r="K178" i="65" s="1"/>
  <c r="J85" i="65"/>
  <c r="J178" i="65" s="1"/>
  <c r="I85" i="65"/>
  <c r="I178" i="65" s="1"/>
  <c r="H85" i="65"/>
  <c r="H178" i="65" s="1"/>
  <c r="R193" i="65" s="1"/>
  <c r="S193" i="65" s="1"/>
  <c r="G85" i="65"/>
  <c r="G178" i="65" s="1"/>
  <c r="N193" i="65" s="1"/>
  <c r="O193" i="65" s="1"/>
  <c r="P193" i="65" s="1"/>
  <c r="Q193" i="65" s="1"/>
  <c r="F85" i="65"/>
  <c r="E85" i="65"/>
  <c r="D85" i="65"/>
  <c r="D178" i="65" s="1"/>
  <c r="D193" i="65" s="1"/>
  <c r="O84" i="65"/>
  <c r="O177" i="65" s="1"/>
  <c r="N84" i="65"/>
  <c r="N177" i="65" s="1"/>
  <c r="M84" i="65"/>
  <c r="M177" i="65" s="1"/>
  <c r="L84" i="65"/>
  <c r="K84" i="65"/>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D84" i="65"/>
  <c r="O83" i="65"/>
  <c r="O179" i="65" s="1"/>
  <c r="N83" i="65"/>
  <c r="N179" i="65" s="1"/>
  <c r="M83" i="65"/>
  <c r="M179" i="65" s="1"/>
  <c r="L83" i="65"/>
  <c r="L179" i="65" s="1"/>
  <c r="K83" i="65"/>
  <c r="K179" i="65" s="1"/>
  <c r="J83" i="65"/>
  <c r="J179" i="65" s="1"/>
  <c r="I83" i="65"/>
  <c r="H83" i="65"/>
  <c r="G83" i="65"/>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I172" i="65" s="1"/>
  <c r="H74" i="65"/>
  <c r="H172" i="65" s="1"/>
  <c r="G74" i="65"/>
  <c r="G172" i="65" s="1"/>
  <c r="N187" i="65" s="1"/>
  <c r="O187" i="65" s="1"/>
  <c r="P187" i="65" s="1"/>
  <c r="Q187" i="65" s="1"/>
  <c r="F74" i="65"/>
  <c r="F172" i="65" s="1"/>
  <c r="J187" i="65" s="1"/>
  <c r="K187" i="65" s="1"/>
  <c r="L187" i="65" s="1"/>
  <c r="M187" i="65" s="1"/>
  <c r="E74" i="65"/>
  <c r="E172" i="65" s="1"/>
  <c r="F187" i="65" s="1"/>
  <c r="G187" i="65" s="1"/>
  <c r="H187" i="65" s="1"/>
  <c r="I187" i="65" s="1"/>
  <c r="D74" i="65"/>
  <c r="D172" i="65" s="1"/>
  <c r="D187" i="65" s="1"/>
  <c r="E187" i="65" s="1"/>
  <c r="O73" i="65"/>
  <c r="N73" i="65"/>
  <c r="N176" i="65" s="1"/>
  <c r="M73" i="65"/>
  <c r="M176" i="65" s="1"/>
  <c r="L73" i="65"/>
  <c r="L176" i="65" s="1"/>
  <c r="K73" i="65"/>
  <c r="K176" i="65" s="1"/>
  <c r="J73" i="65"/>
  <c r="I73" i="65"/>
  <c r="I176" i="65" s="1"/>
  <c r="H73" i="65"/>
  <c r="H176" i="65" s="1"/>
  <c r="R191" i="65" s="1"/>
  <c r="S191" i="65" s="1"/>
  <c r="G73" i="65"/>
  <c r="G176" i="65" s="1"/>
  <c r="N191" i="65" s="1"/>
  <c r="O191" i="65" s="1"/>
  <c r="P191" i="65" s="1"/>
  <c r="Q191" i="65" s="1"/>
  <c r="F73" i="65"/>
  <c r="E73" i="65"/>
  <c r="E176" i="65" s="1"/>
  <c r="F191" i="65" s="1"/>
  <c r="G191" i="65" s="1"/>
  <c r="H191" i="65" s="1"/>
  <c r="D73" i="65"/>
  <c r="D176" i="65" s="1"/>
  <c r="D191" i="65" s="1"/>
  <c r="E191" i="65" s="1"/>
  <c r="O72" i="65"/>
  <c r="O175" i="65" s="1"/>
  <c r="N72" i="65"/>
  <c r="M72" i="65"/>
  <c r="L72" i="65"/>
  <c r="L175" i="65" s="1"/>
  <c r="K72" i="65"/>
  <c r="K175" i="65" s="1"/>
  <c r="J72" i="65"/>
  <c r="J175" i="65" s="1"/>
  <c r="I72" i="65"/>
  <c r="I175" i="65" s="1"/>
  <c r="H72" i="65"/>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O174" i="65" s="1"/>
  <c r="N71" i="65"/>
  <c r="N174" i="65" s="1"/>
  <c r="M71" i="65"/>
  <c r="M174" i="65" s="1"/>
  <c r="L71" i="65"/>
  <c r="K71" i="65"/>
  <c r="J71" i="65"/>
  <c r="J174" i="65" s="1"/>
  <c r="I71" i="65"/>
  <c r="I174" i="65" s="1"/>
  <c r="H71" i="65"/>
  <c r="H174" i="65" s="1"/>
  <c r="R189" i="65" s="1"/>
  <c r="S189" i="65" s="1"/>
  <c r="G71" i="65"/>
  <c r="G174" i="65" s="1"/>
  <c r="F71" i="65"/>
  <c r="E71" i="65"/>
  <c r="E174" i="65" s="1"/>
  <c r="F189" i="65" s="1"/>
  <c r="G189" i="65" s="1"/>
  <c r="H189" i="65" s="1"/>
  <c r="I189" i="65" s="1"/>
  <c r="D71" i="65"/>
  <c r="D174" i="65" s="1"/>
  <c r="D189" i="65" s="1"/>
  <c r="E189" i="65" s="1"/>
  <c r="O70" i="65"/>
  <c r="O170" i="65" s="1"/>
  <c r="N70" i="65"/>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E70" i="65"/>
  <c r="D70" i="65"/>
  <c r="D170" i="65" s="1"/>
  <c r="D185" i="65" s="1"/>
  <c r="E185" i="65" s="1"/>
  <c r="O69" i="65"/>
  <c r="O171" i="65" s="1"/>
  <c r="N69" i="65"/>
  <c r="N171" i="65" s="1"/>
  <c r="M69" i="65"/>
  <c r="M171" i="65" s="1"/>
  <c r="L69" i="65"/>
  <c r="K69" i="65"/>
  <c r="K171" i="65" s="1"/>
  <c r="J69" i="65"/>
  <c r="J171" i="65" s="1"/>
  <c r="I69" i="65"/>
  <c r="I171" i="65" s="1"/>
  <c r="H69" i="65"/>
  <c r="G69" i="65"/>
  <c r="F69" i="65"/>
  <c r="F171" i="65" s="1"/>
  <c r="J186" i="65" s="1"/>
  <c r="K186" i="65" s="1"/>
  <c r="L186" i="65" s="1"/>
  <c r="M186" i="65" s="1"/>
  <c r="E69" i="65"/>
  <c r="E171" i="65" s="1"/>
  <c r="F186" i="65" s="1"/>
  <c r="G186" i="65" s="1"/>
  <c r="H186" i="65" s="1"/>
  <c r="I186" i="65" s="1"/>
  <c r="D69" i="65"/>
  <c r="D171" i="65" s="1"/>
  <c r="D186" i="65" s="1"/>
  <c r="E186" i="65" s="1"/>
  <c r="M11" i="29"/>
  <c r="K11" i="29"/>
  <c r="J11" i="29"/>
  <c r="T10" i="29"/>
  <c r="Q10" i="29"/>
  <c r="M10" i="29"/>
  <c r="T9" i="29"/>
  <c r="S9" i="29"/>
  <c r="S10" i="29" s="1"/>
  <c r="R9" i="29"/>
  <c r="R10" i="29" s="1"/>
  <c r="Q9" i="29"/>
  <c r="P9" i="29"/>
  <c r="P10" i="29" s="1"/>
  <c r="O9" i="29"/>
  <c r="O10" i="29" s="1"/>
  <c r="N9" i="29"/>
  <c r="N10" i="29" s="1"/>
  <c r="M9" i="29"/>
  <c r="L9" i="29"/>
  <c r="L11" i="29" s="1"/>
  <c r="K9" i="29"/>
  <c r="J9" i="29"/>
  <c r="L17" i="40"/>
  <c r="J15" i="40"/>
  <c r="R14" i="40"/>
  <c r="R17" i="40" s="1"/>
  <c r="L14" i="40"/>
  <c r="L15" i="40" s="1"/>
  <c r="K14" i="40"/>
  <c r="T13" i="40"/>
  <c r="S13" i="40"/>
  <c r="S14" i="40" s="1"/>
  <c r="S15" i="40" s="1"/>
  <c r="R13" i="40"/>
  <c r="Q13" i="40"/>
  <c r="P13" i="40"/>
  <c r="O13" i="40"/>
  <c r="N13" i="40"/>
  <c r="M13" i="40"/>
  <c r="L13" i="40"/>
  <c r="K13" i="40"/>
  <c r="J13" i="40"/>
  <c r="J14" i="40" s="1"/>
  <c r="T12" i="40"/>
  <c r="S12" i="40"/>
  <c r="R12" i="40"/>
  <c r="R16" i="40" s="1"/>
  <c r="Q12" i="40"/>
  <c r="P12" i="40"/>
  <c r="O12" i="40"/>
  <c r="N12" i="40"/>
  <c r="M12" i="40"/>
  <c r="L12" i="40"/>
  <c r="K12" i="40"/>
  <c r="J12" i="40"/>
  <c r="T11" i="40"/>
  <c r="S11" i="40"/>
  <c r="R11" i="40"/>
  <c r="R15" i="40" s="1"/>
  <c r="Q11" i="40"/>
  <c r="P11" i="40"/>
  <c r="O11" i="40"/>
  <c r="N11" i="40"/>
  <c r="M11" i="40"/>
  <c r="L11" i="40"/>
  <c r="K11" i="40"/>
  <c r="J11" i="40"/>
  <c r="L67" i="38"/>
  <c r="L65" i="38"/>
  <c r="L70" i="38" s="1"/>
  <c r="K65" i="38"/>
  <c r="L64" i="38"/>
  <c r="L69" i="38" s="1"/>
  <c r="M55" i="38"/>
  <c r="I67" i="38" s="1"/>
  <c r="I69" i="38" s="1"/>
  <c r="P54" i="38"/>
  <c r="P55" i="38" s="1"/>
  <c r="O54" i="38"/>
  <c r="O55" i="38" s="1"/>
  <c r="K67" i="38" s="1"/>
  <c r="K69" i="38" s="1"/>
  <c r="N54" i="38"/>
  <c r="M54" i="38"/>
  <c r="L54" i="38"/>
  <c r="L55" i="38" s="1"/>
  <c r="N48" i="38" s="1"/>
  <c r="K54" i="38"/>
  <c r="J54" i="38"/>
  <c r="P53" i="38"/>
  <c r="P56" i="38" s="1"/>
  <c r="O53" i="38"/>
  <c r="O56" i="38" s="1"/>
  <c r="N53" i="38"/>
  <c r="N55" i="38" s="1"/>
  <c r="J67" i="38" s="1"/>
  <c r="M53" i="38"/>
  <c r="L53" i="38"/>
  <c r="K53" i="38"/>
  <c r="K55" i="38" s="1"/>
  <c r="M48" i="38" s="1"/>
  <c r="J53" i="38"/>
  <c r="J55" i="38" s="1"/>
  <c r="J56" i="38" s="1"/>
  <c r="J45" i="38"/>
  <c r="J44" i="38"/>
  <c r="J43" i="38"/>
  <c r="J42" i="38"/>
  <c r="T41" i="38"/>
  <c r="S41" i="38"/>
  <c r="S42" i="38" s="1"/>
  <c r="S43" i="38" s="1"/>
  <c r="S44" i="38" s="1"/>
  <c r="S45" i="38" s="1"/>
  <c r="J41" i="38"/>
  <c r="Q41" i="38" s="1"/>
  <c r="T40" i="38"/>
  <c r="P40" i="38" s="1"/>
  <c r="S40" i="38"/>
  <c r="Q40" i="38"/>
  <c r="R40" i="38" s="1"/>
  <c r="J40" i="38"/>
  <c r="T39" i="38"/>
  <c r="S39" i="38"/>
  <c r="Q39" i="38"/>
  <c r="P39" i="38"/>
  <c r="R39" i="38" s="1"/>
  <c r="J39" i="38"/>
  <c r="T38" i="38"/>
  <c r="S38" i="38"/>
  <c r="J38" i="38"/>
  <c r="Q38" i="38" s="1"/>
  <c r="R37" i="38"/>
  <c r="Q37" i="38"/>
  <c r="P37" i="38"/>
  <c r="J37" i="38"/>
  <c r="J36" i="38"/>
  <c r="P36" i="38" s="1"/>
  <c r="J35" i="38"/>
  <c r="P34" i="38"/>
  <c r="J34" i="38"/>
  <c r="J33" i="38"/>
  <c r="P33" i="38" s="1"/>
  <c r="P32" i="38"/>
  <c r="J32" i="38"/>
  <c r="J31" i="38"/>
  <c r="P31" i="38" s="1"/>
  <c r="T30" i="38"/>
  <c r="T31" i="38" s="1"/>
  <c r="T32" i="38" s="1"/>
  <c r="T33" i="38" s="1"/>
  <c r="T34" i="38" s="1"/>
  <c r="T35" i="38" s="1"/>
  <c r="T36" i="38" s="1"/>
  <c r="J30" i="38"/>
  <c r="P30" i="38" s="1"/>
  <c r="T29" i="38"/>
  <c r="J29" i="38"/>
  <c r="P29" i="38" s="1"/>
  <c r="T28" i="38"/>
  <c r="S28" i="38"/>
  <c r="J28" i="38"/>
  <c r="J27" i="38"/>
  <c r="J26" i="38"/>
  <c r="N25" i="38"/>
  <c r="J25" i="38"/>
  <c r="S24" i="38"/>
  <c r="J24" i="38"/>
  <c r="S23" i="38"/>
  <c r="M23" i="38"/>
  <c r="J23" i="38"/>
  <c r="N22" i="38"/>
  <c r="J22" i="38"/>
  <c r="M22" i="38" s="1"/>
  <c r="M21" i="38"/>
  <c r="J21" i="38"/>
  <c r="N21" i="38" s="1"/>
  <c r="M20" i="38"/>
  <c r="J20" i="38"/>
  <c r="J19" i="38"/>
  <c r="M19" i="38" s="1"/>
  <c r="M18" i="38"/>
  <c r="J18" i="38"/>
  <c r="M17" i="38"/>
  <c r="J17" i="38"/>
  <c r="M16" i="38"/>
  <c r="J16" i="38"/>
  <c r="J15" i="38"/>
  <c r="M15" i="38" s="1"/>
  <c r="S14" i="38"/>
  <c r="L14" i="38" s="1"/>
  <c r="J14" i="38"/>
  <c r="M13" i="38"/>
  <c r="J13" i="38"/>
  <c r="M12" i="38"/>
  <c r="L12" i="38"/>
  <c r="N12" i="38" s="1"/>
  <c r="J12" i="38"/>
  <c r="M11" i="38"/>
  <c r="J11" i="38"/>
  <c r="L11" i="38" s="1"/>
  <c r="AN68" i="70"/>
  <c r="AM68" i="70"/>
  <c r="AN49" i="70" s="1"/>
  <c r="AL68" i="70"/>
  <c r="AK68" i="70"/>
  <c r="AL49" i="70" s="1"/>
  <c r="AJ68" i="70"/>
  <c r="AI68" i="70"/>
  <c r="AH68" i="70"/>
  <c r="AG68" i="70"/>
  <c r="AH49" i="70" s="1"/>
  <c r="AH51" i="70" s="1"/>
  <c r="AF68" i="70"/>
  <c r="AE68" i="70"/>
  <c r="AD68" i="70"/>
  <c r="AE49" i="70" s="1"/>
  <c r="AC68" i="70"/>
  <c r="AD49" i="70" s="1"/>
  <c r="AD51" i="70" s="1"/>
  <c r="AB68" i="70"/>
  <c r="AA68" i="70"/>
  <c r="Z68" i="70"/>
  <c r="Y68" i="70"/>
  <c r="X68" i="70"/>
  <c r="W68" i="70"/>
  <c r="V68" i="70"/>
  <c r="U68" i="70"/>
  <c r="T68" i="70"/>
  <c r="S68" i="70"/>
  <c r="AN67" i="70"/>
  <c r="AN48" i="70" s="1"/>
  <c r="AN14" i="70" s="1"/>
  <c r="AM67" i="70"/>
  <c r="AL67" i="70"/>
  <c r="AK67" i="70"/>
  <c r="AK48" i="70" s="1"/>
  <c r="AK14" i="70" s="1"/>
  <c r="AK24" i="70" s="1"/>
  <c r="AJ67" i="70"/>
  <c r="AI67" i="70"/>
  <c r="AI48" i="70" s="1"/>
  <c r="AI14" i="70" s="1"/>
  <c r="AI24" i="70" s="1"/>
  <c r="AH67" i="70"/>
  <c r="AG67" i="70"/>
  <c r="AG48" i="70" s="1"/>
  <c r="AG14" i="70" s="1"/>
  <c r="AG24" i="70" s="1"/>
  <c r="AF67" i="70"/>
  <c r="AE67" i="70"/>
  <c r="AD67" i="70"/>
  <c r="AC67" i="70"/>
  <c r="AC48" i="70" s="1"/>
  <c r="AC14" i="70" s="1"/>
  <c r="AC24" i="70" s="1"/>
  <c r="AB67" i="70"/>
  <c r="AA67" i="70"/>
  <c r="Z67" i="70"/>
  <c r="Y67" i="70"/>
  <c r="X67" i="70"/>
  <c r="W67" i="70"/>
  <c r="V67" i="70"/>
  <c r="U67" i="70"/>
  <c r="T67" i="70"/>
  <c r="S67" i="70"/>
  <c r="AN66" i="70"/>
  <c r="AM66" i="70"/>
  <c r="AL66" i="70"/>
  <c r="AL46" i="70" s="1"/>
  <c r="AL45" i="70" s="1"/>
  <c r="AK66" i="70"/>
  <c r="AJ66" i="70"/>
  <c r="AI66" i="70"/>
  <c r="AH66" i="70"/>
  <c r="AG66" i="70"/>
  <c r="AF66" i="70"/>
  <c r="AF46" i="70" s="1"/>
  <c r="AF45" i="70" s="1"/>
  <c r="AF12" i="70" s="1"/>
  <c r="AF23" i="70" s="1"/>
  <c r="F2" i="71" s="1"/>
  <c r="AE66" i="70"/>
  <c r="AE46" i="70" s="1"/>
  <c r="AE45" i="70" s="1"/>
  <c r="AE12" i="70" s="1"/>
  <c r="AE23" i="70" s="1"/>
  <c r="E2" i="71" s="1"/>
  <c r="AD66" i="70"/>
  <c r="AC66" i="70"/>
  <c r="AD46" i="70" s="1"/>
  <c r="AD45" i="70" s="1"/>
  <c r="AD12" i="70" s="1"/>
  <c r="AD23" i="70" s="1"/>
  <c r="AB66" i="70"/>
  <c r="AA66" i="70"/>
  <c r="AB46" i="70" s="1"/>
  <c r="Z66" i="70"/>
  <c r="Y66" i="70"/>
  <c r="Z46" i="70" s="1"/>
  <c r="X66" i="70"/>
  <c r="W66" i="70"/>
  <c r="V66" i="70"/>
  <c r="U66" i="70"/>
  <c r="T66" i="70"/>
  <c r="S66" i="70"/>
  <c r="AF52" i="70"/>
  <c r="AB52" i="70"/>
  <c r="AA52" i="70"/>
  <c r="Z52" i="70"/>
  <c r="Y52" i="70"/>
  <c r="Y20" i="70" s="1"/>
  <c r="Y27" i="70" s="1"/>
  <c r="X52" i="70"/>
  <c r="W52" i="70"/>
  <c r="W20" i="70" s="1"/>
  <c r="W27" i="70" s="1"/>
  <c r="V52" i="70"/>
  <c r="U52" i="70"/>
  <c r="T52" i="70"/>
  <c r="S52" i="70"/>
  <c r="R52" i="70"/>
  <c r="Q52" i="70"/>
  <c r="Q20" i="70" s="1"/>
  <c r="P52" i="70"/>
  <c r="O52" i="70"/>
  <c r="O20" i="70" s="1"/>
  <c r="N52" i="70"/>
  <c r="M52" i="70"/>
  <c r="L52" i="70"/>
  <c r="K52" i="70"/>
  <c r="K20" i="70" s="1"/>
  <c r="K27" i="70" s="1"/>
  <c r="J52" i="70"/>
  <c r="I52" i="70"/>
  <c r="I20" i="70" s="1"/>
  <c r="I27" i="70" s="1"/>
  <c r="H52" i="70"/>
  <c r="G52" i="70"/>
  <c r="F52" i="70"/>
  <c r="E52" i="70"/>
  <c r="D52" i="70"/>
  <c r="AL51" i="70"/>
  <c r="AB51" i="70"/>
  <c r="AA51" i="70"/>
  <c r="Z51" i="70"/>
  <c r="Z18" i="70" s="1"/>
  <c r="Y51" i="70"/>
  <c r="X51" i="70"/>
  <c r="X18" i="70" s="1"/>
  <c r="X26" i="70" s="1"/>
  <c r="W51" i="70"/>
  <c r="V51" i="70"/>
  <c r="U51" i="70"/>
  <c r="T51" i="70"/>
  <c r="T18" i="70" s="1"/>
  <c r="T26" i="70" s="1"/>
  <c r="S51" i="70"/>
  <c r="R51" i="70"/>
  <c r="R18" i="70" s="1"/>
  <c r="R26" i="70" s="1"/>
  <c r="Q51" i="70"/>
  <c r="P51" i="70"/>
  <c r="O51" i="70"/>
  <c r="N51" i="70"/>
  <c r="N18" i="70" s="1"/>
  <c r="N26" i="70" s="1"/>
  <c r="M51" i="70"/>
  <c r="L51" i="70"/>
  <c r="L18" i="70" s="1"/>
  <c r="K51" i="70"/>
  <c r="J51" i="70"/>
  <c r="J18" i="70" s="1"/>
  <c r="J26" i="70" s="1"/>
  <c r="I51" i="70"/>
  <c r="H51" i="70"/>
  <c r="G51" i="70"/>
  <c r="F51" i="70"/>
  <c r="F18" i="70" s="1"/>
  <c r="F26" i="70" s="1"/>
  <c r="E51" i="70"/>
  <c r="D51" i="70"/>
  <c r="D18" i="70" s="1"/>
  <c r="D26" i="70" s="1"/>
  <c r="AM49" i="70"/>
  <c r="AM16" i="70" s="1"/>
  <c r="AM25" i="70" s="1"/>
  <c r="AJ49" i="70"/>
  <c r="AJ51" i="70" s="1"/>
  <c r="AI49" i="70"/>
  <c r="AG49" i="70"/>
  <c r="AF49" i="70"/>
  <c r="AF51" i="70" s="1"/>
  <c r="AF18" i="70" s="1"/>
  <c r="AF26" i="70" s="1"/>
  <c r="AC49" i="70"/>
  <c r="AC16" i="70" s="1"/>
  <c r="AC25" i="70" s="1"/>
  <c r="AB49" i="70"/>
  <c r="AA49" i="70"/>
  <c r="AA16" i="70" s="1"/>
  <c r="AA25" i="70" s="1"/>
  <c r="Z49" i="70"/>
  <c r="Y49" i="70"/>
  <c r="Y16" i="70" s="1"/>
  <c r="Y25" i="70" s="1"/>
  <c r="X49" i="70"/>
  <c r="W49" i="70"/>
  <c r="W16" i="70" s="1"/>
  <c r="W25" i="70" s="1"/>
  <c r="V49" i="70"/>
  <c r="U49" i="70"/>
  <c r="U16" i="70" s="1"/>
  <c r="U25" i="70" s="1"/>
  <c r="T49" i="70"/>
  <c r="S49" i="70"/>
  <c r="S16" i="70" s="1"/>
  <c r="S25" i="70" s="1"/>
  <c r="R49" i="70"/>
  <c r="Q49" i="70"/>
  <c r="P49" i="70"/>
  <c r="O49" i="70"/>
  <c r="O16" i="70" s="1"/>
  <c r="O25" i="70" s="1"/>
  <c r="N49" i="70"/>
  <c r="M49" i="70"/>
  <c r="M16" i="70" s="1"/>
  <c r="M25" i="70" s="1"/>
  <c r="L49" i="70"/>
  <c r="K49" i="70"/>
  <c r="K16" i="70" s="1"/>
  <c r="K25" i="70" s="1"/>
  <c r="J49" i="70"/>
  <c r="I49" i="70"/>
  <c r="I16" i="70" s="1"/>
  <c r="I25" i="70" s="1"/>
  <c r="H49" i="70"/>
  <c r="G49" i="70"/>
  <c r="G16" i="70" s="1"/>
  <c r="G25" i="70" s="1"/>
  <c r="F49" i="70"/>
  <c r="E49" i="70"/>
  <c r="E16" i="70" s="1"/>
  <c r="E25" i="70" s="1"/>
  <c r="D49" i="70"/>
  <c r="AM48" i="70"/>
  <c r="AL48" i="70"/>
  <c r="AL14" i="70" s="1"/>
  <c r="AL24" i="70" s="1"/>
  <c r="AJ48" i="70"/>
  <c r="AJ14" i="70" s="1"/>
  <c r="AJ24" i="70" s="1"/>
  <c r="AH48" i="70"/>
  <c r="AH14" i="70" s="1"/>
  <c r="AH24" i="70" s="1"/>
  <c r="AF48" i="70"/>
  <c r="AE48" i="70"/>
  <c r="AD48" i="70"/>
  <c r="AD14" i="70" s="1"/>
  <c r="AB48" i="70"/>
  <c r="AB14" i="70" s="1"/>
  <c r="AB24" i="70" s="1"/>
  <c r="AA48" i="70"/>
  <c r="Z48" i="70"/>
  <c r="Y48" i="70"/>
  <c r="X48" i="70"/>
  <c r="X14" i="70" s="1"/>
  <c r="X24" i="70" s="1"/>
  <c r="W48" i="70"/>
  <c r="V48" i="70"/>
  <c r="V14" i="70" s="1"/>
  <c r="V24" i="70" s="1"/>
  <c r="U48" i="70"/>
  <c r="T48" i="70"/>
  <c r="T14" i="70" s="1"/>
  <c r="T24" i="70" s="1"/>
  <c r="S48" i="70"/>
  <c r="R48" i="70"/>
  <c r="R14" i="70" s="1"/>
  <c r="R24" i="70" s="1"/>
  <c r="Q48" i="70"/>
  <c r="P48" i="70"/>
  <c r="P14" i="70" s="1"/>
  <c r="P24" i="70" s="1"/>
  <c r="O48" i="70"/>
  <c r="N48" i="70"/>
  <c r="N14" i="70" s="1"/>
  <c r="N24" i="70" s="1"/>
  <c r="M48" i="70"/>
  <c r="L48" i="70"/>
  <c r="K48" i="70"/>
  <c r="J48" i="70"/>
  <c r="J14" i="70" s="1"/>
  <c r="J24" i="70" s="1"/>
  <c r="I48" i="70"/>
  <c r="H48" i="70"/>
  <c r="H14" i="70" s="1"/>
  <c r="H24" i="70" s="1"/>
  <c r="G48" i="70"/>
  <c r="F48" i="70"/>
  <c r="F14" i="70" s="1"/>
  <c r="F24" i="70" s="1"/>
  <c r="E48" i="70"/>
  <c r="D48" i="70"/>
  <c r="D14" i="70" s="1"/>
  <c r="D24" i="70" s="1"/>
  <c r="AN46" i="70"/>
  <c r="AN45" i="70" s="1"/>
  <c r="AM46" i="70"/>
  <c r="AM45" i="70" s="1"/>
  <c r="AM12" i="70" s="1"/>
  <c r="AM23" i="70" s="1"/>
  <c r="AK46" i="70"/>
  <c r="AK45" i="70" s="1"/>
  <c r="AK12" i="70" s="1"/>
  <c r="AH46" i="70"/>
  <c r="AG46" i="70"/>
  <c r="AC46" i="70"/>
  <c r="AA46" i="70"/>
  <c r="Y46" i="70"/>
  <c r="X46" i="70"/>
  <c r="W46" i="70"/>
  <c r="V46" i="70"/>
  <c r="U46" i="70"/>
  <c r="T46" i="70"/>
  <c r="S46" i="70"/>
  <c r="R46" i="70"/>
  <c r="Q46" i="70"/>
  <c r="P46" i="70"/>
  <c r="O46" i="70"/>
  <c r="N46" i="70"/>
  <c r="M46" i="70"/>
  <c r="L46" i="70"/>
  <c r="K46" i="70"/>
  <c r="J46" i="70"/>
  <c r="I46" i="70"/>
  <c r="H46" i="70"/>
  <c r="G46" i="70"/>
  <c r="F46" i="70"/>
  <c r="E46" i="70"/>
  <c r="D46" i="70"/>
  <c r="AH45" i="70"/>
  <c r="AH12" i="70" s="1"/>
  <c r="AH23" i="70" s="1"/>
  <c r="AC45" i="70"/>
  <c r="AC12" i="70" s="1"/>
  <c r="AC23" i="70" s="1"/>
  <c r="AB45" i="70"/>
  <c r="AA45" i="70"/>
  <c r="Z45" i="70"/>
  <c r="Y45" i="70"/>
  <c r="X45" i="70"/>
  <c r="W45" i="70"/>
  <c r="V45" i="70"/>
  <c r="V12" i="70" s="1"/>
  <c r="V23" i="70" s="1"/>
  <c r="U45" i="70"/>
  <c r="T45" i="70"/>
  <c r="T12" i="70" s="1"/>
  <c r="T23" i="70" s="1"/>
  <c r="S45" i="70"/>
  <c r="S12" i="70" s="1"/>
  <c r="S23" i="70" s="1"/>
  <c r="R45" i="70"/>
  <c r="R12" i="70" s="1"/>
  <c r="R23" i="70" s="1"/>
  <c r="Q45" i="70"/>
  <c r="Q12" i="70" s="1"/>
  <c r="Q23" i="70" s="1"/>
  <c r="P45" i="70"/>
  <c r="O45" i="70"/>
  <c r="O12" i="70" s="1"/>
  <c r="O23" i="70" s="1"/>
  <c r="N45" i="70"/>
  <c r="M45" i="70"/>
  <c r="L45" i="70"/>
  <c r="K45" i="70"/>
  <c r="J45" i="70"/>
  <c r="I45" i="70"/>
  <c r="H45" i="70"/>
  <c r="H12" i="70" s="1"/>
  <c r="H23" i="70" s="1"/>
  <c r="G45" i="70"/>
  <c r="F45" i="70"/>
  <c r="F12" i="70" s="1"/>
  <c r="F23" i="70" s="1"/>
  <c r="E45" i="70"/>
  <c r="E12" i="70" s="1"/>
  <c r="E23" i="70" s="1"/>
  <c r="D45" i="70"/>
  <c r="D12" i="70" s="1"/>
  <c r="D23" i="70" s="1"/>
  <c r="AA27" i="70"/>
  <c r="X27" i="70"/>
  <c r="Q27" i="70"/>
  <c r="O27" i="70"/>
  <c r="M27" i="70"/>
  <c r="J27" i="70"/>
  <c r="Z26" i="70"/>
  <c r="Y26" i="70"/>
  <c r="V26" i="70"/>
  <c r="S26" i="70"/>
  <c r="L26" i="70"/>
  <c r="H26" i="70"/>
  <c r="E26" i="70"/>
  <c r="AB25" i="70"/>
  <c r="Q25" i="70"/>
  <c r="N25" i="70"/>
  <c r="AN24" i="70"/>
  <c r="AD24" i="70"/>
  <c r="Z24" i="70"/>
  <c r="W24" i="70"/>
  <c r="O24" i="70"/>
  <c r="L24" i="70"/>
  <c r="I24" i="70"/>
  <c r="AK23" i="70"/>
  <c r="Y23" i="70"/>
  <c r="W23" i="70"/>
  <c r="U23" i="70"/>
  <c r="K23" i="70"/>
  <c r="J23" i="70"/>
  <c r="I23" i="70"/>
  <c r="AF20" i="70"/>
  <c r="AF27" i="70" s="1"/>
  <c r="AB20" i="70"/>
  <c r="AB27" i="70" s="1"/>
  <c r="AA20" i="70"/>
  <c r="Z20" i="70"/>
  <c r="Z27" i="70" s="1"/>
  <c r="X20" i="70"/>
  <c r="V20" i="70"/>
  <c r="V27" i="70" s="1"/>
  <c r="U20" i="70"/>
  <c r="U27" i="70" s="1"/>
  <c r="T20" i="70"/>
  <c r="T27" i="70" s="1"/>
  <c r="S20" i="70"/>
  <c r="S27" i="70" s="1"/>
  <c r="R20" i="70"/>
  <c r="R27" i="70" s="1"/>
  <c r="P20" i="70"/>
  <c r="P27" i="70" s="1"/>
  <c r="N20" i="70"/>
  <c r="N27" i="70" s="1"/>
  <c r="M20" i="70"/>
  <c r="L20" i="70"/>
  <c r="L27" i="70" s="1"/>
  <c r="J20" i="70"/>
  <c r="H20" i="70"/>
  <c r="H27" i="70" s="1"/>
  <c r="G20" i="70"/>
  <c r="G27" i="70" s="1"/>
  <c r="F20" i="70"/>
  <c r="F27" i="70" s="1"/>
  <c r="E20" i="70"/>
  <c r="E27" i="70" s="1"/>
  <c r="D20" i="70"/>
  <c r="D27" i="70" s="1"/>
  <c r="AB18" i="70"/>
  <c r="AB26" i="70" s="1"/>
  <c r="AA18" i="70"/>
  <c r="AA26" i="70" s="1"/>
  <c r="Y18" i="70"/>
  <c r="W18" i="70"/>
  <c r="W26" i="70" s="1"/>
  <c r="V18" i="70"/>
  <c r="U18" i="70"/>
  <c r="U26" i="70" s="1"/>
  <c r="S18" i="70"/>
  <c r="Q18" i="70"/>
  <c r="Q26" i="70" s="1"/>
  <c r="P18" i="70"/>
  <c r="P26" i="70" s="1"/>
  <c r="O18" i="70"/>
  <c r="O26" i="70" s="1"/>
  <c r="M18" i="70"/>
  <c r="M26" i="70" s="1"/>
  <c r="K18" i="70"/>
  <c r="K26" i="70" s="1"/>
  <c r="I18" i="70"/>
  <c r="I26" i="70" s="1"/>
  <c r="H18" i="70"/>
  <c r="G18" i="70"/>
  <c r="G26" i="70" s="1"/>
  <c r="E18" i="70"/>
  <c r="AL16" i="70"/>
  <c r="AL25" i="70" s="1"/>
  <c r="AJ16" i="70"/>
  <c r="AJ25" i="70" s="1"/>
  <c r="AH16" i="70"/>
  <c r="AH25" i="70" s="1"/>
  <c r="AF16" i="70"/>
  <c r="AF25" i="70" s="1"/>
  <c r="AD16" i="70"/>
  <c r="AD25" i="70" s="1"/>
  <c r="AB16" i="70"/>
  <c r="Z16" i="70"/>
  <c r="Z25" i="70" s="1"/>
  <c r="X16" i="70"/>
  <c r="X25" i="70" s="1"/>
  <c r="V16" i="70"/>
  <c r="V25" i="70" s="1"/>
  <c r="T16" i="70"/>
  <c r="T25" i="70" s="1"/>
  <c r="R16" i="70"/>
  <c r="R25" i="70" s="1"/>
  <c r="Q16" i="70"/>
  <c r="P16" i="70"/>
  <c r="P25" i="70" s="1"/>
  <c r="N16" i="70"/>
  <c r="L16" i="70"/>
  <c r="L25" i="70" s="1"/>
  <c r="J16" i="70"/>
  <c r="J25" i="70" s="1"/>
  <c r="H16" i="70"/>
  <c r="H25" i="70" s="1"/>
  <c r="F16" i="70"/>
  <c r="F25" i="70" s="1"/>
  <c r="D16" i="70"/>
  <c r="D25" i="70" s="1"/>
  <c r="AM14" i="70"/>
  <c r="AM24" i="70" s="1"/>
  <c r="AF14" i="70"/>
  <c r="AF24" i="70" s="1"/>
  <c r="AE14" i="70"/>
  <c r="AE24" i="70" s="1"/>
  <c r="AA14" i="70"/>
  <c r="AA24" i="70" s="1"/>
  <c r="Z14" i="70"/>
  <c r="Y14" i="70"/>
  <c r="Y24" i="70" s="1"/>
  <c r="W14" i="70"/>
  <c r="U14" i="70"/>
  <c r="U24" i="70" s="1"/>
  <c r="S14" i="70"/>
  <c r="S24" i="70" s="1"/>
  <c r="Q14" i="70"/>
  <c r="Q24" i="70" s="1"/>
  <c r="O14" i="70"/>
  <c r="M14" i="70"/>
  <c r="M24" i="70" s="1"/>
  <c r="L14" i="70"/>
  <c r="K14" i="70"/>
  <c r="K24" i="70" s="1"/>
  <c r="I14" i="70"/>
  <c r="G14" i="70"/>
  <c r="G24" i="70" s="1"/>
  <c r="E14" i="70"/>
  <c r="E24" i="70" s="1"/>
  <c r="AN12" i="70"/>
  <c r="AN23" i="70" s="1"/>
  <c r="AL12" i="70"/>
  <c r="AL23" i="70" s="1"/>
  <c r="AB12" i="70"/>
  <c r="AB23" i="70" s="1"/>
  <c r="AA12" i="70"/>
  <c r="AA23" i="70" s="1"/>
  <c r="Z12" i="70"/>
  <c r="Z23" i="70" s="1"/>
  <c r="Y12" i="70"/>
  <c r="X12" i="70"/>
  <c r="X23" i="70" s="1"/>
  <c r="W12" i="70"/>
  <c r="U12" i="70"/>
  <c r="P12" i="70"/>
  <c r="P23" i="70" s="1"/>
  <c r="N12" i="70"/>
  <c r="N23" i="70" s="1"/>
  <c r="M12" i="70"/>
  <c r="M23" i="70" s="1"/>
  <c r="L12" i="70"/>
  <c r="L23" i="70" s="1"/>
  <c r="K12" i="70"/>
  <c r="J12" i="70"/>
  <c r="I12" i="70"/>
  <c r="G12" i="70"/>
  <c r="G23" i="70" s="1"/>
  <c r="M141" i="48"/>
  <c r="AB128" i="48"/>
  <c r="AA128" i="48"/>
  <c r="AA118" i="48" s="1"/>
  <c r="Z128" i="48"/>
  <c r="Y128" i="48"/>
  <c r="X128" i="48"/>
  <c r="W128" i="48"/>
  <c r="V128" i="48"/>
  <c r="U128" i="48"/>
  <c r="T128" i="48"/>
  <c r="S128" i="48"/>
  <c r="R128" i="48"/>
  <c r="Q128" i="48"/>
  <c r="P128" i="48"/>
  <c r="P146" i="48" s="1"/>
  <c r="O128" i="48"/>
  <c r="N128" i="48"/>
  <c r="O146" i="48" s="1"/>
  <c r="M128" i="48"/>
  <c r="L128" i="48"/>
  <c r="K128" i="48"/>
  <c r="J128" i="48"/>
  <c r="I128" i="48"/>
  <c r="H128" i="48"/>
  <c r="G128" i="48"/>
  <c r="G146" i="48" s="1"/>
  <c r="F128" i="48"/>
  <c r="AB127" i="48"/>
  <c r="AA127" i="48"/>
  <c r="Z127" i="48"/>
  <c r="Y127" i="48"/>
  <c r="X127" i="48"/>
  <c r="W127" i="48"/>
  <c r="V127" i="48"/>
  <c r="U127" i="48"/>
  <c r="T127" i="48"/>
  <c r="S127" i="48"/>
  <c r="R127" i="48"/>
  <c r="Q127" i="48"/>
  <c r="P127" i="48"/>
  <c r="P145" i="48" s="1"/>
  <c r="O127" i="48"/>
  <c r="N127" i="48"/>
  <c r="O145" i="48" s="1"/>
  <c r="M127" i="48"/>
  <c r="N145" i="48" s="1"/>
  <c r="L127" i="48"/>
  <c r="K127" i="48"/>
  <c r="J127" i="48"/>
  <c r="I127" i="48"/>
  <c r="H127" i="48"/>
  <c r="H145" i="48" s="1"/>
  <c r="G127" i="48"/>
  <c r="F127" i="48"/>
  <c r="AB125" i="48"/>
  <c r="AA125" i="48"/>
  <c r="Z125" i="48"/>
  <c r="Y125" i="48"/>
  <c r="X125" i="48"/>
  <c r="W125" i="48"/>
  <c r="V125" i="48"/>
  <c r="U125" i="48"/>
  <c r="T125" i="48"/>
  <c r="S125" i="48"/>
  <c r="S143" i="48" s="1"/>
  <c r="R125" i="48"/>
  <c r="Q125" i="48"/>
  <c r="P125" i="48"/>
  <c r="P143" i="48" s="1"/>
  <c r="O125" i="48"/>
  <c r="N125" i="48"/>
  <c r="M125" i="48"/>
  <c r="M143" i="48" s="1"/>
  <c r="L125" i="48"/>
  <c r="K125" i="48"/>
  <c r="J125" i="48"/>
  <c r="I125" i="48"/>
  <c r="I143" i="48" s="1"/>
  <c r="H125" i="48"/>
  <c r="G125" i="48"/>
  <c r="F125" i="48"/>
  <c r="AB124" i="48"/>
  <c r="AA124" i="48"/>
  <c r="Z124" i="48"/>
  <c r="Y124" i="48"/>
  <c r="X124" i="48"/>
  <c r="W124" i="48"/>
  <c r="V124" i="48"/>
  <c r="U124" i="48"/>
  <c r="T124" i="48"/>
  <c r="S124" i="48"/>
  <c r="R124" i="48"/>
  <c r="R142" i="48" s="1"/>
  <c r="Q124" i="48"/>
  <c r="P124" i="48"/>
  <c r="O124" i="48"/>
  <c r="O142" i="48" s="1"/>
  <c r="N124" i="48"/>
  <c r="N142" i="48" s="1"/>
  <c r="M124" i="48"/>
  <c r="L124" i="48"/>
  <c r="K124" i="48"/>
  <c r="K142" i="48" s="1"/>
  <c r="J124" i="48"/>
  <c r="I124" i="48"/>
  <c r="J142" i="48" s="1"/>
  <c r="H124" i="48"/>
  <c r="G124" i="48"/>
  <c r="G142" i="48" s="1"/>
  <c r="F124" i="48"/>
  <c r="AB123" i="48"/>
  <c r="AA123" i="48"/>
  <c r="Z123" i="48"/>
  <c r="Y123" i="48"/>
  <c r="X123" i="48"/>
  <c r="W123" i="48"/>
  <c r="V123" i="48"/>
  <c r="U123" i="48"/>
  <c r="T123" i="48"/>
  <c r="S123" i="48"/>
  <c r="R123" i="48"/>
  <c r="Q123" i="48"/>
  <c r="P123" i="48"/>
  <c r="P141" i="48" s="1"/>
  <c r="O123" i="48"/>
  <c r="N123" i="48"/>
  <c r="N141" i="48" s="1"/>
  <c r="M123" i="48"/>
  <c r="L123" i="48"/>
  <c r="K123" i="48"/>
  <c r="J123" i="48"/>
  <c r="I123" i="48"/>
  <c r="I141" i="48" s="1"/>
  <c r="H123" i="48"/>
  <c r="G123" i="48"/>
  <c r="F123" i="48"/>
  <c r="AB122" i="48"/>
  <c r="AB126" i="48" s="1"/>
  <c r="AA122" i="48"/>
  <c r="Z122" i="48"/>
  <c r="Y122" i="48"/>
  <c r="X122" i="48"/>
  <c r="X126" i="48" s="1"/>
  <c r="W122" i="48"/>
  <c r="V122" i="48"/>
  <c r="V126" i="48" s="1"/>
  <c r="U122" i="48"/>
  <c r="U126" i="48" s="1"/>
  <c r="T122" i="48"/>
  <c r="T126" i="48" s="1"/>
  <c r="S122" i="48"/>
  <c r="S126" i="48" s="1"/>
  <c r="R122" i="48"/>
  <c r="Q122" i="48"/>
  <c r="Q126" i="48" s="1"/>
  <c r="P122" i="48"/>
  <c r="O122" i="48"/>
  <c r="O140" i="48" s="1"/>
  <c r="N122" i="48"/>
  <c r="M122" i="48"/>
  <c r="L122" i="48"/>
  <c r="K122" i="48"/>
  <c r="K140" i="48" s="1"/>
  <c r="J122" i="48"/>
  <c r="J126" i="48" s="1"/>
  <c r="I122" i="48"/>
  <c r="J140" i="48" s="1"/>
  <c r="H122" i="48"/>
  <c r="H140" i="48" s="1"/>
  <c r="G122" i="48"/>
  <c r="G126" i="48" s="1"/>
  <c r="F122" i="48"/>
  <c r="F126" i="48" s="1"/>
  <c r="F121" i="48"/>
  <c r="Z117" i="48"/>
  <c r="AJ103" i="48"/>
  <c r="AI103" i="48"/>
  <c r="AH103"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M90" i="48"/>
  <c r="L90" i="48"/>
  <c r="K90" i="48"/>
  <c r="J90" i="48"/>
  <c r="I90" i="48"/>
  <c r="H90" i="48"/>
  <c r="G90" i="48"/>
  <c r="F90" i="48"/>
  <c r="E90" i="48"/>
  <c r="E98" i="48" s="1"/>
  <c r="H89" i="48"/>
  <c r="M88" i="48"/>
  <c r="L88" i="48"/>
  <c r="K88" i="48"/>
  <c r="J88" i="48"/>
  <c r="I88" i="48"/>
  <c r="H88" i="48"/>
  <c r="G88" i="48"/>
  <c r="F88" i="48"/>
  <c r="E88" i="48"/>
  <c r="L87" i="48"/>
  <c r="K87" i="48"/>
  <c r="J87" i="48"/>
  <c r="I87" i="48"/>
  <c r="H87" i="48"/>
  <c r="G87" i="48"/>
  <c r="F87" i="48"/>
  <c r="E87" i="48"/>
  <c r="F75" i="48"/>
  <c r="E75" i="48"/>
  <c r="F73" i="48"/>
  <c r="E73" i="48"/>
  <c r="F72" i="48"/>
  <c r="E72" i="48"/>
  <c r="K63" i="48"/>
  <c r="M59" i="48"/>
  <c r="M89" i="48" s="1"/>
  <c r="L59" i="48"/>
  <c r="L63" i="48" s="1"/>
  <c r="K59" i="48"/>
  <c r="K89" i="48" s="1"/>
  <c r="J59" i="48"/>
  <c r="J89" i="48" s="1"/>
  <c r="I59" i="48"/>
  <c r="I89" i="48" s="1"/>
  <c r="H59" i="48"/>
  <c r="G59" i="48"/>
  <c r="G89" i="48" s="1"/>
  <c r="F59" i="48"/>
  <c r="F89" i="48" s="1"/>
  <c r="E59" i="48"/>
  <c r="E89" i="48" s="1"/>
  <c r="M87" i="48"/>
  <c r="AJ51" i="48"/>
  <c r="AI51" i="48"/>
  <c r="AH51" i="48"/>
  <c r="AJ48" i="48"/>
  <c r="AI48" i="48"/>
  <c r="AH48" i="48"/>
  <c r="AG48" i="48"/>
  <c r="AF48" i="48"/>
  <c r="AE48" i="48"/>
  <c r="AD48" i="48"/>
  <c r="AC48" i="48"/>
  <c r="AB48" i="48"/>
  <c r="AA48" i="48"/>
  <c r="Z48" i="48"/>
  <c r="Y48" i="48"/>
  <c r="X28" i="48"/>
  <c r="AA25" i="48"/>
  <c r="Z25" i="48"/>
  <c r="Y25" i="48"/>
  <c r="X25" i="48"/>
  <c r="X133" i="48" s="1"/>
  <c r="W25" i="48"/>
  <c r="V25" i="48"/>
  <c r="V133" i="48" s="1"/>
  <c r="U25" i="48"/>
  <c r="U133" i="48" s="1"/>
  <c r="T25" i="48"/>
  <c r="T133" i="48" s="1"/>
  <c r="S25" i="48"/>
  <c r="S133" i="48" s="1"/>
  <c r="R25" i="48"/>
  <c r="R133" i="48" s="1"/>
  <c r="Q25" i="48"/>
  <c r="P25" i="48"/>
  <c r="O25" i="48"/>
  <c r="N25" i="48"/>
  <c r="M25" i="48"/>
  <c r="L25" i="48"/>
  <c r="K25" i="48"/>
  <c r="J25" i="48"/>
  <c r="J133" i="48" s="1"/>
  <c r="I25" i="48"/>
  <c r="I133" i="48" s="1"/>
  <c r="H25" i="48"/>
  <c r="H133" i="48" s="1"/>
  <c r="G25" i="48"/>
  <c r="G133" i="48" s="1"/>
  <c r="F25" i="48"/>
  <c r="F133" i="48" s="1"/>
  <c r="AB24" i="48"/>
  <c r="AB132" i="48" s="1"/>
  <c r="AC132" i="48" s="1"/>
  <c r="AA24" i="48"/>
  <c r="AA132" i="48" s="1"/>
  <c r="Z24" i="48"/>
  <c r="Y24" i="48"/>
  <c r="X24" i="48"/>
  <c r="W24" i="48"/>
  <c r="V24" i="48"/>
  <c r="U24" i="48"/>
  <c r="T24" i="48"/>
  <c r="S24" i="48"/>
  <c r="S132" i="48" s="1"/>
  <c r="R24" i="48"/>
  <c r="Q24" i="48"/>
  <c r="P24" i="48"/>
  <c r="P132" i="48" s="1"/>
  <c r="O24" i="48"/>
  <c r="O132" i="48" s="1"/>
  <c r="N24" i="48"/>
  <c r="N132" i="48" s="1"/>
  <c r="M24" i="48"/>
  <c r="M132" i="48" s="1"/>
  <c r="L24" i="48"/>
  <c r="K24" i="48"/>
  <c r="J24" i="48"/>
  <c r="I24" i="48"/>
  <c r="H24" i="48"/>
  <c r="G24" i="48"/>
  <c r="F24" i="48"/>
  <c r="AB23" i="48"/>
  <c r="AA23" i="48"/>
  <c r="Z23" i="48"/>
  <c r="Y23" i="48"/>
  <c r="X23" i="48"/>
  <c r="X131" i="48" s="1"/>
  <c r="W23" i="48"/>
  <c r="V23" i="48"/>
  <c r="U23" i="48"/>
  <c r="T23" i="48"/>
  <c r="S23" i="48"/>
  <c r="R23" i="48"/>
  <c r="R19" i="48" s="1"/>
  <c r="Q23" i="48"/>
  <c r="P23" i="48"/>
  <c r="O23" i="48"/>
  <c r="N23" i="48"/>
  <c r="M23" i="48"/>
  <c r="L23" i="48"/>
  <c r="K23" i="48"/>
  <c r="J23" i="48"/>
  <c r="J131" i="48" s="1"/>
  <c r="I23" i="48"/>
  <c r="H23" i="48"/>
  <c r="G23" i="48"/>
  <c r="F23" i="48"/>
  <c r="AJ22" i="48"/>
  <c r="AI22" i="48"/>
  <c r="AH22" i="48"/>
  <c r="AG22" i="48"/>
  <c r="AF22" i="48"/>
  <c r="AE22" i="48"/>
  <c r="AD22" i="48"/>
  <c r="AC22" i="48"/>
  <c r="AB22" i="48"/>
  <c r="AA22" i="48"/>
  <c r="Z22" i="48"/>
  <c r="AB21" i="48"/>
  <c r="AA21" i="48"/>
  <c r="AA19" i="48" s="1"/>
  <c r="Z21" i="48"/>
  <c r="Y21" i="48"/>
  <c r="X21" i="48"/>
  <c r="W21" i="48"/>
  <c r="W19" i="48" s="1"/>
  <c r="V21" i="48"/>
  <c r="U21" i="48"/>
  <c r="T21" i="48"/>
  <c r="S21" i="48"/>
  <c r="R21" i="48"/>
  <c r="Q21" i="48"/>
  <c r="P21" i="48"/>
  <c r="O21" i="48"/>
  <c r="N21" i="48"/>
  <c r="M21" i="48"/>
  <c r="M19" i="48" s="1"/>
  <c r="L21" i="48"/>
  <c r="K21" i="48"/>
  <c r="J21" i="48"/>
  <c r="I21" i="48"/>
  <c r="I19" i="48" s="1"/>
  <c r="H21" i="48"/>
  <c r="G21" i="48"/>
  <c r="F21" i="48"/>
  <c r="AN19" i="48"/>
  <c r="AM19" i="48"/>
  <c r="AL19" i="48"/>
  <c r="AK19" i="48"/>
  <c r="AA16" i="48"/>
  <c r="Z16" i="48"/>
  <c r="Y16" i="48"/>
  <c r="Y118" i="48" s="1"/>
  <c r="X16" i="48"/>
  <c r="X118" i="48" s="1"/>
  <c r="W16" i="48"/>
  <c r="W118" i="48" s="1"/>
  <c r="V16" i="48"/>
  <c r="U16" i="48"/>
  <c r="U118" i="48" s="1"/>
  <c r="T16" i="48"/>
  <c r="T118" i="48" s="1"/>
  <c r="S16" i="48"/>
  <c r="S118" i="48" s="1"/>
  <c r="R16" i="48"/>
  <c r="R118" i="48" s="1"/>
  <c r="Q16" i="48"/>
  <c r="P16" i="48"/>
  <c r="P118" i="48" s="1"/>
  <c r="O16" i="48"/>
  <c r="N16" i="48"/>
  <c r="M16" i="48"/>
  <c r="L16" i="48"/>
  <c r="K16" i="48"/>
  <c r="K118" i="48" s="1"/>
  <c r="J16" i="48"/>
  <c r="J118" i="48" s="1"/>
  <c r="I16" i="48"/>
  <c r="H16" i="48"/>
  <c r="G16" i="48"/>
  <c r="F16" i="48"/>
  <c r="AB14" i="48"/>
  <c r="AA14" i="48"/>
  <c r="AA117" i="48" s="1"/>
  <c r="Z14" i="48"/>
  <c r="Y14" i="48"/>
  <c r="Y117" i="48" s="1"/>
  <c r="X14" i="48"/>
  <c r="W14" i="48"/>
  <c r="V14" i="48"/>
  <c r="U14" i="48"/>
  <c r="T14" i="48"/>
  <c r="T117" i="48" s="1"/>
  <c r="S14" i="48"/>
  <c r="S117" i="48" s="1"/>
  <c r="R14" i="48"/>
  <c r="Q14" i="48"/>
  <c r="Q117" i="48" s="1"/>
  <c r="P14" i="48"/>
  <c r="P117" i="48" s="1"/>
  <c r="O14" i="48"/>
  <c r="O117" i="48" s="1"/>
  <c r="N14" i="48"/>
  <c r="N117" i="48" s="1"/>
  <c r="H97" i="48" s="1"/>
  <c r="M14" i="48"/>
  <c r="L14" i="48"/>
  <c r="K14" i="48"/>
  <c r="K117" i="48" s="1"/>
  <c r="J14" i="48"/>
  <c r="I14" i="48"/>
  <c r="H14" i="48"/>
  <c r="G14" i="48"/>
  <c r="F14" i="48"/>
  <c r="AB12" i="48"/>
  <c r="AA12" i="48"/>
  <c r="Z12" i="48"/>
  <c r="Y12" i="48"/>
  <c r="X12" i="48"/>
  <c r="X116" i="48" s="1"/>
  <c r="W12" i="48"/>
  <c r="V12" i="48"/>
  <c r="U12" i="48"/>
  <c r="T12" i="48"/>
  <c r="S12" i="48"/>
  <c r="S28" i="48" s="1"/>
  <c r="R12" i="48"/>
  <c r="Q12" i="48"/>
  <c r="P12" i="48"/>
  <c r="O12" i="48"/>
  <c r="O28" i="48" s="1"/>
  <c r="N12" i="48"/>
  <c r="N9" i="48" s="1"/>
  <c r="M12" i="48"/>
  <c r="M28" i="48" s="1"/>
  <c r="L12" i="48"/>
  <c r="K12" i="48"/>
  <c r="J12" i="48"/>
  <c r="J116" i="48" s="1"/>
  <c r="I12" i="48"/>
  <c r="H12" i="48"/>
  <c r="G12" i="48"/>
  <c r="F12" i="48"/>
  <c r="AB10" i="48"/>
  <c r="AA10" i="48"/>
  <c r="AA27" i="48" s="1"/>
  <c r="Z10" i="48"/>
  <c r="Z27" i="48" s="1"/>
  <c r="Y10" i="48"/>
  <c r="X10" i="48"/>
  <c r="W10" i="48"/>
  <c r="W27" i="48" s="1"/>
  <c r="V10" i="48"/>
  <c r="U10" i="48"/>
  <c r="T10" i="48"/>
  <c r="S10" i="48"/>
  <c r="R10" i="48"/>
  <c r="Q10" i="48"/>
  <c r="Q27" i="48" s="1"/>
  <c r="P10" i="48"/>
  <c r="O10" i="48"/>
  <c r="N10" i="48"/>
  <c r="M10" i="48"/>
  <c r="M27" i="48" s="1"/>
  <c r="L10" i="48"/>
  <c r="L9" i="48" s="1"/>
  <c r="K10" i="48"/>
  <c r="J10" i="48"/>
  <c r="I10" i="48"/>
  <c r="I27" i="48" s="1"/>
  <c r="H10" i="48"/>
  <c r="H27" i="48" s="1"/>
  <c r="G10" i="48"/>
  <c r="F10" i="48"/>
  <c r="G9" i="48"/>
  <c r="F81" i="78"/>
  <c r="N31" i="78" s="1"/>
  <c r="F66" i="78"/>
  <c r="F63" i="78"/>
  <c r="F60" i="78"/>
  <c r="F57" i="78"/>
  <c r="F54" i="78"/>
  <c r="J52" i="78"/>
  <c r="L51" i="78"/>
  <c r="K51" i="78"/>
  <c r="F51" i="78"/>
  <c r="L50" i="78"/>
  <c r="K50" i="78"/>
  <c r="L49" i="78"/>
  <c r="K49" i="78"/>
  <c r="M48" i="78"/>
  <c r="N48" i="78" s="1"/>
  <c r="L48" i="78"/>
  <c r="K48" i="78"/>
  <c r="F48" i="78"/>
  <c r="M47" i="78"/>
  <c r="N47" i="78" s="1"/>
  <c r="L47" i="78"/>
  <c r="K47" i="78"/>
  <c r="N46" i="78"/>
  <c r="M46" i="78"/>
  <c r="L46" i="78"/>
  <c r="K46" i="78"/>
  <c r="N45" i="78"/>
  <c r="L45" i="78"/>
  <c r="K45" i="78"/>
  <c r="M45" i="78" s="1"/>
  <c r="F45" i="78"/>
  <c r="K44" i="78"/>
  <c r="K43" i="78"/>
  <c r="K42" i="78"/>
  <c r="F42" i="78"/>
  <c r="M41" i="78"/>
  <c r="N41" i="78" s="1"/>
  <c r="L41" i="78"/>
  <c r="K41" i="78"/>
  <c r="N40" i="78"/>
  <c r="M40" i="78"/>
  <c r="K40" i="78"/>
  <c r="L40" i="78" s="1"/>
  <c r="M39" i="78"/>
  <c r="N39" i="78" s="1"/>
  <c r="L39" i="78"/>
  <c r="K39" i="78"/>
  <c r="F39" i="78"/>
  <c r="K38" i="78"/>
  <c r="K37" i="78"/>
  <c r="M37" i="78" s="1"/>
  <c r="N37" i="78" s="1"/>
  <c r="K36" i="78"/>
  <c r="F36" i="78"/>
  <c r="M35" i="78"/>
  <c r="N35" i="78" s="1"/>
  <c r="L35" i="78"/>
  <c r="K35" i="78"/>
  <c r="M34" i="78"/>
  <c r="N34" i="78" s="1"/>
  <c r="N33" i="78"/>
  <c r="M33" i="78"/>
  <c r="F33" i="78"/>
  <c r="N32"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G14" i="78"/>
  <c r="AF14" i="78"/>
  <c r="AB14" i="78"/>
  <c r="X14" i="78"/>
  <c r="W14" i="78"/>
  <c r="S14" i="78"/>
  <c r="AI14" i="78"/>
  <c r="AH13" i="78"/>
  <c r="AH14" i="78" s="1"/>
  <c r="AG13" i="78"/>
  <c r="AF13" i="78"/>
  <c r="AE13" i="78"/>
  <c r="AE14" i="78" s="1"/>
  <c r="AD13" i="78"/>
  <c r="AD14" i="78" s="1"/>
  <c r="AC13" i="78"/>
  <c r="AC14" i="78" s="1"/>
  <c r="AB13" i="78"/>
  <c r="AA13" i="78"/>
  <c r="AA14" i="78" s="1"/>
  <c r="Z13" i="78"/>
  <c r="Z14" i="78" s="1"/>
  <c r="Y13" i="78"/>
  <c r="Y14" i="78" s="1"/>
  <c r="X13" i="78"/>
  <c r="W13" i="78"/>
  <c r="V13" i="78"/>
  <c r="V14" i="78" s="1"/>
  <c r="U13" i="78"/>
  <c r="U14" i="78" s="1"/>
  <c r="T13" i="78"/>
  <c r="T14" i="78" s="1"/>
  <c r="S13" i="78"/>
  <c r="X19" i="77"/>
  <c r="X16" i="77"/>
  <c r="X15" i="77"/>
  <c r="AA7" i="77"/>
  <c r="AA19" i="77" s="1"/>
  <c r="Z7" i="77"/>
  <c r="Z19" i="77" s="1"/>
  <c r="X7" i="77"/>
  <c r="Q7" i="77"/>
  <c r="F130" i="75"/>
  <c r="U106" i="75"/>
  <c r="W105"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AG99" i="75"/>
  <c r="AF99" i="75"/>
  <c r="AE99" i="75"/>
  <c r="AD99" i="75"/>
  <c r="F99" i="75"/>
  <c r="V96" i="75"/>
  <c r="U96" i="75"/>
  <c r="T96" i="75"/>
  <c r="S96" i="75"/>
  <c r="R96" i="75"/>
  <c r="Q96" i="75"/>
  <c r="P96" i="75"/>
  <c r="O96" i="75"/>
  <c r="N96" i="75"/>
  <c r="M96" i="75"/>
  <c r="L96" i="75"/>
  <c r="K96" i="75"/>
  <c r="J96" i="75"/>
  <c r="I96" i="75"/>
  <c r="H96" i="75"/>
  <c r="G96" i="75"/>
  <c r="F96" i="75"/>
  <c r="E96" i="75"/>
  <c r="D96" i="75"/>
  <c r="V87" i="75"/>
  <c r="U87" i="75"/>
  <c r="Q87" i="75"/>
  <c r="P87" i="75"/>
  <c r="J87" i="75"/>
  <c r="V86" i="75"/>
  <c r="U86" i="75"/>
  <c r="T86" i="75"/>
  <c r="S86" i="75"/>
  <c r="S87" i="75" s="1"/>
  <c r="R86" i="75"/>
  <c r="Q86" i="75"/>
  <c r="Q85" i="75" s="1"/>
  <c r="P86" i="75"/>
  <c r="O86" i="75"/>
  <c r="O87" i="75" s="1"/>
  <c r="N86" i="75"/>
  <c r="M86" i="75"/>
  <c r="L86" i="75"/>
  <c r="K86" i="75"/>
  <c r="J86" i="75"/>
  <c r="I86" i="75"/>
  <c r="I85" i="75" s="1"/>
  <c r="I24" i="75" s="1"/>
  <c r="H86" i="75"/>
  <c r="R87" i="75" s="1"/>
  <c r="G86" i="75"/>
  <c r="F86" i="75"/>
  <c r="E86" i="75"/>
  <c r="M85" i="75" s="1"/>
  <c r="M34" i="75" s="1"/>
  <c r="D86" i="75"/>
  <c r="R85" i="75"/>
  <c r="P85" i="75"/>
  <c r="L85" i="75"/>
  <c r="L24" i="75" s="1"/>
  <c r="K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V38" i="75"/>
  <c r="G38" i="75"/>
  <c r="E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K34" i="75"/>
  <c r="I34" i="75"/>
  <c r="H34" i="75"/>
  <c r="G34" i="75"/>
  <c r="F34" i="75"/>
  <c r="E34" i="75"/>
  <c r="D34" i="75"/>
  <c r="X33" i="75"/>
  <c r="X38" i="75" s="1"/>
  <c r="W33" i="75"/>
  <c r="W38" i="75" s="1"/>
  <c r="V33" i="75"/>
  <c r="N33" i="75"/>
  <c r="N38" i="75" s="1"/>
  <c r="M33" i="75"/>
  <c r="M38" i="75" s="1"/>
  <c r="S32" i="75"/>
  <c r="Q32" i="75"/>
  <c r="G28" i="75"/>
  <c r="V25" i="75"/>
  <c r="U25" i="75"/>
  <c r="T25" i="75"/>
  <c r="S25" i="75"/>
  <c r="R25" i="75"/>
  <c r="Q25" i="75"/>
  <c r="P25" i="75"/>
  <c r="O25" i="75"/>
  <c r="N25" i="75"/>
  <c r="M25" i="75"/>
  <c r="L25" i="75"/>
  <c r="K25" i="75"/>
  <c r="J25" i="75"/>
  <c r="I25" i="75"/>
  <c r="H25" i="75"/>
  <c r="G25" i="75"/>
  <c r="F25" i="75"/>
  <c r="E25" i="75"/>
  <c r="D25" i="75"/>
  <c r="R24" i="75"/>
  <c r="M24" i="75"/>
  <c r="K24" i="75"/>
  <c r="K28" i="75" s="1"/>
  <c r="H24" i="75"/>
  <c r="G24" i="75"/>
  <c r="F24" i="75"/>
  <c r="F28" i="75" s="1"/>
  <c r="E24" i="75"/>
  <c r="E28" i="75" s="1"/>
  <c r="D24" i="75"/>
  <c r="D28" i="75" s="1"/>
  <c r="X23" i="75"/>
  <c r="W23" i="75"/>
  <c r="V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38" i="75" s="1"/>
  <c r="E21" i="75"/>
  <c r="E99" i="75" s="1"/>
  <c r="D21" i="75"/>
  <c r="D99" i="75" s="1"/>
  <c r="AC18" i="75"/>
  <c r="AB18" i="75"/>
  <c r="AA18" i="75"/>
  <c r="Z18" i="75"/>
  <c r="Y18" i="75"/>
  <c r="X18" i="75"/>
  <c r="W18" i="75"/>
  <c r="V18" i="75"/>
  <c r="U18" i="75"/>
  <c r="T18" i="75"/>
  <c r="S18" i="75"/>
  <c r="R18" i="75"/>
  <c r="Q18" i="75"/>
  <c r="P18" i="75"/>
  <c r="O18" i="75"/>
  <c r="N18" i="75"/>
  <c r="M18" i="75"/>
  <c r="L18" i="75"/>
  <c r="K18" i="75"/>
  <c r="K99" i="75" s="1"/>
  <c r="J18" i="75"/>
  <c r="I18" i="75"/>
  <c r="H18" i="75"/>
  <c r="U17" i="75"/>
  <c r="H17" i="75"/>
  <c r="F17" i="75"/>
  <c r="V15" i="75"/>
  <c r="T13" i="75"/>
  <c r="S13" i="75"/>
  <c r="R13" i="75"/>
  <c r="Q13" i="75"/>
  <c r="P13" i="75"/>
  <c r="O13" i="75"/>
  <c r="N13" i="75"/>
  <c r="M13" i="75"/>
  <c r="V12" i="75"/>
  <c r="U12" i="75"/>
  <c r="T12" i="75"/>
  <c r="S12" i="75"/>
  <c r="R12" i="75"/>
  <c r="Q12" i="75"/>
  <c r="P12" i="75"/>
  <c r="E133" i="75" s="1"/>
  <c r="E137" i="75" s="1"/>
  <c r="O12" i="75"/>
  <c r="N12" i="75"/>
  <c r="M12" i="75"/>
  <c r="L12" i="75"/>
  <c r="K12" i="75"/>
  <c r="J12" i="75"/>
  <c r="I12" i="75"/>
  <c r="H12" i="75"/>
  <c r="G12" i="75"/>
  <c r="F12" i="75"/>
  <c r="E12" i="75"/>
  <c r="D12" i="75"/>
  <c r="F96" i="59"/>
  <c r="F95" i="59"/>
  <c r="G95" i="59" s="1"/>
  <c r="AB70" i="59"/>
  <c r="AC69" i="59" s="1"/>
  <c r="AC71" i="59" s="1"/>
  <c r="AA70" i="59"/>
  <c r="AB69" i="59" s="1"/>
  <c r="AB71" i="59" s="1"/>
  <c r="Z70" i="59"/>
  <c r="AA69" i="59" s="1"/>
  <c r="AA71" i="59" s="1"/>
  <c r="Y70" i="59"/>
  <c r="Z69" i="59" s="1"/>
  <c r="Z71" i="59" s="1"/>
  <c r="X70" i="59"/>
  <c r="Y69" i="59" s="1"/>
  <c r="Y71" i="59" s="1"/>
  <c r="W70" i="59"/>
  <c r="X69" i="59" s="1"/>
  <c r="X71" i="59" s="1"/>
  <c r="V70" i="59"/>
  <c r="W69" i="59" s="1"/>
  <c r="W71" i="59" s="1"/>
  <c r="U70" i="59"/>
  <c r="V69" i="59" s="1"/>
  <c r="V71" i="59" s="1"/>
  <c r="T70" i="59"/>
  <c r="U69" i="59" s="1"/>
  <c r="U71" i="59" s="1"/>
  <c r="S70" i="59"/>
  <c r="R70" i="59"/>
  <c r="Q70" i="59"/>
  <c r="P70" i="59"/>
  <c r="O70" i="59"/>
  <c r="N70" i="59"/>
  <c r="M70" i="59"/>
  <c r="L70" i="59"/>
  <c r="K70" i="59"/>
  <c r="J70" i="59"/>
  <c r="I70" i="59"/>
  <c r="H70" i="59"/>
  <c r="G70" i="59"/>
  <c r="F70" i="59"/>
  <c r="E70" i="59"/>
  <c r="D70"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AB51" i="59"/>
  <c r="AA51" i="59"/>
  <c r="Z51" i="59"/>
  <c r="Y51" i="59"/>
  <c r="X51" i="59"/>
  <c r="W51" i="59"/>
  <c r="V51" i="59"/>
  <c r="U51" i="59"/>
  <c r="T51" i="59"/>
  <c r="S51" i="59"/>
  <c r="R51" i="59"/>
  <c r="Q51" i="59"/>
  <c r="P51" i="59"/>
  <c r="O51" i="59"/>
  <c r="N51" i="59"/>
  <c r="M51" i="59"/>
  <c r="L51" i="59"/>
  <c r="K51" i="59"/>
  <c r="J51" i="59"/>
  <c r="I51" i="59"/>
  <c r="H51" i="59"/>
  <c r="V52" i="59" s="1"/>
  <c r="G51" i="59"/>
  <c r="F51" i="59"/>
  <c r="E51" i="59"/>
  <c r="D51" i="59"/>
  <c r="Z37" i="59"/>
  <c r="AB36"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J16" i="35" s="1"/>
  <c r="K18" i="83" s="1"/>
  <c r="AH30" i="59"/>
  <c r="AG30" i="59"/>
  <c r="H16" i="35" s="1"/>
  <c r="I18" i="83" s="1"/>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G16" i="35" s="1"/>
  <c r="X25" i="59"/>
  <c r="X30" i="59" s="1"/>
  <c r="Q5" i="50" s="1"/>
  <c r="W25" i="59"/>
  <c r="W30" i="59" s="1"/>
  <c r="P5" i="50" s="1"/>
  <c r="V25" i="59"/>
  <c r="V30" i="59" s="1"/>
  <c r="O5" i="50" s="1"/>
  <c r="N25" i="59"/>
  <c r="M25" i="59"/>
  <c r="AF24" i="59"/>
  <c r="G15" i="35" s="1"/>
  <c r="H17" i="83" s="1"/>
  <c r="S24" i="59"/>
  <c r="L4" i="50" s="1"/>
  <c r="Q24" i="59"/>
  <c r="T21" i="59"/>
  <c r="S21" i="59"/>
  <c r="R21" i="59"/>
  <c r="Q21" i="59"/>
  <c r="P21" i="59"/>
  <c r="O21" i="59"/>
  <c r="N21" i="59"/>
  <c r="M21" i="59"/>
  <c r="L21" i="59"/>
  <c r="L30" i="59" s="1"/>
  <c r="E5" i="50" s="1"/>
  <c r="K21" i="59"/>
  <c r="K30" i="59" s="1"/>
  <c r="D5" i="50" s="1"/>
  <c r="J21" i="59"/>
  <c r="J30" i="59" s="1"/>
  <c r="I21" i="59"/>
  <c r="I30" i="59" s="1"/>
  <c r="H21" i="59"/>
  <c r="H30" i="59" s="1"/>
  <c r="G21" i="59"/>
  <c r="G30" i="59" s="1"/>
  <c r="F21" i="59"/>
  <c r="E21" i="59"/>
  <c r="D21"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Q17" i="59"/>
  <c r="F17" i="59"/>
  <c r="AB16" i="59"/>
  <c r="AA16" i="59"/>
  <c r="Z16" i="59"/>
  <c r="W15" i="59"/>
  <c r="V15"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K24" i="33"/>
  <c r="K26" i="33" s="1"/>
  <c r="I24" i="33"/>
  <c r="H24" i="33"/>
  <c r="H26" i="33" s="1"/>
  <c r="G24" i="33"/>
  <c r="G26" i="33" s="1"/>
  <c r="W13" i="33" s="1"/>
  <c r="F24" i="33"/>
  <c r="E24" i="33"/>
  <c r="J23" i="33"/>
  <c r="J24" i="33" s="1"/>
  <c r="J26" i="33" s="1"/>
  <c r="AN13" i="33"/>
  <c r="AK13" i="33"/>
  <c r="AI13" i="33"/>
  <c r="AH13" i="33"/>
  <c r="V13" i="33"/>
  <c r="T13" i="33"/>
  <c r="O13" i="33"/>
  <c r="N13" i="33"/>
  <c r="AB11" i="33"/>
  <c r="AA11" i="33"/>
  <c r="Z11" i="33"/>
  <c r="Y11" i="33"/>
  <c r="X11" i="33"/>
  <c r="W11" i="33"/>
  <c r="V11" i="33"/>
  <c r="U11" i="33"/>
  <c r="T11" i="33"/>
  <c r="S11" i="33"/>
  <c r="R11" i="33"/>
  <c r="Q11" i="33"/>
  <c r="P11" i="33"/>
  <c r="O11" i="33"/>
  <c r="N11" i="33"/>
  <c r="M11" i="33"/>
  <c r="L11" i="33"/>
  <c r="K11" i="33"/>
  <c r="J11" i="33"/>
  <c r="AB10" i="33"/>
  <c r="AB17" i="75" s="1"/>
  <c r="AA10" i="33"/>
  <c r="Z10" i="33"/>
  <c r="Z17" i="75" s="1"/>
  <c r="Y10" i="33"/>
  <c r="X10" i="33"/>
  <c r="X17" i="59" s="1"/>
  <c r="W10" i="33"/>
  <c r="W17" i="75" s="1"/>
  <c r="V10" i="33"/>
  <c r="V17" i="59" s="1"/>
  <c r="U10" i="33"/>
  <c r="U17" i="59" s="1"/>
  <c r="T10" i="33"/>
  <c r="T17" i="59" s="1"/>
  <c r="S10" i="33"/>
  <c r="R10" i="33"/>
  <c r="R17" i="75" s="1"/>
  <c r="Q10" i="33"/>
  <c r="P10" i="33"/>
  <c r="O10" i="33"/>
  <c r="N10" i="33"/>
  <c r="N17" i="75" s="1"/>
  <c r="M10" i="33"/>
  <c r="L10" i="33"/>
  <c r="K10" i="33"/>
  <c r="J10" i="33"/>
  <c r="J17" i="59" s="1"/>
  <c r="I10" i="33"/>
  <c r="I17" i="75" s="1"/>
  <c r="H10" i="33"/>
  <c r="H17" i="59" s="1"/>
  <c r="G10" i="33"/>
  <c r="G17" i="75" s="1"/>
  <c r="F10" i="33"/>
  <c r="E10" i="33"/>
  <c r="D10" i="33"/>
  <c r="D17" i="75" s="1"/>
  <c r="L51" i="49"/>
  <c r="K51" i="49"/>
  <c r="J51" i="49"/>
  <c r="P50" i="49"/>
  <c r="O50" i="49"/>
  <c r="N50" i="49"/>
  <c r="M50" i="49"/>
  <c r="L50" i="49"/>
  <c r="K50" i="49"/>
  <c r="J50" i="49"/>
  <c r="I50" i="49"/>
  <c r="H50" i="49"/>
  <c r="G50" i="49"/>
  <c r="F50" i="49"/>
  <c r="P49" i="49"/>
  <c r="O49" i="49"/>
  <c r="N49" i="49"/>
  <c r="M49" i="49"/>
  <c r="L49" i="49"/>
  <c r="K49" i="49"/>
  <c r="J49" i="49"/>
  <c r="I49" i="49"/>
  <c r="H49" i="49"/>
  <c r="G49" i="49"/>
  <c r="F49" i="49"/>
  <c r="Q29" i="49"/>
  <c r="M29" i="49"/>
  <c r="F29" i="49"/>
  <c r="AA27" i="49"/>
  <c r="T27" i="49"/>
  <c r="S27" i="49"/>
  <c r="R27" i="49"/>
  <c r="Q27" i="49"/>
  <c r="O27" i="49"/>
  <c r="M27" i="49"/>
  <c r="M30" i="49" s="1"/>
  <c r="F27" i="49"/>
  <c r="D27" i="49"/>
  <c r="K19" i="49"/>
  <c r="W12" i="49"/>
  <c r="T12" i="49"/>
  <c r="R12" i="49"/>
  <c r="R29" i="49" s="1"/>
  <c r="R30" i="49" s="1"/>
  <c r="Q12" i="49"/>
  <c r="O12" i="49"/>
  <c r="O29" i="49" s="1"/>
  <c r="M12" i="49"/>
  <c r="F12" i="49"/>
  <c r="D12" i="49"/>
  <c r="AB11" i="49"/>
  <c r="AB12" i="49" s="1"/>
  <c r="AA11" i="49"/>
  <c r="AA12" i="49" s="1"/>
  <c r="Z11" i="49"/>
  <c r="Y11" i="49"/>
  <c r="X11" i="49"/>
  <c r="X12" i="49" s="1"/>
  <c r="W11" i="49"/>
  <c r="V11" i="49"/>
  <c r="U11" i="49"/>
  <c r="T11" i="49"/>
  <c r="S11" i="49"/>
  <c r="S12" i="49" s="1"/>
  <c r="R11" i="49"/>
  <c r="Q11" i="49"/>
  <c r="P11" i="49"/>
  <c r="O11" i="49"/>
  <c r="N11" i="49"/>
  <c r="N12" i="49" s="1"/>
  <c r="M11" i="49"/>
  <c r="L11" i="49"/>
  <c r="K11" i="49"/>
  <c r="J11" i="49"/>
  <c r="J12" i="49" s="1"/>
  <c r="I11" i="49"/>
  <c r="I12" i="49" s="1"/>
  <c r="H11" i="49"/>
  <c r="G11" i="49"/>
  <c r="F11" i="49"/>
  <c r="E11" i="49"/>
  <c r="E12" i="49" s="1"/>
  <c r="D11" i="49"/>
  <c r="AB10" i="49"/>
  <c r="AB27" i="49" s="1"/>
  <c r="AA10" i="49"/>
  <c r="Z10" i="49"/>
  <c r="Z27" i="49" s="1"/>
  <c r="Y10" i="49"/>
  <c r="Y27" i="49" s="1"/>
  <c r="X10" i="49"/>
  <c r="X27" i="49" s="1"/>
  <c r="W10" i="49"/>
  <c r="W27" i="49" s="1"/>
  <c r="V10" i="49"/>
  <c r="V27" i="49" s="1"/>
  <c r="U10" i="49"/>
  <c r="U27" i="49" s="1"/>
  <c r="T10" i="49"/>
  <c r="S10" i="49"/>
  <c r="R10" i="49"/>
  <c r="Q10" i="49"/>
  <c r="P10" i="49"/>
  <c r="O10" i="49"/>
  <c r="N10" i="49"/>
  <c r="N27" i="49" s="1"/>
  <c r="M10" i="49"/>
  <c r="L10" i="49"/>
  <c r="K10" i="49"/>
  <c r="J10" i="49"/>
  <c r="I10" i="49"/>
  <c r="H10" i="49"/>
  <c r="H12" i="49" s="1"/>
  <c r="G10" i="49"/>
  <c r="F10" i="49"/>
  <c r="E10" i="49"/>
  <c r="E27" i="49" s="1"/>
  <c r="D10" i="49"/>
  <c r="D29" i="49" s="1"/>
  <c r="AD81" i="30"/>
  <c r="AD79" i="30"/>
  <c r="AD72" i="30"/>
  <c r="AD71" i="30"/>
  <c r="AD70" i="30"/>
  <c r="AD69" i="30"/>
  <c r="AD68" i="30"/>
  <c r="AD67" i="30"/>
  <c r="AD66" i="30"/>
  <c r="AD65" i="30"/>
  <c r="AD64" i="30"/>
  <c r="AD63" i="30"/>
  <c r="AD60" i="30"/>
  <c r="AD59" i="30"/>
  <c r="AD48" i="30"/>
  <c r="K46" i="30"/>
  <c r="I46" i="30"/>
  <c r="G46" i="30"/>
  <c r="F46" i="30"/>
  <c r="AF45" i="30"/>
  <c r="AA45" i="30"/>
  <c r="X45" i="30"/>
  <c r="X46" i="30" s="1"/>
  <c r="W45" i="30"/>
  <c r="W46" i="30" s="1"/>
  <c r="M45" i="30"/>
  <c r="AC43" i="30"/>
  <c r="AB43" i="30"/>
  <c r="AC41" i="30"/>
  <c r="AB41" i="30"/>
  <c r="AB24" i="30" s="1"/>
  <c r="AC40" i="30"/>
  <c r="AB40" i="30"/>
  <c r="AA40" i="30"/>
  <c r="Z40" i="30"/>
  <c r="Y40" i="30"/>
  <c r="X40" i="30"/>
  <c r="W40" i="30"/>
  <c r="M40" i="30"/>
  <c r="AC39" i="30"/>
  <c r="AB39" i="30"/>
  <c r="AA39" i="30"/>
  <c r="Z39" i="30"/>
  <c r="Y39" i="30"/>
  <c r="X39" i="30"/>
  <c r="W39" i="30"/>
  <c r="AC38" i="30"/>
  <c r="AB38" i="30"/>
  <c r="AA38" i="30"/>
  <c r="Z38" i="30"/>
  <c r="Y38" i="30"/>
  <c r="X38" i="30"/>
  <c r="AC37" i="30"/>
  <c r="AB37" i="30"/>
  <c r="AA37" i="30"/>
  <c r="Z37" i="30"/>
  <c r="Y37" i="30"/>
  <c r="X37" i="30"/>
  <c r="AC36" i="30"/>
  <c r="AB36" i="30"/>
  <c r="AA36" i="30"/>
  <c r="Z36" i="30"/>
  <c r="Y36" i="30"/>
  <c r="X36" i="30"/>
  <c r="O34" i="30"/>
  <c r="O25" i="30" s="1"/>
  <c r="N34" i="30"/>
  <c r="O33" i="30"/>
  <c r="AI27" i="30"/>
  <c r="AJ27" i="30" s="1"/>
  <c r="AK27" i="30" s="1"/>
  <c r="AL27" i="30" s="1"/>
  <c r="AM27" i="30" s="1"/>
  <c r="AN27" i="30" s="1"/>
  <c r="AG27" i="30"/>
  <c r="AH27" i="30" s="1"/>
  <c r="AF27" i="30"/>
  <c r="AE27" i="30"/>
  <c r="AD27" i="30"/>
  <c r="AC27" i="30"/>
  <c r="AB27" i="30"/>
  <c r="AA27" i="30"/>
  <c r="Z27" i="30"/>
  <c r="Y27" i="30"/>
  <c r="X27" i="30"/>
  <c r="W27" i="30"/>
  <c r="V27" i="30"/>
  <c r="U27" i="30"/>
  <c r="T27" i="30"/>
  <c r="S27" i="30"/>
  <c r="AN26" i="30"/>
  <c r="AM26" i="30"/>
  <c r="AL26" i="30"/>
  <c r="AK26" i="30"/>
  <c r="AJ26" i="30"/>
  <c r="AI26" i="30"/>
  <c r="AH26" i="30"/>
  <c r="AG26" i="30"/>
  <c r="AF26" i="30"/>
  <c r="AE26" i="30"/>
  <c r="AD26" i="30"/>
  <c r="AC26" i="30"/>
  <c r="AB26" i="30"/>
  <c r="AA26" i="30"/>
  <c r="Z26" i="30"/>
  <c r="Y26" i="30"/>
  <c r="X26" i="30"/>
  <c r="W26" i="30"/>
  <c r="V26" i="30"/>
  <c r="U26" i="30"/>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AN24" i="30"/>
  <c r="AM24" i="30"/>
  <c r="AL24" i="30"/>
  <c r="AK24" i="30"/>
  <c r="AJ24" i="30"/>
  <c r="AI24" i="30"/>
  <c r="AH24" i="30"/>
  <c r="AG24" i="30"/>
  <c r="AF24" i="30"/>
  <c r="AE24" i="30"/>
  <c r="AD24" i="30"/>
  <c r="AC24" i="30"/>
  <c r="AI23" i="30"/>
  <c r="AJ23" i="30" s="1"/>
  <c r="AK23" i="30" s="1"/>
  <c r="AL23" i="30" s="1"/>
  <c r="AM23" i="30" s="1"/>
  <c r="AN23" i="30" s="1"/>
  <c r="AH23" i="30"/>
  <c r="AC23" i="30"/>
  <c r="AD23" i="30" s="1"/>
  <c r="AE23" i="30" s="1"/>
  <c r="AF23" i="30" s="1"/>
  <c r="AG23" i="30" s="1"/>
  <c r="AB23" i="30"/>
  <c r="AA23" i="30"/>
  <c r="Z23" i="30"/>
  <c r="Y23" i="30"/>
  <c r="X23" i="30"/>
  <c r="W23" i="30"/>
  <c r="V23" i="30"/>
  <c r="U23" i="30"/>
  <c r="T23" i="30"/>
  <c r="S23" i="30"/>
  <c r="R23" i="30"/>
  <c r="Q23" i="30"/>
  <c r="P23" i="30"/>
  <c r="O23" i="30"/>
  <c r="N23" i="30"/>
  <c r="AB22" i="30"/>
  <c r="AA22" i="30"/>
  <c r="Z22" i="30"/>
  <c r="Y22" i="30"/>
  <c r="X22" i="30"/>
  <c r="W22" i="30"/>
  <c r="V22" i="30"/>
  <c r="U22" i="30"/>
  <c r="T22" i="30"/>
  <c r="S22" i="30"/>
  <c r="R22" i="30"/>
  <c r="Q22" i="30"/>
  <c r="P22" i="30"/>
  <c r="O22" i="30"/>
  <c r="N22" i="30"/>
  <c r="AC21" i="30"/>
  <c r="AD21" i="30" s="1"/>
  <c r="AE21" i="30" s="1"/>
  <c r="AF21" i="30" s="1"/>
  <c r="AG21" i="30" s="1"/>
  <c r="AH21" i="30" s="1"/>
  <c r="AI21" i="30" s="1"/>
  <c r="AJ21" i="30" s="1"/>
  <c r="AK21" i="30" s="1"/>
  <c r="AL21" i="30" s="1"/>
  <c r="AM21" i="30" s="1"/>
  <c r="AN21" i="30" s="1"/>
  <c r="AB21" i="30"/>
  <c r="AA21" i="30"/>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C20" i="30"/>
  <c r="AB20" i="30"/>
  <c r="AA20" i="30"/>
  <c r="Z20" i="30"/>
  <c r="Y20" i="30"/>
  <c r="X20" i="30"/>
  <c r="T20" i="30"/>
  <c r="S20" i="30"/>
  <c r="R20" i="30"/>
  <c r="Q20" i="30"/>
  <c r="P20" i="30"/>
  <c r="O20" i="30"/>
  <c r="N20" i="30"/>
  <c r="M20" i="30"/>
  <c r="L20" i="30"/>
  <c r="K20" i="30"/>
  <c r="J20" i="30"/>
  <c r="I20" i="30"/>
  <c r="H20" i="30"/>
  <c r="AB19"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B13" i="30" s="1"/>
  <c r="AA18" i="30"/>
  <c r="Z18" i="30"/>
  <c r="Y18" i="30"/>
  <c r="X18" i="30"/>
  <c r="W18" i="30"/>
  <c r="V18" i="30"/>
  <c r="U18" i="30"/>
  <c r="AD55" i="30" s="1"/>
  <c r="T18" i="30"/>
  <c r="S18" i="30"/>
  <c r="R18" i="30"/>
  <c r="Q18" i="30"/>
  <c r="P18" i="30"/>
  <c r="O18" i="30"/>
  <c r="N18" i="30"/>
  <c r="M18" i="30"/>
  <c r="O30" i="30" s="1"/>
  <c r="O29" i="30" s="1"/>
  <c r="L18" i="30"/>
  <c r="L15" i="30" s="1"/>
  <c r="K18" i="30"/>
  <c r="J18" i="30"/>
  <c r="I18" i="30"/>
  <c r="H18" i="30"/>
  <c r="AC17" i="30"/>
  <c r="AD17" i="30" s="1"/>
  <c r="AB17" i="30"/>
  <c r="AA17" i="30"/>
  <c r="Z17" i="30"/>
  <c r="Y17" i="30"/>
  <c r="X17" i="30"/>
  <c r="W17" i="30"/>
  <c r="V17" i="30"/>
  <c r="U17" i="30"/>
  <c r="AD54" i="30" s="1"/>
  <c r="T17" i="30"/>
  <c r="S17" i="30"/>
  <c r="R17" i="30"/>
  <c r="Q17" i="30"/>
  <c r="P17" i="30"/>
  <c r="O17" i="30"/>
  <c r="N17" i="30"/>
  <c r="M17" i="30"/>
  <c r="L17" i="30"/>
  <c r="K17" i="30"/>
  <c r="J17" i="30"/>
  <c r="I17" i="30"/>
  <c r="H17" i="30"/>
  <c r="AB16" i="30"/>
  <c r="AB15" i="30" s="1"/>
  <c r="AA16" i="30"/>
  <c r="Z16" i="30"/>
  <c r="Y16" i="30"/>
  <c r="X16" i="30"/>
  <c r="W16" i="30"/>
  <c r="V16" i="30"/>
  <c r="U16" i="30"/>
  <c r="AD53" i="30" s="1"/>
  <c r="T16" i="30"/>
  <c r="S16" i="30"/>
  <c r="R16" i="30"/>
  <c r="Q16" i="30"/>
  <c r="P16" i="30"/>
  <c r="O16" i="30"/>
  <c r="N16" i="30"/>
  <c r="N15" i="30" s="1"/>
  <c r="M16" i="30"/>
  <c r="L16" i="30"/>
  <c r="K16" i="30"/>
  <c r="K15" i="30" s="1"/>
  <c r="J16" i="30"/>
  <c r="I16" i="30"/>
  <c r="H16" i="30"/>
  <c r="H15" i="30" s="1"/>
  <c r="AB14" i="30"/>
  <c r="AA14" i="30"/>
  <c r="Z14" i="30"/>
  <c r="Y14" i="30"/>
  <c r="X14" i="30"/>
  <c r="W14" i="30"/>
  <c r="V14" i="30"/>
  <c r="U14" i="30"/>
  <c r="AD51" i="30" s="1"/>
  <c r="T14" i="30"/>
  <c r="S14" i="30"/>
  <c r="R14" i="30"/>
  <c r="Q14" i="30"/>
  <c r="P14" i="30"/>
  <c r="O14" i="30"/>
  <c r="N14" i="30"/>
  <c r="M14" i="30"/>
  <c r="L14" i="30"/>
  <c r="K14" i="30"/>
  <c r="K13" i="30" s="1"/>
  <c r="K12" i="30" s="1"/>
  <c r="J14" i="30"/>
  <c r="I14" i="30"/>
  <c r="H14" i="30"/>
  <c r="AC13" i="30"/>
  <c r="M13" i="30"/>
  <c r="L13" i="30"/>
  <c r="L12" i="30" s="1"/>
  <c r="H13" i="30"/>
  <c r="H12" i="30" s="1"/>
  <c r="G12" i="30"/>
  <c r="F12" i="30"/>
  <c r="AB11" i="30"/>
  <c r="AA11" i="30"/>
  <c r="AA46" i="30" s="1"/>
  <c r="Z11" i="30"/>
  <c r="Y11" i="30"/>
  <c r="X11" i="30"/>
  <c r="W11" i="30"/>
  <c r="V11" i="30"/>
  <c r="U11" i="30"/>
  <c r="T11" i="30"/>
  <c r="S11" i="30"/>
  <c r="R11" i="30"/>
  <c r="Q11" i="30"/>
  <c r="P11" i="30"/>
  <c r="O11" i="30"/>
  <c r="N11" i="30"/>
  <c r="M11" i="30"/>
  <c r="M46" i="30" s="1"/>
  <c r="L11" i="30"/>
  <c r="L46" i="30" s="1"/>
  <c r="K11" i="30"/>
  <c r="J11" i="30"/>
  <c r="J46" i="30" s="1"/>
  <c r="I11" i="30"/>
  <c r="H11" i="30"/>
  <c r="H46" i="30" s="1"/>
  <c r="Q49" i="20"/>
  <c r="O49" i="20"/>
  <c r="M49" i="20"/>
  <c r="I49" i="20"/>
  <c r="AE40" i="20"/>
  <c r="AY36" i="20"/>
  <c r="AX36" i="20"/>
  <c r="AW36" i="20"/>
  <c r="AV36" i="20"/>
  <c r="AU36" i="20"/>
  <c r="AT36" i="20"/>
  <c r="AS36" i="20"/>
  <c r="AR36" i="20"/>
  <c r="AQ36" i="20"/>
  <c r="AP36" i="20"/>
  <c r="AO36" i="20"/>
  <c r="AN36" i="20"/>
  <c r="AM36" i="20"/>
  <c r="AL36" i="20"/>
  <c r="AK36" i="20"/>
  <c r="AJ36" i="20"/>
  <c r="AI36" i="20"/>
  <c r="AH36" i="20"/>
  <c r="AG36" i="20"/>
  <c r="AF36" i="20"/>
  <c r="AE36" i="20"/>
  <c r="AD36" i="20"/>
  <c r="AC36" i="20"/>
  <c r="AB36" i="20"/>
  <c r="AA36" i="20"/>
  <c r="Z36" i="20"/>
  <c r="Y36" i="20"/>
  <c r="X36" i="20"/>
  <c r="W36" i="20"/>
  <c r="V36" i="20"/>
  <c r="AB28" i="20"/>
  <c r="Y28" i="20"/>
  <c r="W28" i="20"/>
  <c r="U28" i="20"/>
  <c r="S28" i="20"/>
  <c r="R28" i="20"/>
  <c r="Q28" i="20"/>
  <c r="K28" i="20"/>
  <c r="I28" i="20"/>
  <c r="H28" i="20"/>
  <c r="AN27" i="20"/>
  <c r="AM27" i="20"/>
  <c r="AL27" i="20"/>
  <c r="AK27" i="20"/>
  <c r="AJ27" i="20"/>
  <c r="AI27" i="20"/>
  <c r="AH27" i="20"/>
  <c r="AG27" i="20"/>
  <c r="AF27" i="20"/>
  <c r="AE27" i="20"/>
  <c r="AD27" i="20"/>
  <c r="AC27" i="20"/>
  <c r="X27" i="20"/>
  <c r="S27" i="20"/>
  <c r="M27" i="20"/>
  <c r="AB24" i="20"/>
  <c r="AB27" i="20" s="1"/>
  <c r="AA24" i="20"/>
  <c r="AA28" i="20" s="1"/>
  <c r="Z24" i="20"/>
  <c r="Z28" i="20" s="1"/>
  <c r="Y24" i="20"/>
  <c r="X24" i="20"/>
  <c r="X28" i="20" s="1"/>
  <c r="W24" i="20"/>
  <c r="W27" i="20" s="1"/>
  <c r="V24" i="20"/>
  <c r="V28" i="20" s="1"/>
  <c r="U24" i="20"/>
  <c r="T24" i="20"/>
  <c r="T28" i="20" s="1"/>
  <c r="S24" i="20"/>
  <c r="R24" i="20"/>
  <c r="R27" i="20" s="1"/>
  <c r="Q24" i="20"/>
  <c r="P24" i="20"/>
  <c r="P28" i="20" s="1"/>
  <c r="O24" i="20"/>
  <c r="N24" i="20"/>
  <c r="M24" i="20"/>
  <c r="L24" i="20"/>
  <c r="L28" i="20" s="1"/>
  <c r="K24" i="20"/>
  <c r="J24" i="20"/>
  <c r="I24" i="20"/>
  <c r="H24" i="20"/>
  <c r="AB11"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P94" i="26"/>
  <c r="P49" i="20" s="1"/>
  <c r="O94" i="26"/>
  <c r="N94" i="26"/>
  <c r="N49" i="20" s="1"/>
  <c r="M94" i="26"/>
  <c r="L94" i="26"/>
  <c r="L49" i="20" s="1"/>
  <c r="K94" i="26"/>
  <c r="K49" i="20" s="1"/>
  <c r="J94" i="26"/>
  <c r="I94" i="26"/>
  <c r="H94" i="26"/>
  <c r="W81" i="26"/>
  <c r="O81" i="26"/>
  <c r="K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AB75" i="26"/>
  <c r="AA75" i="26"/>
  <c r="Y75" i="26"/>
  <c r="U75" i="26"/>
  <c r="S75" i="26"/>
  <c r="P75" i="26"/>
  <c r="N75" i="26"/>
  <c r="M75" i="26"/>
  <c r="K75" i="26"/>
  <c r="C67" i="26"/>
  <c r="C66" i="26"/>
  <c r="C49" i="26" s="1"/>
  <c r="C65" i="26"/>
  <c r="C46" i="26" s="1"/>
  <c r="C64" i="26"/>
  <c r="C63" i="26"/>
  <c r="Q34" i="26" s="1"/>
  <c r="C61" i="26"/>
  <c r="T32" i="26" s="1"/>
  <c r="T16" i="26" s="1"/>
  <c r="T77" i="26" s="1"/>
  <c r="C60" i="26"/>
  <c r="C56" i="26" s="1"/>
  <c r="C59" i="26"/>
  <c r="C58" i="26"/>
  <c r="M29" i="26" s="1"/>
  <c r="C57" i="26"/>
  <c r="C52" i="26"/>
  <c r="C48" i="26"/>
  <c r="E48" i="26" s="1"/>
  <c r="C47" i="26"/>
  <c r="C45" i="26"/>
  <c r="D44" i="26"/>
  <c r="E44" i="26" s="1"/>
  <c r="C44" i="26"/>
  <c r="AA37" i="26"/>
  <c r="Z37" i="26"/>
  <c r="Y37" i="26"/>
  <c r="W37" i="26"/>
  <c r="S37" i="26"/>
  <c r="Z36" i="26"/>
  <c r="S36" i="26"/>
  <c r="Z35" i="26"/>
  <c r="W35" i="26"/>
  <c r="T35" i="26"/>
  <c r="S35" i="26"/>
  <c r="N34" i="26"/>
  <c r="X32" i="26"/>
  <c r="W32" i="26"/>
  <c r="V32" i="26"/>
  <c r="U32" i="26"/>
  <c r="S32" i="26"/>
  <c r="R32" i="26"/>
  <c r="Q32" i="26"/>
  <c r="Q16" i="26" s="1"/>
  <c r="Q77" i="26" s="1"/>
  <c r="P32" i="26"/>
  <c r="O32" i="26"/>
  <c r="N32" i="26"/>
  <c r="M32" i="26"/>
  <c r="V31" i="26"/>
  <c r="V16" i="26" s="1"/>
  <c r="V77" i="26" s="1"/>
  <c r="T31" i="26"/>
  <c r="Q31" i="26"/>
  <c r="X30" i="26"/>
  <c r="W30" i="26"/>
  <c r="V30" i="26"/>
  <c r="U30" i="26"/>
  <c r="T30" i="26"/>
  <c r="S30" i="26"/>
  <c r="R30" i="26"/>
  <c r="Q30" i="26"/>
  <c r="P30" i="26"/>
  <c r="AO30" i="26" s="1"/>
  <c r="O30" i="26"/>
  <c r="N30" i="26"/>
  <c r="M30" i="26"/>
  <c r="N29" i="26"/>
  <c r="M28" i="26"/>
  <c r="AD27" i="26"/>
  <c r="AC27" i="26"/>
  <c r="AB27" i="26"/>
  <c r="AA27" i="26"/>
  <c r="Z27" i="26"/>
  <c r="Y27" i="26"/>
  <c r="AO26" i="26"/>
  <c r="AO25" i="26"/>
  <c r="J24" i="26"/>
  <c r="P23" i="26"/>
  <c r="O23" i="26"/>
  <c r="N23" i="26"/>
  <c r="M23" i="26"/>
  <c r="L23" i="26"/>
  <c r="K23" i="26"/>
  <c r="J20" i="26"/>
  <c r="J78" i="26" s="1"/>
  <c r="G20" i="26"/>
  <c r="AD19" i="26"/>
  <c r="AC19" i="26"/>
  <c r="AB19" i="26"/>
  <c r="AA19" i="26"/>
  <c r="Z19" i="26"/>
  <c r="Y19" i="26"/>
  <c r="X19" i="26"/>
  <c r="W19" i="26"/>
  <c r="V19" i="26"/>
  <c r="U19" i="26"/>
  <c r="T19" i="26"/>
  <c r="S19" i="26"/>
  <c r="R19" i="26"/>
  <c r="Q19" i="26"/>
  <c r="P19" i="26"/>
  <c r="O19" i="26"/>
  <c r="N19" i="26"/>
  <c r="M19" i="26"/>
  <c r="AO19" i="26" s="1"/>
  <c r="L19" i="26"/>
  <c r="K19" i="26"/>
  <c r="S18" i="26"/>
  <c r="Q18" i="26"/>
  <c r="P18" i="26"/>
  <c r="AA17" i="26"/>
  <c r="Z17" i="26"/>
  <c r="Y17" i="26"/>
  <c r="W17" i="26"/>
  <c r="AD16" i="26"/>
  <c r="AC16" i="26"/>
  <c r="AC77" i="26" s="1"/>
  <c r="AB16" i="26"/>
  <c r="AB77" i="26" s="1"/>
  <c r="AA16" i="26"/>
  <c r="AA77" i="26" s="1"/>
  <c r="Z16" i="26"/>
  <c r="Z77" i="26" s="1"/>
  <c r="Y16" i="26"/>
  <c r="AD15" i="26"/>
  <c r="AC15" i="26"/>
  <c r="AB15" i="26"/>
  <c r="AA15" i="26"/>
  <c r="Z15" i="26"/>
  <c r="Y15" i="26"/>
  <c r="AD14" i="26"/>
  <c r="AD75" i="26" s="1"/>
  <c r="AC14" i="26"/>
  <c r="AC75" i="26" s="1"/>
  <c r="AB14" i="26"/>
  <c r="AA14" i="26"/>
  <c r="Z14" i="26"/>
  <c r="Z75" i="26" s="1"/>
  <c r="Y14" i="26"/>
  <c r="X14" i="26"/>
  <c r="X75" i="26" s="1"/>
  <c r="W14" i="26"/>
  <c r="W75" i="26" s="1"/>
  <c r="V14" i="26"/>
  <c r="V75" i="26" s="1"/>
  <c r="U14" i="26"/>
  <c r="T14" i="26"/>
  <c r="T75" i="26" s="1"/>
  <c r="S14" i="26"/>
  <c r="R14" i="26"/>
  <c r="R75" i="26" s="1"/>
  <c r="Q14" i="26"/>
  <c r="Q75" i="26" s="1"/>
  <c r="P14" i="26"/>
  <c r="O14" i="26"/>
  <c r="O75" i="26" s="1"/>
  <c r="N14" i="26"/>
  <c r="M14" i="26"/>
  <c r="L14" i="26"/>
  <c r="L75" i="26" s="1"/>
  <c r="K14" i="26"/>
  <c r="J14" i="26"/>
  <c r="Z13" i="26"/>
  <c r="Z20" i="26" s="1"/>
  <c r="Z78" i="26" s="1"/>
  <c r="W13" i="26"/>
  <c r="T13" i="26"/>
  <c r="T81" i="26" s="1"/>
  <c r="S13" i="26"/>
  <c r="S81" i="26" s="1"/>
  <c r="R13" i="26"/>
  <c r="R81" i="26" s="1"/>
  <c r="Q13" i="26"/>
  <c r="Q81" i="26" s="1"/>
  <c r="P13" i="26"/>
  <c r="P81" i="26" s="1"/>
  <c r="O13" i="26"/>
  <c r="N13" i="26"/>
  <c r="N81" i="26" s="1"/>
  <c r="M13" i="26"/>
  <c r="M81" i="26" s="1"/>
  <c r="L13" i="26"/>
  <c r="L81" i="26" s="1"/>
  <c r="K13" i="26"/>
  <c r="J13" i="26"/>
  <c r="AO12" i="26"/>
  <c r="J12" i="26"/>
  <c r="AB11" i="26"/>
  <c r="Z11" i="26"/>
  <c r="T11" i="26"/>
  <c r="R11" i="26"/>
  <c r="N11" i="26"/>
  <c r="L11" i="26"/>
  <c r="F11" i="26"/>
  <c r="F20" i="26" s="1"/>
  <c r="AB10" i="26"/>
  <c r="AA10" i="26"/>
  <c r="Z10" i="26"/>
  <c r="Y10" i="26"/>
  <c r="X10" i="26"/>
  <c r="W10" i="26"/>
  <c r="W11" i="26" s="1"/>
  <c r="V10" i="26"/>
  <c r="U10" i="26"/>
  <c r="U11" i="26" s="1"/>
  <c r="T10" i="26"/>
  <c r="S10" i="26"/>
  <c r="R10" i="26"/>
  <c r="Q10" i="26"/>
  <c r="P10" i="26"/>
  <c r="O10" i="26"/>
  <c r="O11" i="26" s="1"/>
  <c r="N10" i="26"/>
  <c r="M10" i="26"/>
  <c r="L10" i="26"/>
  <c r="K10" i="26"/>
  <c r="J10" i="26"/>
  <c r="I10" i="26"/>
  <c r="I11" i="26" s="1"/>
  <c r="I20" i="26" s="1"/>
  <c r="I78" i="26" s="1"/>
  <c r="I73" i="26" s="1"/>
  <c r="I50" i="20" s="1"/>
  <c r="H10" i="26"/>
  <c r="G10" i="26"/>
  <c r="G11" i="26" s="1"/>
  <c r="F10" i="26"/>
  <c r="E10" i="26"/>
  <c r="D10" i="26"/>
  <c r="AB9" i="26"/>
  <c r="AA9" i="26"/>
  <c r="AA11" i="26" s="1"/>
  <c r="Z9" i="26"/>
  <c r="Y9" i="26"/>
  <c r="Y11" i="26" s="1"/>
  <c r="X9" i="26"/>
  <c r="X11" i="26" s="1"/>
  <c r="W9" i="26"/>
  <c r="V9" i="26"/>
  <c r="V11" i="26" s="1"/>
  <c r="U9" i="26"/>
  <c r="T9" i="26"/>
  <c r="S9" i="26"/>
  <c r="S11" i="26" s="1"/>
  <c r="R9" i="26"/>
  <c r="Q9" i="26"/>
  <c r="Q11" i="26" s="1"/>
  <c r="P9" i="26"/>
  <c r="P11" i="26" s="1"/>
  <c r="O9" i="26"/>
  <c r="N9" i="26"/>
  <c r="M9" i="26"/>
  <c r="M11" i="26" s="1"/>
  <c r="L9" i="26"/>
  <c r="K9" i="26"/>
  <c r="K11" i="26" s="1"/>
  <c r="J9" i="26"/>
  <c r="J11" i="26" s="1"/>
  <c r="I9" i="26"/>
  <c r="H9" i="26"/>
  <c r="H11" i="26" s="1"/>
  <c r="H20" i="26" s="1"/>
  <c r="H78" i="26" s="1"/>
  <c r="H73" i="26" s="1"/>
  <c r="H50" i="20" s="1"/>
  <c r="G9" i="26"/>
  <c r="F9" i="26"/>
  <c r="E9" i="26"/>
  <c r="E11" i="26" s="1"/>
  <c r="E20" i="26" s="1"/>
  <c r="D9" i="26"/>
  <c r="D11" i="26" s="1"/>
  <c r="D20" i="26" s="1"/>
  <c r="I20" i="74"/>
  <c r="F20" i="74"/>
  <c r="D20" i="74"/>
  <c r="I19" i="74"/>
  <c r="G19" i="74"/>
  <c r="D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U13" i="74" s="1"/>
  <c r="T15" i="74"/>
  <c r="S15" i="74"/>
  <c r="R15" i="74"/>
  <c r="Q15" i="74"/>
  <c r="P15" i="74"/>
  <c r="O15" i="74"/>
  <c r="N15" i="74"/>
  <c r="M15" i="74"/>
  <c r="L15" i="74"/>
  <c r="K15" i="74"/>
  <c r="J15" i="74"/>
  <c r="I15" i="74"/>
  <c r="H15" i="74"/>
  <c r="G15" i="74"/>
  <c r="F15" i="74"/>
  <c r="E15" i="74"/>
  <c r="D15" i="74"/>
  <c r="U14" i="74"/>
  <c r="T14" i="74"/>
  <c r="T13" i="74" s="1"/>
  <c r="S14" i="74"/>
  <c r="S13" i="74" s="1"/>
  <c r="R14" i="74"/>
  <c r="Q14" i="74"/>
  <c r="P14" i="74"/>
  <c r="O14" i="74"/>
  <c r="N14" i="74"/>
  <c r="M14" i="74"/>
  <c r="L14" i="74"/>
  <c r="L13" i="74" s="1"/>
  <c r="K14" i="74"/>
  <c r="J14" i="74"/>
  <c r="I14" i="74"/>
  <c r="H14" i="74"/>
  <c r="G14" i="74"/>
  <c r="F14" i="74"/>
  <c r="E14" i="74"/>
  <c r="D14" i="74"/>
  <c r="N13" i="74"/>
  <c r="K13" i="74"/>
  <c r="K20" i="74" s="1"/>
  <c r="J13" i="74"/>
  <c r="J20" i="74" s="1"/>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P11" i="74"/>
  <c r="O11" i="74"/>
  <c r="N11" i="74"/>
  <c r="M11" i="74"/>
  <c r="L11" i="74"/>
  <c r="K11" i="74"/>
  <c r="J11" i="74"/>
  <c r="I11" i="74"/>
  <c r="H11" i="74"/>
  <c r="G11" i="74"/>
  <c r="G20" i="74" s="1"/>
  <c r="F11" i="74"/>
  <c r="E11" i="74"/>
  <c r="E20" i="74" s="1"/>
  <c r="E19" i="74" s="1"/>
  <c r="D11" i="74"/>
  <c r="AN24" i="25"/>
  <c r="AM24" i="25"/>
  <c r="AL24" i="25"/>
  <c r="AK24" i="25"/>
  <c r="AJ24" i="25"/>
  <c r="AI24" i="25"/>
  <c r="AH24" i="25"/>
  <c r="AG24" i="25"/>
  <c r="AF24" i="25"/>
  <c r="AE24" i="25"/>
  <c r="AD24" i="25"/>
  <c r="AC24" i="25"/>
  <c r="AB24" i="25"/>
  <c r="AA24" i="25"/>
  <c r="Z24" i="25"/>
  <c r="Y24" i="25"/>
  <c r="X24" i="25"/>
  <c r="F20" i="25"/>
  <c r="E20"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AB18" i="25"/>
  <c r="AA18" i="25"/>
  <c r="Z18" i="25"/>
  <c r="Y18" i="25"/>
  <c r="X18" i="25"/>
  <c r="W18" i="25"/>
  <c r="V18" i="25"/>
  <c r="U18" i="25"/>
  <c r="T18" i="25"/>
  <c r="S18" i="25"/>
  <c r="R18" i="25"/>
  <c r="Q18" i="25"/>
  <c r="P18" i="25"/>
  <c r="O18" i="25"/>
  <c r="N18" i="25"/>
  <c r="M18" i="25"/>
  <c r="L18" i="25"/>
  <c r="K18" i="25"/>
  <c r="K14" i="25" s="1"/>
  <c r="J18" i="25"/>
  <c r="I18" i="25"/>
  <c r="H18" i="25"/>
  <c r="G18" i="25"/>
  <c r="F18" i="25"/>
  <c r="E18" i="25"/>
  <c r="D18" i="25"/>
  <c r="AB17" i="25"/>
  <c r="AC17" i="25" s="1"/>
  <c r="AD17" i="25" s="1"/>
  <c r="AA17" i="25"/>
  <c r="Z17" i="25"/>
  <c r="Z14" i="25" s="1"/>
  <c r="Y17" i="25"/>
  <c r="X17" i="25"/>
  <c r="W17" i="25"/>
  <c r="V17" i="25"/>
  <c r="U17" i="25"/>
  <c r="T17" i="25"/>
  <c r="S17" i="25"/>
  <c r="S14" i="25" s="1"/>
  <c r="R17" i="25"/>
  <c r="Q17" i="25"/>
  <c r="P17" i="25"/>
  <c r="O17" i="25"/>
  <c r="N17" i="25"/>
  <c r="M17" i="25"/>
  <c r="L17" i="25"/>
  <c r="L14" i="25" s="1"/>
  <c r="K17" i="25"/>
  <c r="J17" i="25"/>
  <c r="I17" i="25"/>
  <c r="H17" i="25"/>
  <c r="G17" i="25"/>
  <c r="F17" i="25"/>
  <c r="E17" i="25"/>
  <c r="D17" i="25"/>
  <c r="AB16" i="25"/>
  <c r="AA16" i="25"/>
  <c r="Z16" i="25"/>
  <c r="Y16" i="25"/>
  <c r="X16" i="25"/>
  <c r="W16" i="25"/>
  <c r="V16" i="25"/>
  <c r="U16" i="25"/>
  <c r="T16" i="25"/>
  <c r="S16" i="25"/>
  <c r="R16" i="25"/>
  <c r="Q16" i="25"/>
  <c r="P16" i="25"/>
  <c r="O16" i="25"/>
  <c r="O14" i="25" s="1"/>
  <c r="N16" i="25"/>
  <c r="N14" i="25" s="1"/>
  <c r="M16" i="25"/>
  <c r="M14" i="25" s="1"/>
  <c r="M21" i="25" s="1"/>
  <c r="L16" i="25"/>
  <c r="K16" i="25"/>
  <c r="J16" i="25"/>
  <c r="I16" i="25"/>
  <c r="H16" i="25"/>
  <c r="G16" i="25"/>
  <c r="F16" i="25"/>
  <c r="E16" i="25"/>
  <c r="D16" i="25"/>
  <c r="AB15" i="25"/>
  <c r="AA15" i="25"/>
  <c r="Z15" i="25"/>
  <c r="Y15" i="25"/>
  <c r="X15" i="25"/>
  <c r="X14" i="25" s="1"/>
  <c r="W15" i="25"/>
  <c r="W14" i="25" s="1"/>
  <c r="V15" i="25"/>
  <c r="V14" i="25" s="1"/>
  <c r="U15" i="25"/>
  <c r="U14" i="25" s="1"/>
  <c r="T15" i="25"/>
  <c r="T14" i="25" s="1"/>
  <c r="T21" i="25" s="1"/>
  <c r="S15" i="25"/>
  <c r="R15" i="25"/>
  <c r="Q15" i="25"/>
  <c r="P15" i="25"/>
  <c r="P14" i="25" s="1"/>
  <c r="O15" i="25"/>
  <c r="N15" i="25"/>
  <c r="M15" i="25"/>
  <c r="L15" i="25"/>
  <c r="K15" i="25"/>
  <c r="J15" i="25"/>
  <c r="I15" i="25"/>
  <c r="I14" i="25" s="1"/>
  <c r="H15" i="25"/>
  <c r="H14" i="25" s="1"/>
  <c r="G15" i="25"/>
  <c r="F15" i="25"/>
  <c r="E15" i="25"/>
  <c r="D15" i="25"/>
  <c r="AA14" i="25"/>
  <c r="Y14" i="25"/>
  <c r="R14" i="25"/>
  <c r="J14"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AB11" i="25"/>
  <c r="AB20" i="25" s="1"/>
  <c r="AA11" i="25"/>
  <c r="AA20" i="25" s="1"/>
  <c r="Z11" i="25"/>
  <c r="Z20" i="25" s="1"/>
  <c r="Y11" i="25"/>
  <c r="X11" i="25"/>
  <c r="W11" i="25"/>
  <c r="V11" i="25"/>
  <c r="U11" i="25"/>
  <c r="T11" i="25"/>
  <c r="S11" i="25"/>
  <c r="R11" i="25"/>
  <c r="R21" i="25" s="1"/>
  <c r="Q11" i="25"/>
  <c r="P11" i="25"/>
  <c r="O11" i="25"/>
  <c r="N11" i="25"/>
  <c r="N21" i="25" s="1"/>
  <c r="M11" i="25"/>
  <c r="L11" i="25"/>
  <c r="L21" i="25" s="1"/>
  <c r="K11" i="25"/>
  <c r="J11" i="25"/>
  <c r="I11" i="25"/>
  <c r="I21" i="25" s="1"/>
  <c r="H11" i="25"/>
  <c r="H21" i="25" s="1"/>
  <c r="G11" i="25"/>
  <c r="G21" i="25" s="1"/>
  <c r="F11" i="25"/>
  <c r="F21" i="25" s="1"/>
  <c r="E11" i="25"/>
  <c r="E21" i="25" s="1"/>
  <c r="D11" i="25"/>
  <c r="D21" i="25" s="1"/>
  <c r="O14" i="56"/>
  <c r="O13" i="56"/>
  <c r="O12" i="56"/>
  <c r="O11" i="56"/>
  <c r="O10" i="56"/>
  <c r="O9" i="56"/>
  <c r="O8" i="56"/>
  <c r="O7" i="56"/>
  <c r="O6" i="56"/>
  <c r="O5" i="56"/>
  <c r="O4" i="56"/>
  <c r="O3" i="56"/>
  <c r="L2" i="56"/>
  <c r="M2" i="56" s="1"/>
  <c r="N2" i="56" s="1"/>
  <c r="E2" i="56"/>
  <c r="F2" i="56" s="1"/>
  <c r="G2" i="56" s="1"/>
  <c r="H2" i="56" s="1"/>
  <c r="I2" i="56" s="1"/>
  <c r="J2" i="56" s="1"/>
  <c r="K2" i="56" s="1"/>
  <c r="D2" i="56"/>
  <c r="F6" i="71"/>
  <c r="F5" i="71"/>
  <c r="J4" i="71"/>
  <c r="H4" i="71"/>
  <c r="F4" i="71"/>
  <c r="D4" i="71"/>
  <c r="C4" i="71"/>
  <c r="J3" i="71"/>
  <c r="I3" i="71"/>
  <c r="H3" i="71"/>
  <c r="G3" i="71"/>
  <c r="F3" i="71"/>
  <c r="E3" i="71"/>
  <c r="D3" i="71"/>
  <c r="C3" i="71"/>
  <c r="H2" i="71"/>
  <c r="D2" i="71"/>
  <c r="C2" i="71"/>
  <c r="AF90" i="80"/>
  <c r="AE90" i="80"/>
  <c r="AD90" i="80"/>
  <c r="AC90" i="80"/>
  <c r="AB90" i="80"/>
  <c r="AF85" i="80"/>
  <c r="AE85" i="80"/>
  <c r="AD85" i="80"/>
  <c r="AC85" i="80"/>
  <c r="AB85" i="80"/>
  <c r="AA85" i="80"/>
  <c r="Z85" i="80"/>
  <c r="Y85" i="80"/>
  <c r="X85" i="80"/>
  <c r="W85" i="80"/>
  <c r="V85" i="80"/>
  <c r="U85"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J23" i="35"/>
  <c r="I23" i="35"/>
  <c r="H23" i="35"/>
  <c r="G23" i="35"/>
  <c r="F23" i="35"/>
  <c r="G25" i="55" s="1"/>
  <c r="G121" i="55" s="1"/>
  <c r="E23" i="35"/>
  <c r="D23" i="35"/>
  <c r="C23" i="35"/>
  <c r="K16" i="35"/>
  <c r="L18" i="83" s="1"/>
  <c r="I16" i="35"/>
  <c r="J18" i="83" s="1"/>
  <c r="K15" i="35"/>
  <c r="L17" i="83" s="1"/>
  <c r="J15" i="35"/>
  <c r="K17" i="83" s="1"/>
  <c r="I15" i="35"/>
  <c r="J17" i="83" s="1"/>
  <c r="H15" i="35"/>
  <c r="I17" i="83" s="1"/>
  <c r="K14" i="35"/>
  <c r="L16" i="55" s="1"/>
  <c r="J14" i="35"/>
  <c r="I14" i="35"/>
  <c r="J16" i="55" s="1"/>
  <c r="H14" i="35"/>
  <c r="G14" i="35"/>
  <c r="F14" i="35"/>
  <c r="E14" i="35"/>
  <c r="D14" i="35"/>
  <c r="C14" i="35"/>
  <c r="K13" i="35"/>
  <c r="J13" i="35"/>
  <c r="K15" i="55" s="1"/>
  <c r="K79" i="55" s="1"/>
  <c r="I13" i="35"/>
  <c r="J15" i="55" s="1"/>
  <c r="H13" i="35"/>
  <c r="G13" i="35"/>
  <c r="F13" i="35"/>
  <c r="E13" i="35"/>
  <c r="F15" i="55" s="1"/>
  <c r="D13" i="35"/>
  <c r="E15" i="55" s="1"/>
  <c r="C13" i="35"/>
  <c r="C12" i="35"/>
  <c r="C11" i="35"/>
  <c r="K9" i="35"/>
  <c r="L11" i="55" s="1"/>
  <c r="J9" i="35"/>
  <c r="I9" i="35"/>
  <c r="H9" i="35"/>
  <c r="G9" i="35"/>
  <c r="F9" i="35"/>
  <c r="G11" i="55" s="1"/>
  <c r="G107" i="55" s="1"/>
  <c r="E9" i="35"/>
  <c r="D9" i="35"/>
  <c r="C9" i="35"/>
  <c r="K7" i="35"/>
  <c r="J7" i="35"/>
  <c r="K9" i="55" s="1"/>
  <c r="I7" i="35"/>
  <c r="H7" i="35"/>
  <c r="I9" i="55" s="1"/>
  <c r="I105" i="55" s="1"/>
  <c r="G7" i="35"/>
  <c r="C4" i="35"/>
  <c r="I128" i="55"/>
  <c r="H128" i="55"/>
  <c r="F128" i="55"/>
  <c r="I127" i="55"/>
  <c r="J126" i="55"/>
  <c r="H126" i="55"/>
  <c r="E126" i="55"/>
  <c r="J125" i="55"/>
  <c r="H125" i="55"/>
  <c r="D125" i="55"/>
  <c r="F124" i="55"/>
  <c r="E124" i="55"/>
  <c r="D124" i="55"/>
  <c r="F121" i="55"/>
  <c r="D121" i="55"/>
  <c r="H112" i="55"/>
  <c r="I111" i="55"/>
  <c r="D110" i="55"/>
  <c r="F107" i="55"/>
  <c r="D107" i="55"/>
  <c r="H105" i="55"/>
  <c r="K96" i="55"/>
  <c r="J96" i="55"/>
  <c r="I96" i="55"/>
  <c r="H96" i="55"/>
  <c r="F96" i="55"/>
  <c r="G95" i="55"/>
  <c r="F95" i="55"/>
  <c r="D95" i="55"/>
  <c r="J94" i="55"/>
  <c r="I94" i="55"/>
  <c r="H94" i="55"/>
  <c r="J93" i="55"/>
  <c r="H93" i="55"/>
  <c r="G93" i="55"/>
  <c r="E93" i="55"/>
  <c r="D92" i="55"/>
  <c r="I89" i="55"/>
  <c r="F89" i="55"/>
  <c r="E89" i="55"/>
  <c r="D89" i="55"/>
  <c r="G80" i="55"/>
  <c r="I75" i="55"/>
  <c r="F75" i="55"/>
  <c r="D75" i="55"/>
  <c r="I73" i="55"/>
  <c r="H73" i="55"/>
  <c r="L32" i="55"/>
  <c r="K32" i="55"/>
  <c r="K128" i="55" s="1"/>
  <c r="J32" i="55"/>
  <c r="J128" i="55" s="1"/>
  <c r="I32" i="55"/>
  <c r="H32" i="55"/>
  <c r="G32" i="55"/>
  <c r="G128" i="55" s="1"/>
  <c r="F32" i="55"/>
  <c r="D32" i="55"/>
  <c r="D128" i="55" s="1"/>
  <c r="L31" i="55"/>
  <c r="K31" i="55"/>
  <c r="J31" i="55"/>
  <c r="J127" i="55" s="1"/>
  <c r="I31" i="55"/>
  <c r="I95" i="55" s="1"/>
  <c r="H31" i="55"/>
  <c r="H127" i="55" s="1"/>
  <c r="G31" i="55"/>
  <c r="G127" i="55" s="1"/>
  <c r="F31" i="55"/>
  <c r="F127" i="55" s="1"/>
  <c r="D31" i="55"/>
  <c r="D127" i="55" s="1"/>
  <c r="L30" i="55"/>
  <c r="K30" i="55"/>
  <c r="J30" i="55"/>
  <c r="I30" i="55"/>
  <c r="I126" i="55" s="1"/>
  <c r="H30" i="55"/>
  <c r="G30" i="55"/>
  <c r="G94" i="55" s="1"/>
  <c r="F30" i="55"/>
  <c r="E30" i="55"/>
  <c r="E94" i="55" s="1"/>
  <c r="D30" i="55"/>
  <c r="J29" i="55"/>
  <c r="I29" i="55"/>
  <c r="I125" i="55" s="1"/>
  <c r="H29" i="55"/>
  <c r="G29" i="55"/>
  <c r="G125" i="55" s="1"/>
  <c r="F29" i="55"/>
  <c r="E29" i="55"/>
  <c r="E125" i="55" s="1"/>
  <c r="D29" i="55"/>
  <c r="D93" i="55" s="1"/>
  <c r="J28" i="55"/>
  <c r="J124" i="55" s="1"/>
  <c r="F28" i="55"/>
  <c r="F92" i="55" s="1"/>
  <c r="E28" i="55"/>
  <c r="E92" i="55" s="1"/>
  <c r="D28" i="55"/>
  <c r="K25" i="55"/>
  <c r="K121" i="55" s="1"/>
  <c r="J25" i="55"/>
  <c r="I25" i="55"/>
  <c r="I121" i="55" s="1"/>
  <c r="H25" i="55"/>
  <c r="F25" i="55"/>
  <c r="E25" i="55"/>
  <c r="E121" i="55" s="1"/>
  <c r="D25" i="55"/>
  <c r="C25" i="55"/>
  <c r="B25" i="55"/>
  <c r="C24" i="55"/>
  <c r="B24" i="55"/>
  <c r="C23" i="55"/>
  <c r="B23" i="55"/>
  <c r="C22" i="55"/>
  <c r="B22" i="55"/>
  <c r="C21" i="55"/>
  <c r="B21" i="55"/>
  <c r="C20" i="55"/>
  <c r="B20" i="55"/>
  <c r="C19" i="55"/>
  <c r="B19" i="55"/>
  <c r="J18" i="55"/>
  <c r="J114" i="55" s="1"/>
  <c r="C18" i="55"/>
  <c r="B18" i="55"/>
  <c r="C17" i="55"/>
  <c r="B17" i="55"/>
  <c r="K16" i="55"/>
  <c r="I16" i="55"/>
  <c r="I112" i="55" s="1"/>
  <c r="H16" i="55"/>
  <c r="H80" i="55" s="1"/>
  <c r="G16" i="55"/>
  <c r="G112" i="55" s="1"/>
  <c r="F16" i="55"/>
  <c r="F112" i="55" s="1"/>
  <c r="E16" i="55"/>
  <c r="E80" i="55" s="1"/>
  <c r="D16" i="55"/>
  <c r="C16" i="55"/>
  <c r="B16" i="55"/>
  <c r="L15" i="55"/>
  <c r="I15" i="55"/>
  <c r="I79" i="55" s="1"/>
  <c r="H15" i="55"/>
  <c r="H111" i="55" s="1"/>
  <c r="G15" i="55"/>
  <c r="G111" i="55" s="1"/>
  <c r="D15" i="55"/>
  <c r="D79" i="55" s="1"/>
  <c r="C15" i="55"/>
  <c r="B15" i="55"/>
  <c r="D14" i="55"/>
  <c r="D78" i="55" s="1"/>
  <c r="C14" i="55"/>
  <c r="B14" i="55"/>
  <c r="C13" i="55"/>
  <c r="B13" i="55"/>
  <c r="C12" i="55"/>
  <c r="B12" i="55"/>
  <c r="K11" i="55"/>
  <c r="K107" i="55" s="1"/>
  <c r="J11" i="55"/>
  <c r="J107" i="55" s="1"/>
  <c r="I11" i="55"/>
  <c r="I107" i="55" s="1"/>
  <c r="H11" i="55"/>
  <c r="F11" i="55"/>
  <c r="E11" i="55"/>
  <c r="E107" i="55" s="1"/>
  <c r="D11" i="55"/>
  <c r="C11" i="55"/>
  <c r="B11" i="55"/>
  <c r="C10" i="55"/>
  <c r="B10" i="55"/>
  <c r="L9" i="55"/>
  <c r="J9" i="55"/>
  <c r="H9" i="55"/>
  <c r="C9" i="55"/>
  <c r="B9" i="55"/>
  <c r="C8" i="55"/>
  <c r="B8" i="55"/>
  <c r="C7" i="55"/>
  <c r="B7" i="55"/>
  <c r="D6" i="55"/>
  <c r="D70" i="55" s="1"/>
  <c r="C6" i="55"/>
  <c r="B6" i="55"/>
  <c r="C5" i="55"/>
  <c r="B5" i="55"/>
  <c r="C4" i="55"/>
  <c r="B4" i="55"/>
  <c r="C3" i="55"/>
  <c r="B3" i="55"/>
  <c r="U11" i="50"/>
  <c r="T11" i="50"/>
  <c r="S11" i="50"/>
  <c r="R11" i="50"/>
  <c r="Q11" i="50"/>
  <c r="P11" i="50"/>
  <c r="O11" i="50"/>
  <c r="N11" i="50"/>
  <c r="M11" i="50"/>
  <c r="L11" i="50"/>
  <c r="K11" i="50"/>
  <c r="J11" i="50"/>
  <c r="I11" i="50"/>
  <c r="H11" i="50"/>
  <c r="G11" i="50"/>
  <c r="F11" i="50"/>
  <c r="E11" i="50"/>
  <c r="D11" i="50"/>
  <c r="U10" i="50"/>
  <c r="T10" i="50"/>
  <c r="S10" i="50"/>
  <c r="R10" i="50"/>
  <c r="Q10" i="50"/>
  <c r="P10" i="50"/>
  <c r="O10" i="50"/>
  <c r="N10" i="50"/>
  <c r="M10" i="50"/>
  <c r="L10" i="50"/>
  <c r="K10" i="50"/>
  <c r="J9" i="50"/>
  <c r="I9" i="50"/>
  <c r="H9" i="50"/>
  <c r="G9" i="50"/>
  <c r="F9" i="50"/>
  <c r="E9" i="50"/>
  <c r="D9" i="50"/>
  <c r="U8" i="50"/>
  <c r="T8" i="50"/>
  <c r="S8" i="50"/>
  <c r="R8" i="50"/>
  <c r="Q8" i="50"/>
  <c r="P8" i="50"/>
  <c r="O8" i="50"/>
  <c r="N8" i="50"/>
  <c r="U7" i="50"/>
  <c r="T7" i="50"/>
  <c r="S7" i="50"/>
  <c r="R7" i="50"/>
  <c r="Q7" i="50"/>
  <c r="P7" i="50"/>
  <c r="O7" i="50"/>
  <c r="N7" i="50"/>
  <c r="M7" i="50"/>
  <c r="L7" i="50"/>
  <c r="K7" i="50"/>
  <c r="J7" i="50"/>
  <c r="I7" i="50"/>
  <c r="H7" i="50"/>
  <c r="G7" i="50"/>
  <c r="F7" i="50"/>
  <c r="E7" i="50"/>
  <c r="D7" i="50"/>
  <c r="T6" i="50"/>
  <c r="Q6" i="50"/>
  <c r="P6" i="50"/>
  <c r="F6" i="50"/>
  <c r="E6" i="50"/>
  <c r="D6" i="50"/>
  <c r="M4" i="50"/>
  <c r="J4" i="50"/>
  <c r="E4" i="50"/>
  <c r="D4" i="50"/>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F75" i="46"/>
  <c r="G75" i="46" s="1"/>
  <c r="E75" i="46"/>
  <c r="C75" i="46"/>
  <c r="E74" i="46"/>
  <c r="F74" i="46" s="1"/>
  <c r="G74" i="46" s="1"/>
  <c r="C74" i="46"/>
  <c r="E73" i="46"/>
  <c r="F73" i="46" s="1"/>
  <c r="G73" i="46" s="1"/>
  <c r="C73" i="46"/>
  <c r="G72" i="46"/>
  <c r="F72" i="46"/>
  <c r="E72" i="46"/>
  <c r="C72" i="46"/>
  <c r="E71" i="46"/>
  <c r="F71" i="46" s="1"/>
  <c r="G71" i="46" s="1"/>
  <c r="C71" i="46"/>
  <c r="G70" i="46"/>
  <c r="F70" i="46"/>
  <c r="E70" i="46"/>
  <c r="C70" i="46"/>
  <c r="E69" i="46"/>
  <c r="F69" i="46" s="1"/>
  <c r="G69" i="46" s="1"/>
  <c r="C69" i="46"/>
  <c r="F68" i="46"/>
  <c r="G68" i="46" s="1"/>
  <c r="E68" i="46"/>
  <c r="C68" i="46"/>
  <c r="E67" i="46"/>
  <c r="F67" i="46" s="1"/>
  <c r="G67" i="46" s="1"/>
  <c r="C67" i="46"/>
  <c r="G66" i="46"/>
  <c r="E66" i="46"/>
  <c r="F66" i="46" s="1"/>
  <c r="C66" i="46"/>
  <c r="F65" i="46"/>
  <c r="G65" i="46" s="1"/>
  <c r="E65" i="46"/>
  <c r="C65" i="46"/>
  <c r="E64" i="46"/>
  <c r="F64" i="46" s="1"/>
  <c r="G64" i="46" s="1"/>
  <c r="C64" i="46"/>
  <c r="E63" i="46"/>
  <c r="F63" i="46" s="1"/>
  <c r="G63" i="46" s="1"/>
  <c r="C63" i="46"/>
  <c r="F62" i="46"/>
  <c r="G62" i="46" s="1"/>
  <c r="E62" i="46"/>
  <c r="C62" i="46"/>
  <c r="F61" i="46"/>
  <c r="G61" i="46" s="1"/>
  <c r="E61" i="46"/>
  <c r="C61" i="46"/>
  <c r="E60" i="46"/>
  <c r="F60" i="46" s="1"/>
  <c r="G60" i="46" s="1"/>
  <c r="C60" i="46"/>
  <c r="E59" i="46"/>
  <c r="F59" i="46" s="1"/>
  <c r="G59" i="46" s="1"/>
  <c r="C59" i="46"/>
  <c r="G58" i="46"/>
  <c r="F58" i="46"/>
  <c r="E58" i="46"/>
  <c r="C58" i="46"/>
  <c r="F57" i="46"/>
  <c r="E57" i="46"/>
  <c r="C57" i="46"/>
  <c r="E56" i="46"/>
  <c r="F56" i="46" s="1"/>
  <c r="G56" i="46" s="1"/>
  <c r="C56" i="46"/>
  <c r="E55" i="46"/>
  <c r="F55" i="46" s="1"/>
  <c r="G55" i="46" s="1"/>
  <c r="C55" i="46"/>
  <c r="G54" i="46"/>
  <c r="E54" i="46"/>
  <c r="F54" i="46" s="1"/>
  <c r="C54" i="46"/>
  <c r="E53" i="46"/>
  <c r="F53" i="46" s="1"/>
  <c r="G53" i="46" s="1"/>
  <c r="C53" i="46"/>
  <c r="F52" i="46"/>
  <c r="G52" i="46" s="1"/>
  <c r="E52" i="46"/>
  <c r="C52" i="46"/>
  <c r="G51" i="46"/>
  <c r="F51" i="46"/>
  <c r="E51" i="46"/>
  <c r="C51" i="46"/>
  <c r="G50" i="46"/>
  <c r="F50" i="46"/>
  <c r="E50" i="46"/>
  <c r="C50" i="46"/>
  <c r="E49" i="46"/>
  <c r="F49" i="46" s="1"/>
  <c r="G49" i="46" s="1"/>
  <c r="C49" i="46"/>
  <c r="E48" i="46"/>
  <c r="F48" i="46" s="1"/>
  <c r="G48" i="46" s="1"/>
  <c r="C48" i="46"/>
  <c r="G47" i="46"/>
  <c r="E47" i="46"/>
  <c r="F47" i="46" s="1"/>
  <c r="C47" i="46"/>
  <c r="E46" i="46"/>
  <c r="F46" i="46" s="1"/>
  <c r="G46" i="46" s="1"/>
  <c r="C46" i="46"/>
  <c r="F45" i="46"/>
  <c r="G45" i="46" s="1"/>
  <c r="E45" i="46"/>
  <c r="C45" i="46"/>
  <c r="F44" i="46"/>
  <c r="G44" i="46" s="1"/>
  <c r="E44" i="46"/>
  <c r="C44" i="46"/>
  <c r="G43" i="46"/>
  <c r="F43" i="46"/>
  <c r="E43" i="46"/>
  <c r="C43" i="46"/>
  <c r="F42" i="46"/>
  <c r="G42" i="46" s="1"/>
  <c r="E42" i="46"/>
  <c r="C42" i="46"/>
  <c r="F41" i="46"/>
  <c r="G41" i="46" s="1"/>
  <c r="E41" i="46"/>
  <c r="C41" i="46"/>
  <c r="G40" i="46"/>
  <c r="E40" i="46"/>
  <c r="F40" i="46" s="1"/>
  <c r="C40" i="46"/>
  <c r="E39" i="46"/>
  <c r="F39" i="46" s="1"/>
  <c r="G39" i="46" s="1"/>
  <c r="C39" i="46"/>
  <c r="F38" i="46"/>
  <c r="G38" i="46" s="1"/>
  <c r="E38" i="46"/>
  <c r="C38" i="46"/>
  <c r="F37" i="46"/>
  <c r="G37" i="46" s="1"/>
  <c r="E37" i="46"/>
  <c r="C37" i="46"/>
  <c r="G36" i="46"/>
  <c r="F36" i="46"/>
  <c r="E36" i="46"/>
  <c r="C36" i="46"/>
  <c r="G35" i="46"/>
  <c r="F35" i="46"/>
  <c r="E35" i="46"/>
  <c r="C35" i="46"/>
  <c r="E34" i="46"/>
  <c r="F34" i="46" s="1"/>
  <c r="G34" i="46" s="1"/>
  <c r="C34" i="46"/>
  <c r="G33" i="46"/>
  <c r="E33" i="46"/>
  <c r="F33" i="46" s="1"/>
  <c r="C33" i="46"/>
  <c r="E32" i="46"/>
  <c r="F32" i="46" s="1"/>
  <c r="G32" i="46" s="1"/>
  <c r="C32" i="46"/>
  <c r="F31" i="46"/>
  <c r="G31" i="46" s="1"/>
  <c r="E31" i="46"/>
  <c r="E30" i="46"/>
  <c r="F30" i="46" s="1"/>
  <c r="G30" i="46" s="1"/>
  <c r="E29" i="46"/>
  <c r="F29" i="46" s="1"/>
  <c r="G29" i="46" s="1"/>
  <c r="E28" i="46"/>
  <c r="F28" i="46" s="1"/>
  <c r="G28" i="46" s="1"/>
  <c r="G27" i="46"/>
  <c r="F27" i="46"/>
  <c r="E27" i="46"/>
  <c r="C27" i="46"/>
  <c r="F26" i="46"/>
  <c r="G26" i="46" s="1"/>
  <c r="E26" i="46"/>
  <c r="C26" i="46"/>
  <c r="G25" i="46"/>
  <c r="E25" i="46"/>
  <c r="F25" i="46" s="1"/>
  <c r="C25" i="46"/>
  <c r="E24" i="46"/>
  <c r="F24" i="46" s="1"/>
  <c r="G24" i="46" s="1"/>
  <c r="C24" i="46"/>
  <c r="G23" i="46"/>
  <c r="F23" i="46"/>
  <c r="E23" i="46"/>
  <c r="C23" i="46"/>
  <c r="E22" i="46"/>
  <c r="F22" i="46" s="1"/>
  <c r="G22" i="46" s="1"/>
  <c r="C22" i="46"/>
  <c r="G21" i="46"/>
  <c r="F21" i="46"/>
  <c r="E21" i="46"/>
  <c r="C21" i="46"/>
  <c r="E20" i="46"/>
  <c r="F20" i="46" s="1"/>
  <c r="G20" i="46" s="1"/>
  <c r="C20" i="46"/>
  <c r="F19" i="46"/>
  <c r="G19" i="46" s="1"/>
  <c r="E19" i="46"/>
  <c r="C19" i="46"/>
  <c r="E18" i="46"/>
  <c r="F18" i="46" s="1"/>
  <c r="G18" i="46" s="1"/>
  <c r="C18" i="46"/>
  <c r="E17" i="46"/>
  <c r="F17" i="46" s="1"/>
  <c r="G17" i="46" s="1"/>
  <c r="C17" i="46"/>
  <c r="G16" i="46"/>
  <c r="F16" i="46"/>
  <c r="E16" i="46"/>
  <c r="C16" i="46"/>
  <c r="E15" i="46"/>
  <c r="F15" i="46" s="1"/>
  <c r="G15" i="46" s="1"/>
  <c r="C15" i="46"/>
  <c r="F14" i="46"/>
  <c r="G14" i="46" s="1"/>
  <c r="E14" i="46"/>
  <c r="C14" i="46"/>
  <c r="E13" i="46"/>
  <c r="F13" i="46" s="1"/>
  <c r="G13" i="46" s="1"/>
  <c r="C13" i="46"/>
  <c r="E12" i="46"/>
  <c r="F12" i="46" s="1"/>
  <c r="G12" i="46" s="1"/>
  <c r="C12" i="46"/>
  <c r="G11" i="46"/>
  <c r="E11" i="46"/>
  <c r="F11" i="46" s="1"/>
  <c r="C11" i="46"/>
  <c r="E10" i="46"/>
  <c r="F10" i="46" s="1"/>
  <c r="G10" i="46" s="1"/>
  <c r="C10" i="46"/>
  <c r="F9" i="46"/>
  <c r="G9" i="46" s="1"/>
  <c r="E9" i="46"/>
  <c r="C9" i="46"/>
  <c r="G8" i="46"/>
  <c r="F8" i="46"/>
  <c r="E8" i="46"/>
  <c r="C8" i="46"/>
  <c r="F7" i="46"/>
  <c r="G7" i="46" s="1"/>
  <c r="E7" i="46"/>
  <c r="C7" i="46"/>
  <c r="G6" i="46"/>
  <c r="F6" i="46"/>
  <c r="E6" i="46"/>
  <c r="C6" i="46"/>
  <c r="F5" i="46"/>
  <c r="G5" i="46" s="1"/>
  <c r="E5" i="46"/>
  <c r="C5" i="46"/>
  <c r="G4" i="46"/>
  <c r="E4" i="46"/>
  <c r="F4" i="46" s="1"/>
  <c r="C4" i="46"/>
  <c r="E3" i="46"/>
  <c r="F3" i="46" s="1"/>
  <c r="G3" i="46" s="1"/>
  <c r="C3" i="46"/>
  <c r="C2" i="46"/>
  <c r="P23" i="74"/>
  <c r="O23" i="74"/>
  <c r="N23" i="74"/>
  <c r="M23" i="74"/>
  <c r="T24" i="25"/>
  <c r="R24" i="25"/>
  <c r="Q24" i="25"/>
  <c r="U23" i="74"/>
  <c r="S23" i="74"/>
  <c r="R23" i="74"/>
  <c r="T23" i="74"/>
  <c r="U24" i="25"/>
  <c r="S24" i="25"/>
  <c r="P24" i="25"/>
  <c r="O24" i="25"/>
  <c r="N24" i="25"/>
  <c r="M24" i="25"/>
  <c r="Q23" i="74"/>
  <c r="J52" i="59" l="1"/>
  <c r="X52" i="59"/>
  <c r="K52" i="59"/>
  <c r="Y52" i="59"/>
  <c r="L50" i="59"/>
  <c r="L26" i="59" s="1"/>
  <c r="Z50" i="59"/>
  <c r="Z26" i="59" s="1"/>
  <c r="D64" i="59"/>
  <c r="S52" i="59"/>
  <c r="T52" i="59"/>
  <c r="O52" i="59"/>
  <c r="R52" i="59"/>
  <c r="F97" i="59"/>
  <c r="D98" i="59"/>
  <c r="D102" i="59" s="1"/>
  <c r="E64" i="59"/>
  <c r="I17" i="55"/>
  <c r="K17" i="55"/>
  <c r="K81" i="55" s="1"/>
  <c r="L17" i="55"/>
  <c r="N30" i="59"/>
  <c r="G5" i="50" s="1"/>
  <c r="K82" i="83"/>
  <c r="K114" i="83"/>
  <c r="E30" i="59"/>
  <c r="E98" i="59"/>
  <c r="E102" i="59" s="1"/>
  <c r="M50" i="59"/>
  <c r="M26" i="59" s="1"/>
  <c r="AA50" i="59"/>
  <c r="AA26" i="59" s="1"/>
  <c r="I18" i="55"/>
  <c r="I114" i="55" s="1"/>
  <c r="K18" i="55"/>
  <c r="K114" i="55" s="1"/>
  <c r="M30" i="59"/>
  <c r="F5" i="50" s="1"/>
  <c r="J50" i="59"/>
  <c r="J26" i="59" s="1"/>
  <c r="J64" i="59" s="1"/>
  <c r="P50" i="59"/>
  <c r="P26" i="59" s="1"/>
  <c r="L52" i="59"/>
  <c r="H113" i="83"/>
  <c r="H81" i="83"/>
  <c r="Y50" i="59"/>
  <c r="Y26" i="59" s="1"/>
  <c r="Q50" i="59"/>
  <c r="Q26" i="59" s="1"/>
  <c r="L18" i="55"/>
  <c r="I81" i="83"/>
  <c r="I113" i="83"/>
  <c r="J113" i="83"/>
  <c r="J81" i="83"/>
  <c r="H64" i="59"/>
  <c r="K113" i="83"/>
  <c r="K81" i="83"/>
  <c r="H17" i="55"/>
  <c r="H113" i="55" s="1"/>
  <c r="G98" i="59"/>
  <c r="G102" i="59" s="1"/>
  <c r="AA52" i="59"/>
  <c r="H18" i="55"/>
  <c r="H114" i="55" s="1"/>
  <c r="H18" i="83"/>
  <c r="I114" i="83"/>
  <c r="I82" i="83"/>
  <c r="J17" i="55"/>
  <c r="J113" i="55" s="1"/>
  <c r="J82" i="83"/>
  <c r="J114" i="83"/>
  <c r="I132" i="48"/>
  <c r="W132" i="48"/>
  <c r="N133" i="48"/>
  <c r="K141" i="48"/>
  <c r="P142" i="48"/>
  <c r="G143" i="48"/>
  <c r="J132" i="48"/>
  <c r="X132" i="48"/>
  <c r="O133" i="48"/>
  <c r="L27" i="48"/>
  <c r="G144" i="48"/>
  <c r="F131" i="48"/>
  <c r="T131" i="48"/>
  <c r="I117" i="48"/>
  <c r="W117" i="48"/>
  <c r="N118" i="48"/>
  <c r="I98" i="48" s="1"/>
  <c r="J98" i="48" s="1"/>
  <c r="K98" i="48" s="1"/>
  <c r="L98" i="48" s="1"/>
  <c r="L132" i="48"/>
  <c r="Z132" i="48"/>
  <c r="Q133" i="48"/>
  <c r="N121" i="48"/>
  <c r="S142" i="48"/>
  <c r="X121" i="48"/>
  <c r="J117" i="48"/>
  <c r="X117" i="48"/>
  <c r="O118" i="48"/>
  <c r="F28" i="48"/>
  <c r="T116" i="48"/>
  <c r="E74" i="48"/>
  <c r="L143" i="48"/>
  <c r="L117" i="48"/>
  <c r="Q118" i="48"/>
  <c r="V121" i="48"/>
  <c r="R121" i="48"/>
  <c r="R130" i="48" s="1"/>
  <c r="V27" i="48"/>
  <c r="J141" i="48"/>
  <c r="P9" i="48"/>
  <c r="H126" i="48"/>
  <c r="H116" i="48" s="1"/>
  <c r="Z9" i="48"/>
  <c r="F95" i="48"/>
  <c r="AB131" i="48"/>
  <c r="AC131" i="48" s="1"/>
  <c r="AD131" i="48" s="1"/>
  <c r="U9" i="48"/>
  <c r="F132" i="48"/>
  <c r="T132" i="48"/>
  <c r="K133" i="48"/>
  <c r="Y133" i="48"/>
  <c r="G145" i="48"/>
  <c r="L146" i="48"/>
  <c r="I140" i="48"/>
  <c r="U131" i="48"/>
  <c r="I33" i="48"/>
  <c r="I66" i="48" s="1"/>
  <c r="I73" i="48" s="1"/>
  <c r="U117" i="48"/>
  <c r="L118" i="48"/>
  <c r="Z118" i="48"/>
  <c r="J28" i="48"/>
  <c r="AB121" i="48"/>
  <c r="AB130" i="48" s="1"/>
  <c r="AC130" i="48" s="1"/>
  <c r="AD130" i="48" s="1"/>
  <c r="AE130" i="48" s="1"/>
  <c r="AF130" i="48" s="1"/>
  <c r="AG130" i="48" s="1"/>
  <c r="AH130" i="48" s="1"/>
  <c r="AI130" i="48" s="1"/>
  <c r="AJ130" i="48" s="1"/>
  <c r="J143" i="48"/>
  <c r="S145" i="48"/>
  <c r="J146" i="48"/>
  <c r="F9" i="48"/>
  <c r="Q116" i="48"/>
  <c r="H117" i="48"/>
  <c r="V117" i="48"/>
  <c r="G132" i="48"/>
  <c r="U132" i="48"/>
  <c r="L133" i="48"/>
  <c r="Z133" i="48"/>
  <c r="K146" i="48"/>
  <c r="R116" i="48"/>
  <c r="Q131" i="48"/>
  <c r="AB114" i="48"/>
  <c r="AC114" i="48" s="1"/>
  <c r="AD114" i="48" s="1"/>
  <c r="AE114" i="48" s="1"/>
  <c r="AF114" i="48" s="1"/>
  <c r="AG114" i="48" s="1"/>
  <c r="AH114" i="48" s="1"/>
  <c r="AI114" i="48" s="1"/>
  <c r="AJ114" i="48" s="1"/>
  <c r="S116" i="48"/>
  <c r="H32" i="48"/>
  <c r="Z121" i="48"/>
  <c r="E96" i="48"/>
  <c r="S131" i="48"/>
  <c r="I32" i="48"/>
  <c r="S19" i="48"/>
  <c r="L19" i="48"/>
  <c r="L26" i="48" s="1"/>
  <c r="Z19" i="48"/>
  <c r="Z26" i="48" s="1"/>
  <c r="K132" i="48"/>
  <c r="Y132" i="48"/>
  <c r="P133" i="48"/>
  <c r="N140" i="48"/>
  <c r="S141" i="48"/>
  <c r="T9" i="48"/>
  <c r="V116" i="48"/>
  <c r="G131" i="48"/>
  <c r="E97" i="48"/>
  <c r="H144" i="48"/>
  <c r="V131" i="48"/>
  <c r="F74" i="48"/>
  <c r="F97" i="48" s="1"/>
  <c r="J121" i="48"/>
  <c r="J114" i="48" s="1"/>
  <c r="U121" i="48"/>
  <c r="U130" i="48" s="1"/>
  <c r="L142" i="48"/>
  <c r="Q143" i="48"/>
  <c r="K126" i="48"/>
  <c r="K144" i="48" s="1"/>
  <c r="L145" i="48"/>
  <c r="Q146" i="48"/>
  <c r="AB19" i="48"/>
  <c r="C20" i="35" s="1"/>
  <c r="P27" i="48"/>
  <c r="N126" i="48"/>
  <c r="N131" i="48" s="1"/>
  <c r="F27" i="48"/>
  <c r="T27" i="48"/>
  <c r="F98" i="48"/>
  <c r="O121" i="48"/>
  <c r="O139" i="48" s="1"/>
  <c r="R140" i="48"/>
  <c r="H33" i="48"/>
  <c r="H66" i="48" s="1"/>
  <c r="H73" i="48" s="1"/>
  <c r="G35" i="48"/>
  <c r="G68" i="48" s="1"/>
  <c r="G75" i="48" s="1"/>
  <c r="G98" i="48" s="1"/>
  <c r="E95" i="48"/>
  <c r="R126" i="48"/>
  <c r="R131" i="48" s="1"/>
  <c r="G32" i="48"/>
  <c r="G65" i="48" s="1"/>
  <c r="G72" i="48" s="1"/>
  <c r="G95" i="48" s="1"/>
  <c r="R117" i="48"/>
  <c r="I118" i="48"/>
  <c r="R132" i="48"/>
  <c r="W133" i="48"/>
  <c r="Q145" i="48"/>
  <c r="I146" i="48"/>
  <c r="AG45" i="70"/>
  <c r="H28" i="55"/>
  <c r="G28" i="55"/>
  <c r="G126" i="55"/>
  <c r="AC11" i="20"/>
  <c r="D4" i="35" s="1"/>
  <c r="E6" i="55" s="1"/>
  <c r="E102" i="55" s="1"/>
  <c r="V12" i="74"/>
  <c r="K105" i="55"/>
  <c r="K73" i="55"/>
  <c r="F111" i="55"/>
  <c r="F79" i="55"/>
  <c r="M14" i="59"/>
  <c r="E111" i="55"/>
  <c r="E79" i="55"/>
  <c r="J80" i="55"/>
  <c r="J112" i="55"/>
  <c r="Z14" i="75"/>
  <c r="Z15" i="59"/>
  <c r="Z14" i="59" s="1"/>
  <c r="M20" i="25"/>
  <c r="M14" i="75" s="1"/>
  <c r="AA15" i="59"/>
  <c r="AA14" i="59" s="1"/>
  <c r="AA14" i="75"/>
  <c r="P13" i="74"/>
  <c r="K112" i="55"/>
  <c r="K80" i="55"/>
  <c r="D126" i="55"/>
  <c r="D94" i="55"/>
  <c r="AB14" i="75"/>
  <c r="AB15" i="59"/>
  <c r="AB14" i="59" s="1"/>
  <c r="C8" i="35"/>
  <c r="D10" i="55" s="1"/>
  <c r="O21" i="25"/>
  <c r="AD13" i="25"/>
  <c r="AC15" i="25"/>
  <c r="H19" i="74"/>
  <c r="H20" i="74"/>
  <c r="J13" i="30"/>
  <c r="J12" i="30" s="1"/>
  <c r="J15" i="30"/>
  <c r="K127" i="55"/>
  <c r="K95" i="55"/>
  <c r="AE17" i="25"/>
  <c r="AF17" i="25" s="1"/>
  <c r="AG17" i="25" s="1"/>
  <c r="AH17" i="25" s="1"/>
  <c r="AI17" i="25" s="1"/>
  <c r="AJ17" i="25" s="1"/>
  <c r="AK17" i="25" s="1"/>
  <c r="AL17" i="25" s="1"/>
  <c r="AM17" i="25" s="1"/>
  <c r="AN17" i="25" s="1"/>
  <c r="N20" i="25"/>
  <c r="N14" i="59" s="1"/>
  <c r="I13" i="74"/>
  <c r="G124" i="55"/>
  <c r="G92" i="55"/>
  <c r="F126" i="55"/>
  <c r="F94" i="55"/>
  <c r="J82" i="55"/>
  <c r="J111" i="55"/>
  <c r="J79" i="55"/>
  <c r="Q21" i="25"/>
  <c r="Q20" i="25" s="1"/>
  <c r="AB14" i="25"/>
  <c r="AC16" i="25"/>
  <c r="AD16" i="25" s="1"/>
  <c r="AE16" i="25" s="1"/>
  <c r="AF16" i="25" s="1"/>
  <c r="AG16" i="25" s="1"/>
  <c r="AH16" i="25" s="1"/>
  <c r="AI16" i="25" s="1"/>
  <c r="AJ16" i="25" s="1"/>
  <c r="AK16" i="25" s="1"/>
  <c r="AL16" i="25" s="1"/>
  <c r="AM16" i="25" s="1"/>
  <c r="AN16" i="25" s="1"/>
  <c r="T94" i="26"/>
  <c r="H124" i="55"/>
  <c r="H92" i="55"/>
  <c r="H75" i="55"/>
  <c r="H107" i="55"/>
  <c r="D102" i="55"/>
  <c r="R14" i="59"/>
  <c r="R14" i="75"/>
  <c r="R98" i="75" s="1"/>
  <c r="R20" i="25"/>
  <c r="M15" i="26"/>
  <c r="M76" i="26"/>
  <c r="N28" i="26"/>
  <c r="F14" i="59"/>
  <c r="F63" i="59" s="1"/>
  <c r="F14" i="75"/>
  <c r="J73" i="55"/>
  <c r="J105" i="55"/>
  <c r="E75" i="55"/>
  <c r="D112" i="55"/>
  <c r="D80" i="55"/>
  <c r="K94" i="55"/>
  <c r="K126" i="55"/>
  <c r="H79" i="55"/>
  <c r="G89" i="55"/>
  <c r="U21" i="25"/>
  <c r="AO32" i="26"/>
  <c r="F93" i="55"/>
  <c r="F125" i="55"/>
  <c r="G75" i="55"/>
  <c r="F80" i="55"/>
  <c r="H95" i="55"/>
  <c r="J49" i="20"/>
  <c r="AK94" i="26"/>
  <c r="AK49" i="20" s="1"/>
  <c r="AJ94" i="26"/>
  <c r="R94" i="26"/>
  <c r="AM94" i="26"/>
  <c r="AM49" i="20" s="1"/>
  <c r="AF94" i="26"/>
  <c r="AB94" i="26"/>
  <c r="W94" i="26"/>
  <c r="H89" i="55"/>
  <c r="H121" i="55"/>
  <c r="Z94" i="26"/>
  <c r="I113" i="55"/>
  <c r="I81" i="55"/>
  <c r="J75" i="55"/>
  <c r="I80" i="55"/>
  <c r="J92" i="55"/>
  <c r="G96" i="55"/>
  <c r="K111" i="55"/>
  <c r="J21" i="25"/>
  <c r="J20" i="25"/>
  <c r="T14" i="75"/>
  <c r="T20" i="25"/>
  <c r="T14" i="59" s="1"/>
  <c r="T63" i="59" s="1"/>
  <c r="AC28" i="20"/>
  <c r="C5" i="35"/>
  <c r="D7" i="55" s="1"/>
  <c r="J121" i="55"/>
  <c r="J89" i="55"/>
  <c r="E112" i="55"/>
  <c r="K113" i="55"/>
  <c r="S20" i="74"/>
  <c r="S19" i="74" s="1"/>
  <c r="AO14" i="26"/>
  <c r="J75" i="26"/>
  <c r="D46" i="26"/>
  <c r="D20" i="25"/>
  <c r="D14" i="75" s="1"/>
  <c r="F19" i="74"/>
  <c r="V16" i="74"/>
  <c r="W16" i="74" s="1"/>
  <c r="X16" i="74" s="1"/>
  <c r="Y16" i="74" s="1"/>
  <c r="Z16" i="74" s="1"/>
  <c r="AA16" i="74" s="1"/>
  <c r="AB16" i="74" s="1"/>
  <c r="AC16" i="74" s="1"/>
  <c r="T27" i="20"/>
  <c r="K75" i="55"/>
  <c r="G79" i="55"/>
  <c r="K89" i="55"/>
  <c r="I93" i="55"/>
  <c r="P21" i="25"/>
  <c r="U20" i="74"/>
  <c r="S33" i="26"/>
  <c r="S17" i="26"/>
  <c r="Y45" i="75"/>
  <c r="Y37" i="59"/>
  <c r="I18" i="49"/>
  <c r="I19" i="49" s="1"/>
  <c r="G20" i="25"/>
  <c r="G14" i="75" s="1"/>
  <c r="L20" i="26"/>
  <c r="L78" i="26" s="1"/>
  <c r="L73" i="26" s="1"/>
  <c r="D13" i="55"/>
  <c r="H81" i="55"/>
  <c r="J95" i="55"/>
  <c r="D111" i="55"/>
  <c r="E14" i="75"/>
  <c r="E14" i="59"/>
  <c r="S21" i="25"/>
  <c r="H20" i="25"/>
  <c r="H14" i="75" s="1"/>
  <c r="J19" i="74"/>
  <c r="K20" i="26"/>
  <c r="K78" i="26" s="1"/>
  <c r="J23" i="26"/>
  <c r="AO23" i="26" s="1"/>
  <c r="AO24" i="26"/>
  <c r="AP12" i="26" s="1"/>
  <c r="AC94" i="26"/>
  <c r="U27" i="20"/>
  <c r="AC18" i="25"/>
  <c r="AD18" i="25" s="1"/>
  <c r="AE18" i="25" s="1"/>
  <c r="AF18" i="25" s="1"/>
  <c r="AG18" i="25" s="1"/>
  <c r="AH18" i="25" s="1"/>
  <c r="AI18" i="25" s="1"/>
  <c r="AJ18" i="25" s="1"/>
  <c r="AK18" i="25" s="1"/>
  <c r="AL18" i="25" s="1"/>
  <c r="AM18" i="25" s="1"/>
  <c r="AN18" i="25" s="1"/>
  <c r="K19" i="74"/>
  <c r="M13" i="74"/>
  <c r="T20" i="74"/>
  <c r="T19" i="74" s="1"/>
  <c r="Z33" i="26"/>
  <c r="AD94" i="26"/>
  <c r="I51" i="20"/>
  <c r="I29" i="20" s="1"/>
  <c r="D96" i="55"/>
  <c r="L19" i="74"/>
  <c r="L20" i="74"/>
  <c r="AO29" i="26"/>
  <c r="H14" i="59"/>
  <c r="H63" i="59" s="1"/>
  <c r="L20" i="25"/>
  <c r="L14" i="75" s="1"/>
  <c r="M20" i="74"/>
  <c r="M19" i="74" s="1"/>
  <c r="V15" i="74"/>
  <c r="W15" i="74" s="1"/>
  <c r="X15" i="74" s="1"/>
  <c r="Y15" i="74" s="1"/>
  <c r="Z15" i="74" s="1"/>
  <c r="AA15" i="74" s="1"/>
  <c r="AB15" i="74" s="1"/>
  <c r="AC15" i="74" s="1"/>
  <c r="V17" i="74"/>
  <c r="W17" i="74" s="1"/>
  <c r="X17" i="74" s="1"/>
  <c r="Y17" i="74" s="1"/>
  <c r="Z17" i="74" s="1"/>
  <c r="AA17" i="74" s="1"/>
  <c r="AB17" i="74" s="1"/>
  <c r="AC17" i="74" s="1"/>
  <c r="I13" i="20"/>
  <c r="J28" i="20"/>
  <c r="AD15" i="30"/>
  <c r="AD13" i="30"/>
  <c r="I20" i="25"/>
  <c r="I14" i="75" s="1"/>
  <c r="N20" i="74"/>
  <c r="N19" i="74" s="1"/>
  <c r="O13" i="74"/>
  <c r="O20" i="74" s="1"/>
  <c r="O19" i="74" s="1"/>
  <c r="P31" i="26"/>
  <c r="O31" i="26"/>
  <c r="N31" i="26"/>
  <c r="N16" i="26" s="1"/>
  <c r="N77" i="26" s="1"/>
  <c r="M31" i="26"/>
  <c r="X31" i="26"/>
  <c r="X16" i="26" s="1"/>
  <c r="X77" i="26" s="1"/>
  <c r="W31" i="26"/>
  <c r="W16" i="26" s="1"/>
  <c r="W77" i="26" s="1"/>
  <c r="U31" i="26"/>
  <c r="U16" i="26" s="1"/>
  <c r="U77" i="26" s="1"/>
  <c r="S31" i="26"/>
  <c r="S16" i="26" s="1"/>
  <c r="S77" i="26" s="1"/>
  <c r="R31" i="26"/>
  <c r="R16" i="26" s="1"/>
  <c r="R77" i="26" s="1"/>
  <c r="Y27" i="20"/>
  <c r="I15" i="30"/>
  <c r="AE17" i="30"/>
  <c r="K21" i="25"/>
  <c r="P20" i="74"/>
  <c r="P19" i="74" s="1"/>
  <c r="R13" i="74"/>
  <c r="R20" i="74" s="1"/>
  <c r="R19" i="74" s="1"/>
  <c r="Q19" i="74"/>
  <c r="O16" i="26"/>
  <c r="O77" i="26" s="1"/>
  <c r="K73" i="26"/>
  <c r="V94" i="26"/>
  <c r="D45" i="26"/>
  <c r="E45" i="26" s="1"/>
  <c r="P16" i="26"/>
  <c r="P77" i="26" s="1"/>
  <c r="AO34" i="26"/>
  <c r="AP19" i="26" s="1"/>
  <c r="C43" i="26"/>
  <c r="E46" i="26"/>
  <c r="O27" i="20"/>
  <c r="O28" i="20"/>
  <c r="J29" i="49"/>
  <c r="X45" i="75"/>
  <c r="X37" i="59"/>
  <c r="J18" i="49"/>
  <c r="J19" i="49" s="1"/>
  <c r="AI94" i="26"/>
  <c r="H49" i="20"/>
  <c r="H51" i="20" s="1"/>
  <c r="H29" i="20" s="1"/>
  <c r="AG94" i="26"/>
  <c r="S94" i="26"/>
  <c r="X94" i="26"/>
  <c r="AN94" i="26"/>
  <c r="AN49" i="20" s="1"/>
  <c r="N27" i="20"/>
  <c r="M28" i="20"/>
  <c r="K27" i="49"/>
  <c r="D45" i="75"/>
  <c r="D46" i="75" s="1"/>
  <c r="D30" i="49"/>
  <c r="D37" i="59"/>
  <c r="D38" i="59" s="1"/>
  <c r="Z13" i="33"/>
  <c r="X13" i="33"/>
  <c r="AA13" i="33"/>
  <c r="Y13" i="33"/>
  <c r="AQ13" i="26"/>
  <c r="Y94" i="26"/>
  <c r="Q27" i="20"/>
  <c r="P27" i="20"/>
  <c r="N28" i="20"/>
  <c r="M12" i="30"/>
  <c r="N13" i="30"/>
  <c r="N30" i="30"/>
  <c r="N29" i="30" s="1"/>
  <c r="L27" i="49"/>
  <c r="Z45" i="75"/>
  <c r="M15" i="30"/>
  <c r="H27" i="49"/>
  <c r="AL13" i="33"/>
  <c r="AM13" i="33"/>
  <c r="AJ13" i="33"/>
  <c r="J81" i="26"/>
  <c r="AA94" i="26"/>
  <c r="U94" i="26"/>
  <c r="N37" i="59"/>
  <c r="N38" i="59" s="1"/>
  <c r="N45" i="75"/>
  <c r="AB45" i="75"/>
  <c r="AB37" i="59"/>
  <c r="AB29" i="49"/>
  <c r="C10" i="35" s="1"/>
  <c r="D12" i="55" s="1"/>
  <c r="M45" i="75"/>
  <c r="M46" i="75" s="1"/>
  <c r="M37" i="59"/>
  <c r="M38" i="59" s="1"/>
  <c r="F51" i="49"/>
  <c r="G51" i="49" s="1"/>
  <c r="H51" i="49" s="1"/>
  <c r="N30" i="49"/>
  <c r="D25" i="33"/>
  <c r="J17" i="75"/>
  <c r="G134" i="75"/>
  <c r="G96" i="59"/>
  <c r="G97" i="59" s="1"/>
  <c r="X17" i="75"/>
  <c r="G99" i="59"/>
  <c r="G131" i="75"/>
  <c r="AE13" i="33"/>
  <c r="AB13" i="33"/>
  <c r="AC13" i="33"/>
  <c r="AC10" i="33" s="1"/>
  <c r="AG31" i="80" s="1"/>
  <c r="O45" i="75"/>
  <c r="O37" i="59"/>
  <c r="O38" i="59" s="1"/>
  <c r="O30" i="49"/>
  <c r="N29" i="49"/>
  <c r="K17" i="75"/>
  <c r="K17" i="59"/>
  <c r="Y17" i="75"/>
  <c r="Y17" i="59"/>
  <c r="AD13" i="33"/>
  <c r="T50" i="59"/>
  <c r="T26" i="59" s="1"/>
  <c r="S50" i="59"/>
  <c r="S26" i="59" s="1"/>
  <c r="V50" i="59"/>
  <c r="V26" i="59" s="1"/>
  <c r="R50" i="59"/>
  <c r="R26" i="59" s="1"/>
  <c r="O50" i="59"/>
  <c r="O26" i="59" s="1"/>
  <c r="U50" i="59"/>
  <c r="U26" i="59" s="1"/>
  <c r="U52" i="59"/>
  <c r="P27" i="49"/>
  <c r="P12" i="49"/>
  <c r="E18" i="49" s="1"/>
  <c r="E19" i="49" s="1"/>
  <c r="E20" i="49" s="1"/>
  <c r="Q45" i="75"/>
  <c r="Q30" i="49"/>
  <c r="Q37" i="59"/>
  <c r="Q38" i="59" s="1"/>
  <c r="V27" i="20"/>
  <c r="AC15" i="30"/>
  <c r="M17" i="75"/>
  <c r="E22" i="33"/>
  <c r="M17" i="59"/>
  <c r="AA17" i="75"/>
  <c r="AA17" i="59"/>
  <c r="AE94" i="26"/>
  <c r="G12" i="49"/>
  <c r="U12" i="49"/>
  <c r="S45" i="75"/>
  <c r="S46" i="75" s="1"/>
  <c r="S48" i="75" s="1"/>
  <c r="S29" i="49"/>
  <c r="S30" i="49" s="1"/>
  <c r="S37" i="59"/>
  <c r="S38" i="59" s="1"/>
  <c r="E45" i="75"/>
  <c r="E37" i="59"/>
  <c r="E38" i="59" s="1"/>
  <c r="E40" i="59" s="1"/>
  <c r="T45" i="75"/>
  <c r="T46" i="75" s="1"/>
  <c r="T37" i="59"/>
  <c r="T38" i="59" s="1"/>
  <c r="T30" i="49"/>
  <c r="T29" i="49"/>
  <c r="X29" i="49"/>
  <c r="X30" i="49" s="1"/>
  <c r="AH94" i="26"/>
  <c r="H22" i="33"/>
  <c r="C62" i="26"/>
  <c r="C51" i="26" s="1"/>
  <c r="Z27" i="20"/>
  <c r="G29" i="49"/>
  <c r="G27" i="49"/>
  <c r="U45" i="75"/>
  <c r="U37" i="59"/>
  <c r="M117" i="48"/>
  <c r="H34" i="48"/>
  <c r="AA27" i="20"/>
  <c r="N12" i="30"/>
  <c r="AB12" i="30"/>
  <c r="AC12" i="30" s="1"/>
  <c r="H29" i="49"/>
  <c r="V45" i="75"/>
  <c r="V37" i="59"/>
  <c r="K12" i="49"/>
  <c r="C18" i="49" s="1"/>
  <c r="C19" i="49" s="1"/>
  <c r="Y12" i="49"/>
  <c r="H18" i="49" s="1"/>
  <c r="H19" i="49" s="1"/>
  <c r="F64" i="59"/>
  <c r="F30" i="59"/>
  <c r="N87" i="75"/>
  <c r="N85" i="75"/>
  <c r="AL94" i="26"/>
  <c r="AL49" i="20" s="1"/>
  <c r="I13" i="30"/>
  <c r="I12" i="30" s="1"/>
  <c r="I29" i="49"/>
  <c r="I27" i="49"/>
  <c r="W45" i="75"/>
  <c r="W37" i="59"/>
  <c r="W30" i="49"/>
  <c r="W29" i="49"/>
  <c r="L12" i="49"/>
  <c r="D18" i="49" s="1"/>
  <c r="D19" i="49" s="1"/>
  <c r="Z12" i="49"/>
  <c r="Z29" i="49" s="1"/>
  <c r="Z30" i="49" s="1"/>
  <c r="I51" i="49"/>
  <c r="L28" i="75"/>
  <c r="N52" i="59"/>
  <c r="N50" i="59"/>
  <c r="N26" i="59" s="1"/>
  <c r="AB52" i="59"/>
  <c r="AB50" i="59"/>
  <c r="I99" i="75"/>
  <c r="X104" i="75"/>
  <c r="X106" i="75" s="1"/>
  <c r="X105" i="75" s="1"/>
  <c r="R45" i="75"/>
  <c r="R46" i="75" s="1"/>
  <c r="R37" i="59"/>
  <c r="R38" i="59" s="1"/>
  <c r="D131" i="75"/>
  <c r="D132" i="75" s="1"/>
  <c r="D96" i="59"/>
  <c r="D97" i="59" s="1"/>
  <c r="L17" i="75"/>
  <c r="D134" i="75"/>
  <c r="D99" i="59"/>
  <c r="E25" i="33"/>
  <c r="O46" i="75"/>
  <c r="L17" i="59"/>
  <c r="Q52" i="59"/>
  <c r="Q46" i="75"/>
  <c r="P34" i="75"/>
  <c r="P24" i="75"/>
  <c r="G130" i="75"/>
  <c r="G132" i="75" s="1"/>
  <c r="O17" i="75"/>
  <c r="O17" i="59"/>
  <c r="L64" i="59"/>
  <c r="F45" i="75"/>
  <c r="F37" i="59"/>
  <c r="F38" i="59" s="1"/>
  <c r="E46" i="75"/>
  <c r="E48" i="75" s="1"/>
  <c r="F22" i="33"/>
  <c r="U13" i="33"/>
  <c r="G22" i="33"/>
  <c r="F30" i="49"/>
  <c r="E17" i="75"/>
  <c r="E101" i="75" s="1"/>
  <c r="E39" i="75" s="1"/>
  <c r="E17" i="59"/>
  <c r="S17" i="75"/>
  <c r="S17" i="59"/>
  <c r="AG13" i="33"/>
  <c r="AF13" i="33"/>
  <c r="Z17" i="59"/>
  <c r="J27" i="49"/>
  <c r="AA45" i="75"/>
  <c r="AA37" i="59"/>
  <c r="AA29" i="49"/>
  <c r="AA30" i="49" s="1"/>
  <c r="F134" i="75"/>
  <c r="F131" i="75"/>
  <c r="F132" i="75" s="1"/>
  <c r="F99" i="59"/>
  <c r="T17" i="75"/>
  <c r="T27" i="75" s="1"/>
  <c r="I50" i="59"/>
  <c r="I26" i="59" s="1"/>
  <c r="I64" i="59" s="1"/>
  <c r="W50" i="59"/>
  <c r="W26" i="59" s="1"/>
  <c r="W52" i="59"/>
  <c r="E29" i="49"/>
  <c r="E30" i="49" s="1"/>
  <c r="V12" i="49"/>
  <c r="V29" i="49" s="1"/>
  <c r="V30" i="49" s="1"/>
  <c r="F26" i="33"/>
  <c r="X50" i="59"/>
  <c r="X26" i="59" s="1"/>
  <c r="E99" i="59"/>
  <c r="Q17" i="75"/>
  <c r="K50" i="59"/>
  <c r="K26" i="59" s="1"/>
  <c r="K64" i="59" s="1"/>
  <c r="R27" i="75"/>
  <c r="N17" i="59"/>
  <c r="AB17" i="59"/>
  <c r="L34" i="75"/>
  <c r="E131" i="75"/>
  <c r="E132" i="75" s="1"/>
  <c r="P17" i="75"/>
  <c r="E134" i="75"/>
  <c r="F98" i="59"/>
  <c r="F102" i="59" s="1"/>
  <c r="P17" i="59"/>
  <c r="F101" i="75"/>
  <c r="F39" i="75" s="1"/>
  <c r="M28" i="75"/>
  <c r="C25" i="33"/>
  <c r="D17" i="59"/>
  <c r="R17" i="59"/>
  <c r="F46" i="75"/>
  <c r="F48" i="75" s="1"/>
  <c r="AB117" i="48"/>
  <c r="AC117" i="48" s="1"/>
  <c r="AD117" i="48" s="1"/>
  <c r="AE117" i="48" s="1"/>
  <c r="AF117" i="48" s="1"/>
  <c r="AG117" i="48" s="1"/>
  <c r="AH117" i="48" s="1"/>
  <c r="AI117" i="48" s="1"/>
  <c r="AJ117" i="48" s="1"/>
  <c r="H132" i="48"/>
  <c r="H19" i="48"/>
  <c r="V132" i="48"/>
  <c r="V19" i="48"/>
  <c r="D30" i="59"/>
  <c r="Z52" i="59"/>
  <c r="M42" i="78"/>
  <c r="N42" i="78" s="1"/>
  <c r="L42" i="78"/>
  <c r="K28" i="48"/>
  <c r="K116" i="48"/>
  <c r="Y28" i="48"/>
  <c r="G17" i="59"/>
  <c r="M52" i="59"/>
  <c r="G64" i="59"/>
  <c r="V17" i="75"/>
  <c r="M43" i="78"/>
  <c r="N43" i="78" s="1"/>
  <c r="L43" i="78"/>
  <c r="T28" i="48"/>
  <c r="D133" i="75"/>
  <c r="D137" i="75" s="1"/>
  <c r="L38" i="78"/>
  <c r="M38" i="78"/>
  <c r="N38" i="78" s="1"/>
  <c r="K52" i="78"/>
  <c r="N130" i="48"/>
  <c r="N19" i="48"/>
  <c r="N26" i="48" s="1"/>
  <c r="I17" i="59"/>
  <c r="W17" i="59"/>
  <c r="P52" i="59"/>
  <c r="Q24" i="75"/>
  <c r="Q34" i="75"/>
  <c r="H65" i="48"/>
  <c r="H72" i="48" s="1"/>
  <c r="H36" i="48"/>
  <c r="I36" i="48"/>
  <c r="AC70" i="59"/>
  <c r="E96" i="59"/>
  <c r="E97" i="59" s="1"/>
  <c r="H99" i="75"/>
  <c r="H28" i="75"/>
  <c r="N46" i="75"/>
  <c r="N48" i="75" s="1"/>
  <c r="M44" i="78"/>
  <c r="N44" i="78" s="1"/>
  <c r="L44" i="78"/>
  <c r="K27" i="48"/>
  <c r="Y27" i="48"/>
  <c r="N116" i="48"/>
  <c r="H96" i="48" s="1"/>
  <c r="I96" i="48" s="1"/>
  <c r="J96" i="48" s="1"/>
  <c r="K96" i="48" s="1"/>
  <c r="L96" i="48" s="1"/>
  <c r="N28" i="48"/>
  <c r="AB116" i="48"/>
  <c r="AC116" i="48" s="1"/>
  <c r="AD116" i="48" s="1"/>
  <c r="AE116" i="48" s="1"/>
  <c r="AF116" i="48" s="1"/>
  <c r="AG116" i="48" s="1"/>
  <c r="AH116" i="48" s="1"/>
  <c r="AI116" i="48" s="1"/>
  <c r="AJ116" i="48" s="1"/>
  <c r="AB28" i="48"/>
  <c r="AD132" i="48"/>
  <c r="AC24" i="48"/>
  <c r="S85" i="75"/>
  <c r="T85" i="75"/>
  <c r="U26" i="48"/>
  <c r="Z114" i="48"/>
  <c r="F130" i="48"/>
  <c r="F19" i="48"/>
  <c r="F26" i="48" s="1"/>
  <c r="T19" i="48"/>
  <c r="T26" i="48" s="1"/>
  <c r="U85" i="75"/>
  <c r="Y9" i="48"/>
  <c r="V85" i="75"/>
  <c r="N27" i="48"/>
  <c r="V130" i="48"/>
  <c r="Q132" i="48"/>
  <c r="Q19" i="48"/>
  <c r="L52" i="78"/>
  <c r="AB9" i="48"/>
  <c r="O9" i="48"/>
  <c r="O27" i="48"/>
  <c r="L87" i="75"/>
  <c r="I65" i="48"/>
  <c r="I72" i="48" s="1"/>
  <c r="J32" i="48"/>
  <c r="U19" i="48"/>
  <c r="I28" i="75"/>
  <c r="K87" i="75"/>
  <c r="M87" i="75"/>
  <c r="K19" i="48"/>
  <c r="Y19" i="48"/>
  <c r="Z126" i="48"/>
  <c r="Z116" i="48" s="1"/>
  <c r="J85" i="75"/>
  <c r="M36" i="78"/>
  <c r="N36" i="78" s="1"/>
  <c r="L36" i="78"/>
  <c r="R114" i="48"/>
  <c r="R9" i="48"/>
  <c r="R26" i="48" s="1"/>
  <c r="R27" i="48"/>
  <c r="G28" i="48"/>
  <c r="U116" i="48"/>
  <c r="U28" i="48"/>
  <c r="L121" i="48"/>
  <c r="L130" i="48" s="1"/>
  <c r="L140" i="48"/>
  <c r="M140" i="48"/>
  <c r="L126" i="48"/>
  <c r="Q121" i="48"/>
  <c r="Q130" i="48" s="1"/>
  <c r="Q141" i="48"/>
  <c r="H121" i="48"/>
  <c r="H130" i="48" s="1"/>
  <c r="H142" i="48"/>
  <c r="O85" i="75"/>
  <c r="T87" i="75"/>
  <c r="K9" i="48"/>
  <c r="G27" i="48"/>
  <c r="U27" i="48"/>
  <c r="R141" i="48"/>
  <c r="M146" i="48"/>
  <c r="N146" i="48"/>
  <c r="M118" i="48"/>
  <c r="H98" i="48" s="1"/>
  <c r="R38" i="38"/>
  <c r="AN16" i="70"/>
  <c r="AN25" i="70" s="1"/>
  <c r="AN51" i="70"/>
  <c r="L99" i="75"/>
  <c r="J27" i="48"/>
  <c r="J9" i="48"/>
  <c r="X27" i="48"/>
  <c r="X114" i="48"/>
  <c r="X9" i="48"/>
  <c r="G19" i="48"/>
  <c r="G26" i="48" s="1"/>
  <c r="F96" i="48"/>
  <c r="P126" i="48"/>
  <c r="P131" i="48" s="1"/>
  <c r="P121" i="48"/>
  <c r="P139" i="48" s="1"/>
  <c r="Q140" i="48"/>
  <c r="P140" i="48"/>
  <c r="G141" i="48"/>
  <c r="G121" i="48"/>
  <c r="G139" i="48" s="1"/>
  <c r="I9" i="48"/>
  <c r="I26" i="48" s="1"/>
  <c r="W9" i="48"/>
  <c r="W26" i="48" s="1"/>
  <c r="P19" i="48"/>
  <c r="H28" i="48"/>
  <c r="V28" i="48"/>
  <c r="N114" i="48"/>
  <c r="H95" i="48" s="1"/>
  <c r="I95" i="48" s="1"/>
  <c r="J95" i="48" s="1"/>
  <c r="K95" i="48" s="1"/>
  <c r="L95" i="48" s="1"/>
  <c r="T121" i="48"/>
  <c r="T130" i="48" s="1"/>
  <c r="K143" i="48"/>
  <c r="M145" i="48"/>
  <c r="X130" i="48"/>
  <c r="I28" i="48"/>
  <c r="W28" i="48"/>
  <c r="G34" i="48"/>
  <c r="G67" i="48" s="1"/>
  <c r="G74" i="48" s="1"/>
  <c r="L89" i="48"/>
  <c r="Z130" i="48"/>
  <c r="AB27" i="48"/>
  <c r="I34" i="48"/>
  <c r="H141" i="48"/>
  <c r="M142" i="48"/>
  <c r="R143" i="48"/>
  <c r="I145" i="48"/>
  <c r="R145" i="48"/>
  <c r="M9" i="48"/>
  <c r="M26" i="48" s="1"/>
  <c r="AA9" i="48"/>
  <c r="AA26" i="48" s="1"/>
  <c r="L28" i="48"/>
  <c r="Z28" i="48"/>
  <c r="M63" i="48"/>
  <c r="Y121" i="48"/>
  <c r="Y130" i="48" s="1"/>
  <c r="J145" i="48"/>
  <c r="H146" i="48"/>
  <c r="N11" i="38"/>
  <c r="J69" i="38"/>
  <c r="K66" i="38"/>
  <c r="AA28" i="48"/>
  <c r="S121" i="48"/>
  <c r="S114" i="48" s="1"/>
  <c r="S140" i="48"/>
  <c r="O126" i="48"/>
  <c r="O116" i="48" s="1"/>
  <c r="AG51" i="70"/>
  <c r="AG16" i="70"/>
  <c r="AG25" i="70" s="1"/>
  <c r="G4" i="71" s="1"/>
  <c r="S25" i="38"/>
  <c r="M24" i="38"/>
  <c r="AI16" i="70"/>
  <c r="AI25" i="70" s="1"/>
  <c r="I4" i="71" s="1"/>
  <c r="AI51" i="70"/>
  <c r="AD18" i="70"/>
  <c r="AD26" i="70" s="1"/>
  <c r="D5" i="71" s="1"/>
  <c r="AD52" i="70"/>
  <c r="AD20" i="70" s="1"/>
  <c r="AD27" i="70" s="1"/>
  <c r="D6" i="71" s="1"/>
  <c r="G140" i="48"/>
  <c r="L141" i="48"/>
  <c r="Q142" i="48"/>
  <c r="H143" i="48"/>
  <c r="R144" i="48"/>
  <c r="S146" i="48"/>
  <c r="R146" i="48"/>
  <c r="AJ52" i="70"/>
  <c r="AJ20" i="70" s="1"/>
  <c r="AJ27" i="70" s="1"/>
  <c r="J6" i="71" s="1"/>
  <c r="AJ18" i="70"/>
  <c r="AJ26" i="70" s="1"/>
  <c r="J5" i="71" s="1"/>
  <c r="AL52" i="70"/>
  <c r="AL20" i="70" s="1"/>
  <c r="AL27" i="70" s="1"/>
  <c r="AL18" i="70"/>
  <c r="AL26" i="70" s="1"/>
  <c r="AE51" i="70"/>
  <c r="AE16" i="70"/>
  <c r="AE25" i="70" s="1"/>
  <c r="E4" i="71" s="1"/>
  <c r="L37" i="78"/>
  <c r="Q9" i="48"/>
  <c r="J19" i="48"/>
  <c r="X19" i="48"/>
  <c r="S27" i="48"/>
  <c r="P28" i="48"/>
  <c r="G33" i="48"/>
  <c r="G66" i="48" s="1"/>
  <c r="G73" i="48" s="1"/>
  <c r="G96" i="48" s="1"/>
  <c r="S144" i="48"/>
  <c r="AK49" i="70"/>
  <c r="P41" i="38"/>
  <c r="R41" i="38" s="1"/>
  <c r="T42" i="38"/>
  <c r="V114" i="48"/>
  <c r="Q28" i="48"/>
  <c r="H35" i="48"/>
  <c r="I126" i="48"/>
  <c r="I131" i="48" s="1"/>
  <c r="I121" i="48"/>
  <c r="W126" i="48"/>
  <c r="W131" i="48" s="1"/>
  <c r="W121" i="48"/>
  <c r="W130" i="48" s="1"/>
  <c r="N13" i="38"/>
  <c r="P16" i="40"/>
  <c r="S9" i="48"/>
  <c r="M133" i="48"/>
  <c r="AA133" i="48"/>
  <c r="AB133" i="48" s="1"/>
  <c r="R28" i="48"/>
  <c r="I35" i="48"/>
  <c r="K121" i="48"/>
  <c r="K139" i="48" s="1"/>
  <c r="O141" i="48"/>
  <c r="AJ46" i="70"/>
  <c r="AI46" i="70"/>
  <c r="AH18" i="70"/>
  <c r="AH26" i="70" s="1"/>
  <c r="H5" i="71" s="1"/>
  <c r="AH52" i="70"/>
  <c r="AH20" i="70" s="1"/>
  <c r="AH27" i="70" s="1"/>
  <c r="H6" i="71" s="1"/>
  <c r="Y126" i="48"/>
  <c r="Y116" i="48" s="1"/>
  <c r="N14" i="38"/>
  <c r="Q28" i="38"/>
  <c r="P28" i="38"/>
  <c r="Q44" i="38"/>
  <c r="K15" i="40"/>
  <c r="K17" i="40"/>
  <c r="S29" i="38"/>
  <c r="O28" i="38"/>
  <c r="Q45" i="38"/>
  <c r="H9" i="48"/>
  <c r="V9" i="48"/>
  <c r="V26" i="48" s="1"/>
  <c r="H118" i="48"/>
  <c r="V118" i="48"/>
  <c r="O19" i="48"/>
  <c r="H131" i="48"/>
  <c r="R139" i="48"/>
  <c r="M121" i="48"/>
  <c r="M130" i="48" s="1"/>
  <c r="M126" i="48"/>
  <c r="AA121" i="48"/>
  <c r="AA130" i="48" s="1"/>
  <c r="AA126" i="48"/>
  <c r="AA131" i="48" s="1"/>
  <c r="I142" i="48"/>
  <c r="O143" i="48"/>
  <c r="N143" i="48"/>
  <c r="K145" i="48"/>
  <c r="P48" i="38"/>
  <c r="F16" i="5"/>
  <c r="C5" i="21"/>
  <c r="O27" i="38"/>
  <c r="Q27" i="38" s="1"/>
  <c r="Q43" i="38"/>
  <c r="K16" i="40"/>
  <c r="N17" i="40"/>
  <c r="N14" i="40"/>
  <c r="D16" i="5"/>
  <c r="U38" i="21"/>
  <c r="T38" i="21"/>
  <c r="S38" i="21"/>
  <c r="R38" i="21"/>
  <c r="Q38" i="21"/>
  <c r="P38" i="21"/>
  <c r="O38" i="21"/>
  <c r="N38" i="21"/>
  <c r="M38" i="21"/>
  <c r="V38" i="21"/>
  <c r="N24" i="38"/>
  <c r="O24" i="38" s="1"/>
  <c r="P27" i="38"/>
  <c r="P35" i="38"/>
  <c r="P38" i="38"/>
  <c r="L16" i="40"/>
  <c r="O14" i="40"/>
  <c r="O16" i="40" s="1"/>
  <c r="M16" i="5"/>
  <c r="M14" i="40"/>
  <c r="M15" i="40" s="1"/>
  <c r="P14" i="40"/>
  <c r="P17" i="40" s="1"/>
  <c r="C21" i="21"/>
  <c r="M39" i="30" s="1"/>
  <c r="T4" i="21"/>
  <c r="AD25" i="59" s="1"/>
  <c r="AD30" i="59" s="1"/>
  <c r="S4" i="21"/>
  <c r="R4" i="21"/>
  <c r="U4" i="21"/>
  <c r="AE25" i="59" s="1"/>
  <c r="AE30" i="59" s="1"/>
  <c r="K70" i="38"/>
  <c r="K34" i="21"/>
  <c r="J34" i="21"/>
  <c r="I34" i="21"/>
  <c r="V34" i="21"/>
  <c r="U34" i="21"/>
  <c r="T34" i="21"/>
  <c r="S34" i="21"/>
  <c r="R34" i="21"/>
  <c r="Q34" i="21"/>
  <c r="P34" i="21"/>
  <c r="O34" i="21"/>
  <c r="N34" i="21"/>
  <c r="M34" i="21"/>
  <c r="L34" i="21"/>
  <c r="U5" i="21"/>
  <c r="AE24" i="59" s="1"/>
  <c r="F15" i="35" s="1"/>
  <c r="T5" i="21"/>
  <c r="AD24" i="59" s="1"/>
  <c r="S5" i="21"/>
  <c r="R5" i="21"/>
  <c r="AM51" i="70"/>
  <c r="S15" i="38"/>
  <c r="C78" i="21"/>
  <c r="E3" i="21"/>
  <c r="W3" i="21" s="1"/>
  <c r="D77" i="21"/>
  <c r="T6" i="21"/>
  <c r="AD45" i="30" s="1"/>
  <c r="E7" i="35" s="1"/>
  <c r="F9" i="55" s="1"/>
  <c r="S6" i="21"/>
  <c r="AC45" i="30" s="1"/>
  <c r="D7" i="35" s="1"/>
  <c r="E9" i="55" s="1"/>
  <c r="R6" i="21"/>
  <c r="U6" i="21"/>
  <c r="AE45" i="30" s="1"/>
  <c r="F7" i="35" s="1"/>
  <c r="G9" i="55" s="1"/>
  <c r="L13" i="38"/>
  <c r="O48" i="38"/>
  <c r="Q16" i="40"/>
  <c r="T14" i="40"/>
  <c r="T15" i="40" s="1"/>
  <c r="U7" i="21"/>
  <c r="T7" i="21"/>
  <c r="S7" i="21"/>
  <c r="R7" i="21"/>
  <c r="L35" i="21"/>
  <c r="Q4" i="21"/>
  <c r="P4" i="21"/>
  <c r="O4" i="21"/>
  <c r="F74" i="21" s="1"/>
  <c r="AC51" i="70"/>
  <c r="S16" i="40"/>
  <c r="S17" i="40"/>
  <c r="F7" i="5"/>
  <c r="Q5" i="21"/>
  <c r="P5" i="21"/>
  <c r="O5" i="21"/>
  <c r="N5" i="21"/>
  <c r="Q15" i="40"/>
  <c r="T16" i="40"/>
  <c r="Q14" i="40"/>
  <c r="Q17" i="40" s="1"/>
  <c r="E13" i="21"/>
  <c r="E14" i="21" s="1"/>
  <c r="D13" i="21"/>
  <c r="D14" i="21" s="1"/>
  <c r="C13" i="21"/>
  <c r="H16" i="5"/>
  <c r="J3" i="21"/>
  <c r="N23" i="38"/>
  <c r="O23" i="38" s="1"/>
  <c r="Q42" i="38"/>
  <c r="L56" i="38"/>
  <c r="J16" i="40"/>
  <c r="E6" i="5"/>
  <c r="B16" i="5"/>
  <c r="K3" i="21"/>
  <c r="M14" i="38"/>
  <c r="N26" i="38"/>
  <c r="I65" i="38"/>
  <c r="M56" i="38"/>
  <c r="C16" i="5"/>
  <c r="L3" i="21"/>
  <c r="J65" i="38"/>
  <c r="J70" i="38" s="1"/>
  <c r="N56" i="38"/>
  <c r="M48" i="21"/>
  <c r="L48" i="21"/>
  <c r="H8" i="21"/>
  <c r="W8" i="21" s="1"/>
  <c r="K48" i="21"/>
  <c r="J48" i="21"/>
  <c r="I48" i="21"/>
  <c r="V48" i="21"/>
  <c r="H48" i="21"/>
  <c r="U48" i="21"/>
  <c r="G48" i="21"/>
  <c r="G47" i="21" s="1"/>
  <c r="F48" i="21"/>
  <c r="F47" i="21" s="1"/>
  <c r="P83" i="26" s="1"/>
  <c r="E48" i="21"/>
  <c r="E47" i="21" s="1"/>
  <c r="O83" i="26" s="1"/>
  <c r="R48" i="21"/>
  <c r="D48" i="21"/>
  <c r="D47" i="21" s="1"/>
  <c r="N83" i="26" s="1"/>
  <c r="Q48" i="21"/>
  <c r="P48" i="21"/>
  <c r="O48" i="21"/>
  <c r="N48" i="21"/>
  <c r="V41" i="21"/>
  <c r="U41" i="21"/>
  <c r="T41" i="21"/>
  <c r="S41" i="21"/>
  <c r="R41" i="21"/>
  <c r="Q41" i="21"/>
  <c r="P41" i="21"/>
  <c r="M3" i="21"/>
  <c r="G6" i="21"/>
  <c r="G18" i="21" s="1"/>
  <c r="N7" i="21"/>
  <c r="C9" i="21"/>
  <c r="Q9" i="21"/>
  <c r="J10" i="21"/>
  <c r="J12" i="21"/>
  <c r="Q13" i="21"/>
  <c r="Q14" i="21" s="1"/>
  <c r="M19" i="21"/>
  <c r="W37" i="30" s="1"/>
  <c r="W20" i="30" s="1"/>
  <c r="W13" i="30" s="1"/>
  <c r="W12" i="30" s="1"/>
  <c r="M35" i="21"/>
  <c r="H6" i="21"/>
  <c r="H24" i="21" s="1"/>
  <c r="O7" i="21"/>
  <c r="D9" i="21"/>
  <c r="R9" i="21"/>
  <c r="K10" i="21"/>
  <c r="U37" i="26" s="1"/>
  <c r="U17" i="26" s="1"/>
  <c r="D11" i="21"/>
  <c r="K12" i="21"/>
  <c r="R13" i="21"/>
  <c r="L23" i="21"/>
  <c r="V41" i="30" s="1"/>
  <c r="V24" i="30" s="1"/>
  <c r="N35" i="21"/>
  <c r="V50" i="21"/>
  <c r="K56" i="38"/>
  <c r="L66" i="38"/>
  <c r="L71" i="38" s="1"/>
  <c r="E1" i="21"/>
  <c r="I6" i="21"/>
  <c r="I20" i="21" s="1"/>
  <c r="S38" i="30" s="1"/>
  <c r="P7" i="21"/>
  <c r="S9" i="21"/>
  <c r="L10" i="21"/>
  <c r="V37" i="26" s="1"/>
  <c r="V17" i="26" s="1"/>
  <c r="L12" i="21"/>
  <c r="S13" i="21"/>
  <c r="S14" i="21" s="1"/>
  <c r="L18" i="21"/>
  <c r="C20" i="21"/>
  <c r="M38" i="30" s="1"/>
  <c r="M23" i="21"/>
  <c r="W41" i="30" s="1"/>
  <c r="W24" i="30" s="1"/>
  <c r="L24" i="21"/>
  <c r="O35" i="21"/>
  <c r="J4" i="21"/>
  <c r="J6" i="21"/>
  <c r="F9" i="21"/>
  <c r="T9" i="21"/>
  <c r="AD35" i="26" s="1"/>
  <c r="F13" i="21"/>
  <c r="T13" i="21"/>
  <c r="T14" i="21" s="1"/>
  <c r="M18" i="21"/>
  <c r="N23" i="21"/>
  <c r="X41" i="30" s="1"/>
  <c r="X24" i="30" s="1"/>
  <c r="X13" i="30" s="1"/>
  <c r="X12" i="30" s="1"/>
  <c r="M24" i="21"/>
  <c r="P35" i="21"/>
  <c r="K4" i="21"/>
  <c r="D5" i="21"/>
  <c r="K6" i="21"/>
  <c r="K19" i="21" s="1"/>
  <c r="U37" i="30" s="1"/>
  <c r="D7" i="21"/>
  <c r="G9" i="21"/>
  <c r="N10" i="21"/>
  <c r="N12" i="21"/>
  <c r="G13" i="21"/>
  <c r="G14" i="21" s="1"/>
  <c r="U13" i="21"/>
  <c r="U14" i="21" s="1"/>
  <c r="U15" i="21" s="1"/>
  <c r="C19" i="21"/>
  <c r="M37" i="30" s="1"/>
  <c r="N24" i="21"/>
  <c r="N25" i="21" s="1"/>
  <c r="X43" i="30" s="1"/>
  <c r="Q35" i="21"/>
  <c r="E79" i="21"/>
  <c r="J17" i="40"/>
  <c r="L6" i="21"/>
  <c r="L20" i="21" s="1"/>
  <c r="V38" i="30" s="1"/>
  <c r="H9" i="21"/>
  <c r="O12" i="21"/>
  <c r="H13" i="21"/>
  <c r="H14" i="21" s="1"/>
  <c r="V13" i="21"/>
  <c r="V14" i="21" s="1"/>
  <c r="V15" i="21" s="1"/>
  <c r="R35" i="21"/>
  <c r="F5" i="21"/>
  <c r="P12" i="21"/>
  <c r="C23" i="21"/>
  <c r="M41" i="30" s="1"/>
  <c r="Q23" i="21"/>
  <c r="S35" i="21"/>
  <c r="J13" i="21"/>
  <c r="C18" i="21"/>
  <c r="C24" i="21"/>
  <c r="M42" i="30" s="1"/>
  <c r="Q24" i="21"/>
  <c r="T35" i="21"/>
  <c r="I16" i="5"/>
  <c r="Q17" i="6"/>
  <c r="H5" i="21"/>
  <c r="O6" i="21"/>
  <c r="Y45" i="30" s="1"/>
  <c r="H7" i="21"/>
  <c r="K9" i="21"/>
  <c r="D10" i="21"/>
  <c r="N37" i="26" s="1"/>
  <c r="R10" i="21"/>
  <c r="D12" i="21"/>
  <c r="R12" i="21"/>
  <c r="K13" i="21"/>
  <c r="K14" i="21" s="1"/>
  <c r="D18" i="21"/>
  <c r="D24" i="21"/>
  <c r="N42" i="30" s="1"/>
  <c r="U35" i="21"/>
  <c r="R17" i="6"/>
  <c r="T48" i="21" s="1"/>
  <c r="P6" i="21"/>
  <c r="Z45" i="30" s="1"/>
  <c r="L9" i="21"/>
  <c r="S10" i="21"/>
  <c r="AC37" i="26" s="1"/>
  <c r="AC17" i="26" s="1"/>
  <c r="S12" i="21"/>
  <c r="L13" i="21"/>
  <c r="L14" i="21" s="1"/>
  <c r="F23" i="21"/>
  <c r="P41" i="30" s="1"/>
  <c r="P24" i="30" s="1"/>
  <c r="P15" i="30" s="1"/>
  <c r="V35" i="21"/>
  <c r="J7" i="21"/>
  <c r="E77" i="21" s="1"/>
  <c r="F10" i="21"/>
  <c r="T10" i="21"/>
  <c r="AD37" i="26" s="1"/>
  <c r="AD17" i="26" s="1"/>
  <c r="F12" i="21"/>
  <c r="T12" i="21"/>
  <c r="M13" i="21"/>
  <c r="M14" i="21" s="1"/>
  <c r="F24" i="21"/>
  <c r="D6" i="21"/>
  <c r="K7" i="21"/>
  <c r="N9" i="21"/>
  <c r="G10" i="21"/>
  <c r="Q37" i="26" s="1"/>
  <c r="Q17" i="26" s="1"/>
  <c r="G12" i="21"/>
  <c r="N13" i="21"/>
  <c r="J35" i="21"/>
  <c r="L7" i="21"/>
  <c r="O9" i="21"/>
  <c r="H10" i="21"/>
  <c r="R37" i="26" s="1"/>
  <c r="R17" i="26" s="1"/>
  <c r="H12" i="21"/>
  <c r="O13" i="21"/>
  <c r="O14" i="21" s="1"/>
  <c r="M20" i="21"/>
  <c r="W38" i="30" s="1"/>
  <c r="K35" i="21"/>
  <c r="F6" i="21"/>
  <c r="F20" i="21" s="1"/>
  <c r="P38" i="30" s="1"/>
  <c r="AG30" i="80" l="1"/>
  <c r="AH30" i="80" s="1"/>
  <c r="K82" i="55"/>
  <c r="I82" i="55"/>
  <c r="F66" i="59"/>
  <c r="F31" i="59" s="1"/>
  <c r="J81" i="55"/>
  <c r="R40" i="59"/>
  <c r="H66" i="59"/>
  <c r="H31" i="59" s="1"/>
  <c r="N63" i="59"/>
  <c r="F40" i="59"/>
  <c r="H82" i="55"/>
  <c r="G17" i="55"/>
  <c r="G113" i="55" s="1"/>
  <c r="G17" i="83"/>
  <c r="N40" i="59"/>
  <c r="H62" i="59"/>
  <c r="H65" i="59" s="1"/>
  <c r="H74" i="59" s="1"/>
  <c r="H29" i="59" s="1"/>
  <c r="H114" i="83"/>
  <c r="H82" i="83"/>
  <c r="AE131" i="48"/>
  <c r="AF131" i="48" s="1"/>
  <c r="AG131" i="48" s="1"/>
  <c r="AH131" i="48" s="1"/>
  <c r="AD23" i="48"/>
  <c r="AC23" i="48"/>
  <c r="I38" i="48"/>
  <c r="J33" i="48"/>
  <c r="Q26" i="48"/>
  <c r="P26" i="48"/>
  <c r="J130" i="48"/>
  <c r="U114" i="48"/>
  <c r="P114" i="48"/>
  <c r="O114" i="48"/>
  <c r="Y114" i="48"/>
  <c r="O130" i="48"/>
  <c r="S26" i="48"/>
  <c r="I97" i="48"/>
  <c r="H114" i="48"/>
  <c r="L144" i="48"/>
  <c r="Q144" i="48"/>
  <c r="M139" i="48"/>
  <c r="H38" i="48"/>
  <c r="K131" i="48"/>
  <c r="Z131" i="48"/>
  <c r="I139" i="48"/>
  <c r="AE23" i="48"/>
  <c r="L131" i="48"/>
  <c r="K26" i="48"/>
  <c r="D22" i="55"/>
  <c r="D22" i="83"/>
  <c r="J26" i="48"/>
  <c r="H26" i="48"/>
  <c r="J139" i="48"/>
  <c r="L116" i="48"/>
  <c r="I130" i="48"/>
  <c r="G130" i="48"/>
  <c r="AG12" i="70"/>
  <c r="AG23" i="70" s="1"/>
  <c r="G2" i="71" s="1"/>
  <c r="I28" i="55"/>
  <c r="AD11" i="20"/>
  <c r="E70" i="55"/>
  <c r="U20" i="30"/>
  <c r="AD74" i="30"/>
  <c r="M98" i="75"/>
  <c r="M27" i="75"/>
  <c r="M26" i="75" s="1"/>
  <c r="M29" i="75" s="1"/>
  <c r="L27" i="75"/>
  <c r="L26" i="75" s="1"/>
  <c r="L29" i="75" s="1"/>
  <c r="L98" i="75"/>
  <c r="L97" i="75" s="1"/>
  <c r="L100" i="75" s="1"/>
  <c r="E2" i="50"/>
  <c r="L50" i="20"/>
  <c r="L51" i="20" s="1"/>
  <c r="G98" i="75"/>
  <c r="G97" i="75" s="1"/>
  <c r="G100" i="75" s="1"/>
  <c r="G27" i="75"/>
  <c r="G26" i="75" s="1"/>
  <c r="G29" i="75" s="1"/>
  <c r="G101" i="75"/>
  <c r="G39" i="75" s="1"/>
  <c r="Q36" i="30"/>
  <c r="D98" i="75"/>
  <c r="D97" i="75" s="1"/>
  <c r="D100" i="75" s="1"/>
  <c r="D101" i="75"/>
  <c r="D39" i="75" s="1"/>
  <c r="D27" i="75"/>
  <c r="D26" i="75" s="1"/>
  <c r="D29" i="75" s="1"/>
  <c r="I98" i="75"/>
  <c r="I97" i="75" s="1"/>
  <c r="I100" i="75" s="1"/>
  <c r="I109" i="75" s="1"/>
  <c r="I37" i="75" s="1"/>
  <c r="I27" i="75"/>
  <c r="I26" i="75" s="1"/>
  <c r="I29" i="75" s="1"/>
  <c r="I101" i="75"/>
  <c r="H98" i="75"/>
  <c r="H97" i="75" s="1"/>
  <c r="H100" i="75" s="1"/>
  <c r="H27" i="75"/>
  <c r="H26" i="75" s="1"/>
  <c r="H29" i="75" s="1"/>
  <c r="H101" i="75"/>
  <c r="Y105" i="75"/>
  <c r="Y104" i="75"/>
  <c r="Y106" i="75" s="1"/>
  <c r="F75" i="21"/>
  <c r="X32" i="75"/>
  <c r="X24" i="59"/>
  <c r="R40" i="21"/>
  <c r="Q40" i="21"/>
  <c r="P40" i="21"/>
  <c r="O40" i="21"/>
  <c r="V40" i="21"/>
  <c r="U40" i="21"/>
  <c r="T40" i="21"/>
  <c r="S40" i="21"/>
  <c r="Y35" i="26"/>
  <c r="K24" i="21"/>
  <c r="O23" i="21"/>
  <c r="G82" i="21"/>
  <c r="F16" i="35"/>
  <c r="H68" i="48"/>
  <c r="H75" i="48" s="1"/>
  <c r="H40" i="48"/>
  <c r="AA114" i="48"/>
  <c r="S34" i="75"/>
  <c r="S24" i="75"/>
  <c r="I18" i="21"/>
  <c r="G24" i="21"/>
  <c r="I19" i="21"/>
  <c r="S37" i="30" s="1"/>
  <c r="L15" i="21"/>
  <c r="V36" i="26"/>
  <c r="F19" i="21"/>
  <c r="P37" i="30" s="1"/>
  <c r="S15" i="21"/>
  <c r="AC36" i="26"/>
  <c r="G83" i="21"/>
  <c r="R14" i="21"/>
  <c r="E82" i="21"/>
  <c r="D15" i="21"/>
  <c r="N36" i="26"/>
  <c r="P15" i="40"/>
  <c r="G74" i="21"/>
  <c r="AB33" i="75"/>
  <c r="AB38" i="75" s="1"/>
  <c r="AB23" i="75"/>
  <c r="AB25" i="59"/>
  <c r="AB30" i="59" s="1"/>
  <c r="I24" i="21"/>
  <c r="N139" i="48"/>
  <c r="AG23" i="48"/>
  <c r="AG18" i="70"/>
  <c r="AG26" i="70" s="1"/>
  <c r="G5" i="71" s="1"/>
  <c r="AG52" i="70"/>
  <c r="AG20" i="70" s="1"/>
  <c r="AG27" i="70" s="1"/>
  <c r="G6" i="71" s="1"/>
  <c r="P116" i="48"/>
  <c r="T114" i="48"/>
  <c r="AN18" i="70"/>
  <c r="AN26" i="70" s="1"/>
  <c r="AN52" i="70"/>
  <c r="AN20" i="70" s="1"/>
  <c r="AN27" i="70" s="1"/>
  <c r="M114" i="48"/>
  <c r="S40" i="59"/>
  <c r="O48" i="75"/>
  <c r="N24" i="75"/>
  <c r="N28" i="75" s="1"/>
  <c r="N34" i="75"/>
  <c r="AD12" i="30"/>
  <c r="AC11" i="30"/>
  <c r="AC46" i="30" s="1"/>
  <c r="D6" i="35" s="1"/>
  <c r="E8" i="55" s="1"/>
  <c r="P45" i="75"/>
  <c r="P46" i="75" s="1"/>
  <c r="P48" i="75" s="1"/>
  <c r="P37" i="59"/>
  <c r="P38" i="59" s="1"/>
  <c r="P40" i="59" s="1"/>
  <c r="AB30" i="49"/>
  <c r="E66" i="59"/>
  <c r="E31" i="59" s="1"/>
  <c r="E63" i="59"/>
  <c r="E62" i="59" s="1"/>
  <c r="E65" i="59" s="1"/>
  <c r="J73" i="26"/>
  <c r="J50" i="20" s="1"/>
  <c r="AD28" i="20"/>
  <c r="D5" i="35"/>
  <c r="E7" i="55" s="1"/>
  <c r="AJ49" i="20"/>
  <c r="K3" i="35"/>
  <c r="L5" i="55" s="1"/>
  <c r="F27" i="75"/>
  <c r="F26" i="75" s="1"/>
  <c r="F29" i="75" s="1"/>
  <c r="F98" i="75"/>
  <c r="F97" i="75" s="1"/>
  <c r="F100" i="75" s="1"/>
  <c r="F109" i="75" s="1"/>
  <c r="F37" i="75" s="1"/>
  <c r="D14" i="59"/>
  <c r="J21" i="21"/>
  <c r="E76" i="21"/>
  <c r="T45" i="30"/>
  <c r="P23" i="21"/>
  <c r="C83" i="21"/>
  <c r="C14" i="21"/>
  <c r="W13" i="21"/>
  <c r="D76" i="21"/>
  <c r="F21" i="21"/>
  <c r="P45" i="30"/>
  <c r="H23" i="21"/>
  <c r="R41" i="30" s="1"/>
  <c r="R24" i="30" s="1"/>
  <c r="F18" i="21"/>
  <c r="G80" i="21"/>
  <c r="AB37" i="26"/>
  <c r="AB17" i="26" s="1"/>
  <c r="C25" i="21"/>
  <c r="M43" i="30" s="1"/>
  <c r="M36" i="30"/>
  <c r="D19" i="21"/>
  <c r="N37" i="30" s="1"/>
  <c r="D20" i="21"/>
  <c r="N38" i="30" s="1"/>
  <c r="E80" i="21"/>
  <c r="T37" i="26"/>
  <c r="T17" i="26" s="1"/>
  <c r="E15" i="21"/>
  <c r="O36" i="26"/>
  <c r="AC23" i="75"/>
  <c r="AC33" i="75"/>
  <c r="AC38" i="75" s="1"/>
  <c r="AC25" i="59"/>
  <c r="AC30" i="59" s="1"/>
  <c r="G97" i="48"/>
  <c r="W114" i="48"/>
  <c r="AF23" i="48"/>
  <c r="O144" i="48"/>
  <c r="O131" i="48"/>
  <c r="Y26" i="48"/>
  <c r="AD24" i="48"/>
  <c r="AE132" i="48"/>
  <c r="P130" i="48"/>
  <c r="F41" i="75"/>
  <c r="O40" i="59"/>
  <c r="K45" i="75"/>
  <c r="K46" i="75" s="1"/>
  <c r="K37" i="59"/>
  <c r="K38" i="59" s="1"/>
  <c r="E27" i="75"/>
  <c r="E26" i="75" s="1"/>
  <c r="E29" i="75" s="1"/>
  <c r="E98" i="75"/>
  <c r="E97" i="75" s="1"/>
  <c r="E100" i="75" s="1"/>
  <c r="E109" i="75" s="1"/>
  <c r="E37" i="75" s="1"/>
  <c r="E41" i="75" s="1"/>
  <c r="F62" i="59"/>
  <c r="F65" i="59" s="1"/>
  <c r="F74" i="59" s="1"/>
  <c r="F29" i="59" s="1"/>
  <c r="F33" i="59" s="1"/>
  <c r="L14" i="59"/>
  <c r="L63" i="59" s="1"/>
  <c r="L62" i="59" s="1"/>
  <c r="L65" i="59" s="1"/>
  <c r="O15" i="21"/>
  <c r="Y36" i="26"/>
  <c r="E74" i="21"/>
  <c r="T23" i="75"/>
  <c r="T25" i="59"/>
  <c r="T33" i="75"/>
  <c r="Z24" i="59"/>
  <c r="Z32" i="75"/>
  <c r="J18" i="21"/>
  <c r="AC133" i="48"/>
  <c r="AB25" i="48"/>
  <c r="C22" i="35" s="1"/>
  <c r="O34" i="75"/>
  <c r="O24" i="75"/>
  <c r="K20" i="21"/>
  <c r="U38" i="30" s="1"/>
  <c r="AD75" i="30" s="1"/>
  <c r="H20" i="21"/>
  <c r="R38" i="30" s="1"/>
  <c r="V36" i="30"/>
  <c r="K18" i="21"/>
  <c r="Q15" i="21"/>
  <c r="AA36" i="26"/>
  <c r="I70" i="38"/>
  <c r="I66" i="38"/>
  <c r="M15" i="21"/>
  <c r="W36" i="26"/>
  <c r="W33" i="26" s="1"/>
  <c r="N17" i="26"/>
  <c r="E83" i="21"/>
  <c r="J14" i="21"/>
  <c r="G15" i="21"/>
  <c r="Q36" i="26"/>
  <c r="M25" i="21"/>
  <c r="W36" i="30"/>
  <c r="S42" i="21"/>
  <c r="R42" i="21"/>
  <c r="Q42" i="21"/>
  <c r="V42" i="21"/>
  <c r="U42" i="21"/>
  <c r="T42" i="21"/>
  <c r="AA35" i="26"/>
  <c r="AC18" i="70"/>
  <c r="AC26" i="70" s="1"/>
  <c r="C5" i="71" s="1"/>
  <c r="AC52" i="70"/>
  <c r="E31" i="55"/>
  <c r="T17" i="40"/>
  <c r="S16" i="38"/>
  <c r="L15" i="38"/>
  <c r="N15" i="38" s="1"/>
  <c r="E16" i="35"/>
  <c r="N16" i="40"/>
  <c r="N15" i="40"/>
  <c r="I67" i="48"/>
  <c r="I74" i="48" s="1"/>
  <c r="J34" i="48"/>
  <c r="I39" i="48"/>
  <c r="P144" i="48"/>
  <c r="H139" i="48"/>
  <c r="J65" i="48"/>
  <c r="J72" i="48" s="1"/>
  <c r="K32" i="48"/>
  <c r="J36" i="48"/>
  <c r="U34" i="75"/>
  <c r="U24" i="75"/>
  <c r="Y131" i="48"/>
  <c r="J97" i="48"/>
  <c r="K97" i="48" s="1"/>
  <c r="L97" i="48" s="1"/>
  <c r="R48" i="75"/>
  <c r="K29" i="49"/>
  <c r="K30" i="49" s="1"/>
  <c r="K50" i="20"/>
  <c r="K51" i="20" s="1"/>
  <c r="D2" i="50"/>
  <c r="AO31" i="26"/>
  <c r="J51" i="20"/>
  <c r="V21" i="25"/>
  <c r="U20" i="25"/>
  <c r="U14" i="75" s="1"/>
  <c r="H18" i="21"/>
  <c r="T50" i="21"/>
  <c r="T47" i="21" s="1"/>
  <c r="AD83" i="26" s="1"/>
  <c r="V17" i="6"/>
  <c r="T51" i="21"/>
  <c r="G20" i="21"/>
  <c r="Q38" i="30" s="1"/>
  <c r="E73" i="55"/>
  <c r="E105" i="55"/>
  <c r="N36" i="30"/>
  <c r="G23" i="21"/>
  <c r="Q41" i="30" s="1"/>
  <c r="Q24" i="30" s="1"/>
  <c r="H19" i="21"/>
  <c r="R37" i="30" s="1"/>
  <c r="K15" i="21"/>
  <c r="U36" i="26"/>
  <c r="D23" i="21"/>
  <c r="N41" i="30" s="1"/>
  <c r="O24" i="21"/>
  <c r="O17" i="40"/>
  <c r="J19" i="21"/>
  <c r="T37" i="30" s="1"/>
  <c r="Q37" i="21"/>
  <c r="P37" i="21"/>
  <c r="O37" i="21"/>
  <c r="N37" i="21"/>
  <c r="M37" i="21"/>
  <c r="L37" i="21"/>
  <c r="V37" i="21"/>
  <c r="U37" i="21"/>
  <c r="T37" i="21"/>
  <c r="S37" i="21"/>
  <c r="R37" i="21"/>
  <c r="V35" i="26"/>
  <c r="N36" i="21"/>
  <c r="M36" i="21"/>
  <c r="L36" i="21"/>
  <c r="K36" i="21"/>
  <c r="V36" i="21"/>
  <c r="U36" i="21"/>
  <c r="T36" i="21"/>
  <c r="S36" i="21"/>
  <c r="R36" i="21"/>
  <c r="Q36" i="21"/>
  <c r="P36" i="21"/>
  <c r="O36" i="21"/>
  <c r="U35" i="26"/>
  <c r="H15" i="21"/>
  <c r="R36" i="26"/>
  <c r="F82" i="21"/>
  <c r="T15" i="21"/>
  <c r="AD36" i="26"/>
  <c r="V44" i="21"/>
  <c r="U44" i="21"/>
  <c r="T44" i="21"/>
  <c r="S44" i="21"/>
  <c r="AC35" i="26"/>
  <c r="Y33" i="75"/>
  <c r="Y38" i="75" s="1"/>
  <c r="Y23" i="75"/>
  <c r="Y25" i="59"/>
  <c r="Y30" i="59" s="1"/>
  <c r="R5" i="50" s="1"/>
  <c r="AM52" i="70"/>
  <c r="AM20" i="70" s="1"/>
  <c r="AM27" i="70" s="1"/>
  <c r="AM18" i="70"/>
  <c r="AM26" i="70" s="1"/>
  <c r="S130" i="48"/>
  <c r="S139" i="48"/>
  <c r="J34" i="75"/>
  <c r="J99" i="75" s="1"/>
  <c r="J24" i="75"/>
  <c r="J28" i="75" s="1"/>
  <c r="AI131" i="48"/>
  <c r="AH23" i="48"/>
  <c r="I114" i="48"/>
  <c r="Q48" i="75"/>
  <c r="H39" i="48"/>
  <c r="H67" i="48"/>
  <c r="H74" i="48" s="1"/>
  <c r="Y49" i="20"/>
  <c r="R9" i="50"/>
  <c r="AE15" i="30"/>
  <c r="AE13" i="30"/>
  <c r="AF17" i="30"/>
  <c r="AC49" i="20"/>
  <c r="D3" i="35"/>
  <c r="E5" i="55" s="1"/>
  <c r="T98" i="75"/>
  <c r="Z49" i="20"/>
  <c r="S9" i="50"/>
  <c r="G14" i="59"/>
  <c r="F83" i="21"/>
  <c r="N14" i="21"/>
  <c r="Y46" i="30"/>
  <c r="R6" i="50"/>
  <c r="Q25" i="21"/>
  <c r="AA43" i="30" s="1"/>
  <c r="AA41" i="30"/>
  <c r="AA24" i="30" s="1"/>
  <c r="K33" i="21"/>
  <c r="J33" i="21"/>
  <c r="I33" i="21"/>
  <c r="V33" i="21"/>
  <c r="H33" i="21"/>
  <c r="U33" i="21"/>
  <c r="T33" i="21"/>
  <c r="S33" i="21"/>
  <c r="R33" i="21"/>
  <c r="Q33" i="21"/>
  <c r="P33" i="21"/>
  <c r="O33" i="21"/>
  <c r="N33" i="21"/>
  <c r="M33" i="21"/>
  <c r="L33" i="21"/>
  <c r="R35" i="26"/>
  <c r="R33" i="26" s="1"/>
  <c r="Q83" i="26"/>
  <c r="I23" i="21"/>
  <c r="S41" i="30" s="1"/>
  <c r="S24" i="30" s="1"/>
  <c r="D82" i="21"/>
  <c r="Z46" i="30"/>
  <c r="S6" i="50"/>
  <c r="P24" i="21"/>
  <c r="F80" i="21"/>
  <c r="X37" i="26"/>
  <c r="X17" i="26" s="1"/>
  <c r="F14" i="21"/>
  <c r="D83" i="21"/>
  <c r="V43" i="21"/>
  <c r="G79" i="21"/>
  <c r="U43" i="21"/>
  <c r="T43" i="21"/>
  <c r="S43" i="21"/>
  <c r="R43" i="21"/>
  <c r="AB35" i="26"/>
  <c r="F77" i="21"/>
  <c r="Q47" i="21"/>
  <c r="AA83" i="26" s="1"/>
  <c r="Q52" i="21"/>
  <c r="D78" i="21"/>
  <c r="P52" i="21"/>
  <c r="P47" i="21" s="1"/>
  <c r="Z83" i="26" s="1"/>
  <c r="O52" i="21"/>
  <c r="O47" i="21" s="1"/>
  <c r="Y83" i="26" s="1"/>
  <c r="N52" i="21"/>
  <c r="N47" i="21" s="1"/>
  <c r="X83" i="26" s="1"/>
  <c r="M52" i="21"/>
  <c r="L52" i="21"/>
  <c r="K52" i="21"/>
  <c r="K47" i="21" s="1"/>
  <c r="U83" i="26" s="1"/>
  <c r="J52" i="21"/>
  <c r="J47" i="21" s="1"/>
  <c r="T83" i="26" s="1"/>
  <c r="I52" i="21"/>
  <c r="I47" i="21" s="1"/>
  <c r="S83" i="26" s="1"/>
  <c r="V52" i="21"/>
  <c r="V47" i="21" s="1"/>
  <c r="AF83" i="26" s="1"/>
  <c r="AG83" i="26" s="1"/>
  <c r="AH83" i="26" s="1"/>
  <c r="AI83" i="26" s="1"/>
  <c r="AJ83" i="26" s="1"/>
  <c r="AK83" i="26" s="1"/>
  <c r="AL83" i="26" s="1"/>
  <c r="AM83" i="26" s="1"/>
  <c r="AN83" i="26" s="1"/>
  <c r="H52" i="21"/>
  <c r="H47" i="21" s="1"/>
  <c r="U52" i="21"/>
  <c r="T52" i="21"/>
  <c r="S52" i="21"/>
  <c r="R52" i="21"/>
  <c r="Z23" i="75"/>
  <c r="Z25" i="59"/>
  <c r="Z30" i="59" s="1"/>
  <c r="S5" i="50" s="1"/>
  <c r="Z33" i="75"/>
  <c r="Z38" i="75" s="1"/>
  <c r="F76" i="21"/>
  <c r="O29" i="38"/>
  <c r="Q29" i="38" s="1"/>
  <c r="S30" i="38"/>
  <c r="P42" i="38"/>
  <c r="T43" i="38"/>
  <c r="AE18" i="70"/>
  <c r="AE26" i="70" s="1"/>
  <c r="E5" i="71" s="1"/>
  <c r="AE52" i="70"/>
  <c r="AE20" i="70" s="1"/>
  <c r="AE27" i="70" s="1"/>
  <c r="E6" i="71" s="1"/>
  <c r="Q139" i="48"/>
  <c r="Q114" i="48"/>
  <c r="W15" i="30"/>
  <c r="M27" i="26"/>
  <c r="U29" i="21"/>
  <c r="G29" i="21"/>
  <c r="T29" i="21"/>
  <c r="F29" i="21"/>
  <c r="S29" i="21"/>
  <c r="E29" i="21"/>
  <c r="R29" i="21"/>
  <c r="D29" i="21"/>
  <c r="D28" i="21" s="1"/>
  <c r="Q29" i="21"/>
  <c r="P29" i="21"/>
  <c r="O29" i="21"/>
  <c r="N29" i="21"/>
  <c r="M29" i="21"/>
  <c r="L29" i="21"/>
  <c r="K29" i="21"/>
  <c r="J29" i="21"/>
  <c r="I29" i="21"/>
  <c r="V29" i="21"/>
  <c r="H29" i="21"/>
  <c r="N35" i="26"/>
  <c r="K71" i="38"/>
  <c r="K73" i="38"/>
  <c r="AA116" i="48"/>
  <c r="D20" i="49"/>
  <c r="AH49" i="20"/>
  <c r="I3" i="35"/>
  <c r="J5" i="55" s="1"/>
  <c r="H13" i="20"/>
  <c r="D77" i="55"/>
  <c r="D109" i="55"/>
  <c r="I20" i="49"/>
  <c r="I14" i="59"/>
  <c r="G21" i="21"/>
  <c r="Q45" i="30"/>
  <c r="L47" i="21"/>
  <c r="V83" i="26" s="1"/>
  <c r="F4" i="21"/>
  <c r="I4" i="21"/>
  <c r="H4" i="21"/>
  <c r="G4" i="21"/>
  <c r="AA33" i="75"/>
  <c r="AA38" i="75" s="1"/>
  <c r="AA25" i="59"/>
  <c r="AA30" i="59" s="1"/>
  <c r="T5" i="50" s="1"/>
  <c r="AA23" i="75"/>
  <c r="G75" i="21"/>
  <c r="AB32" i="75"/>
  <c r="AB24" i="59"/>
  <c r="M131" i="48"/>
  <c r="N144" i="48"/>
  <c r="M144" i="48"/>
  <c r="M116" i="48"/>
  <c r="D80" i="21"/>
  <c r="P37" i="26"/>
  <c r="P17" i="26" s="1"/>
  <c r="R32" i="75"/>
  <c r="R24" i="59"/>
  <c r="L21" i="21"/>
  <c r="V45" i="30"/>
  <c r="N31" i="21"/>
  <c r="M31" i="21"/>
  <c r="L31" i="21"/>
  <c r="K31" i="21"/>
  <c r="J31" i="21"/>
  <c r="I31" i="21"/>
  <c r="V31" i="21"/>
  <c r="H31" i="21"/>
  <c r="U31" i="21"/>
  <c r="G31" i="21"/>
  <c r="T31" i="21"/>
  <c r="F31" i="21"/>
  <c r="S31" i="21"/>
  <c r="D79" i="21"/>
  <c r="R31" i="21"/>
  <c r="Q31" i="21"/>
  <c r="P31" i="21"/>
  <c r="O31" i="21"/>
  <c r="P35" i="26"/>
  <c r="E4" i="21"/>
  <c r="E12" i="21"/>
  <c r="E10" i="21"/>
  <c r="O37" i="26" s="1"/>
  <c r="O17" i="26" s="1"/>
  <c r="E7" i="21"/>
  <c r="C77" i="21" s="1"/>
  <c r="E5" i="21"/>
  <c r="E11" i="21"/>
  <c r="E9" i="21"/>
  <c r="W9" i="21" s="1"/>
  <c r="R47" i="21"/>
  <c r="AB83" i="26" s="1"/>
  <c r="M47" i="21"/>
  <c r="W83" i="26" s="1"/>
  <c r="E6" i="21"/>
  <c r="L19" i="21"/>
  <c r="V37" i="30" s="1"/>
  <c r="V20" i="30" s="1"/>
  <c r="AC32" i="75"/>
  <c r="AC24" i="59"/>
  <c r="AI45" i="70"/>
  <c r="K29" i="55"/>
  <c r="AK51" i="70"/>
  <c r="AK16" i="70"/>
  <c r="AK25" i="70" s="1"/>
  <c r="AI52" i="70"/>
  <c r="AI20" i="70" s="1"/>
  <c r="AI27" i="70" s="1"/>
  <c r="I6" i="71" s="1"/>
  <c r="AI18" i="70"/>
  <c r="AI26" i="70" s="1"/>
  <c r="I5" i="71" s="1"/>
  <c r="J66" i="38"/>
  <c r="X26" i="48"/>
  <c r="S13" i="33"/>
  <c r="R13" i="33"/>
  <c r="Q13" i="33"/>
  <c r="P13" i="33"/>
  <c r="AD49" i="20"/>
  <c r="E3" i="35"/>
  <c r="F5" i="55" s="1"/>
  <c r="N15" i="26"/>
  <c r="N20" i="26" s="1"/>
  <c r="N78" i="26" s="1"/>
  <c r="N76" i="26"/>
  <c r="N73" i="26" s="1"/>
  <c r="O28" i="26"/>
  <c r="N27" i="26"/>
  <c r="T49" i="20"/>
  <c r="M9" i="50"/>
  <c r="AC14" i="25"/>
  <c r="AC11" i="25" s="1"/>
  <c r="AC20" i="25" s="1"/>
  <c r="M17" i="40"/>
  <c r="M16" i="40"/>
  <c r="O15" i="40"/>
  <c r="AJ45" i="70"/>
  <c r="L29" i="55"/>
  <c r="V34" i="75"/>
  <c r="V24" i="75"/>
  <c r="V28" i="75" s="1"/>
  <c r="W85" i="75"/>
  <c r="H20" i="49"/>
  <c r="AC27" i="49" s="1"/>
  <c r="U49" i="20"/>
  <c r="N9" i="50"/>
  <c r="J14" i="75"/>
  <c r="J14" i="59"/>
  <c r="J63" i="59" s="1"/>
  <c r="J62" i="59" s="1"/>
  <c r="J65" i="59" s="1"/>
  <c r="AE13" i="25"/>
  <c r="AD11" i="25"/>
  <c r="AD20" i="25" s="1"/>
  <c r="AD15" i="25"/>
  <c r="AD14" i="25" s="1"/>
  <c r="M63" i="59"/>
  <c r="G105" i="55"/>
  <c r="G73" i="55"/>
  <c r="N32" i="75"/>
  <c r="N99" i="75" s="1"/>
  <c r="N24" i="59"/>
  <c r="S48" i="21"/>
  <c r="S47" i="21" s="1"/>
  <c r="AC83" i="26" s="1"/>
  <c r="Y32" i="75"/>
  <c r="Y24" i="59"/>
  <c r="G76" i="21"/>
  <c r="AB45" i="30"/>
  <c r="C75" i="21"/>
  <c r="M32" i="75"/>
  <c r="M99" i="75" s="1"/>
  <c r="M24" i="59"/>
  <c r="L139" i="48"/>
  <c r="L114" i="48"/>
  <c r="K130" i="48"/>
  <c r="AD69" i="59"/>
  <c r="AD71" i="59" s="1"/>
  <c r="AD70" i="59" s="1"/>
  <c r="AC50" i="59"/>
  <c r="AB26" i="59"/>
  <c r="AA49" i="20"/>
  <c r="T9" i="50"/>
  <c r="L37" i="59"/>
  <c r="L38" i="59" s="1"/>
  <c r="L45" i="75"/>
  <c r="L46" i="75" s="1"/>
  <c r="L48" i="75" s="1"/>
  <c r="X49" i="20"/>
  <c r="Q9" i="50"/>
  <c r="G18" i="49"/>
  <c r="G19" i="49" s="1"/>
  <c r="Y29" i="49"/>
  <c r="Y30" i="49" s="1"/>
  <c r="K20" i="25"/>
  <c r="K14" i="75" s="1"/>
  <c r="D47" i="26"/>
  <c r="E47" i="26" s="1"/>
  <c r="E43" i="26" s="1"/>
  <c r="O20" i="25"/>
  <c r="O14" i="75" s="1"/>
  <c r="AA63" i="59"/>
  <c r="AD13" i="26"/>
  <c r="AD33" i="26"/>
  <c r="K21" i="21"/>
  <c r="U45" i="30"/>
  <c r="V39" i="21"/>
  <c r="U39" i="21"/>
  <c r="T39" i="21"/>
  <c r="S39" i="21"/>
  <c r="F79" i="21"/>
  <c r="R39" i="21"/>
  <c r="Q39" i="21"/>
  <c r="P39" i="21"/>
  <c r="O39" i="21"/>
  <c r="N39" i="21"/>
  <c r="X35" i="26"/>
  <c r="F18" i="49"/>
  <c r="F19" i="49" s="1"/>
  <c r="F20" i="49" s="1"/>
  <c r="L29" i="49"/>
  <c r="L30" i="49" s="1"/>
  <c r="S49" i="20"/>
  <c r="L9" i="50"/>
  <c r="V20" i="74"/>
  <c r="W20" i="74" s="1"/>
  <c r="X20" i="74" s="1"/>
  <c r="Y20" i="74" s="1"/>
  <c r="Z20" i="74" s="1"/>
  <c r="AA20" i="74" s="1"/>
  <c r="AB20" i="74" s="1"/>
  <c r="AC20" i="74" s="1"/>
  <c r="U19" i="74"/>
  <c r="W49" i="20"/>
  <c r="P9" i="50"/>
  <c r="D106" i="55"/>
  <c r="D74" i="55"/>
  <c r="L32" i="21"/>
  <c r="K32" i="21"/>
  <c r="J32" i="21"/>
  <c r="I32" i="21"/>
  <c r="V32" i="21"/>
  <c r="H32" i="21"/>
  <c r="U32" i="21"/>
  <c r="G32" i="21"/>
  <c r="T32" i="21"/>
  <c r="S32" i="21"/>
  <c r="R32" i="21"/>
  <c r="Q32" i="21"/>
  <c r="P32" i="21"/>
  <c r="O32" i="21"/>
  <c r="N32" i="21"/>
  <c r="M32" i="21"/>
  <c r="Q35" i="26"/>
  <c r="Q33" i="26" s="1"/>
  <c r="D21" i="21"/>
  <c r="N45" i="30"/>
  <c r="G19" i="21"/>
  <c r="Q37" i="30" s="1"/>
  <c r="D75" i="21"/>
  <c r="P32" i="75"/>
  <c r="P24" i="59"/>
  <c r="E16" i="5"/>
  <c r="K23" i="21"/>
  <c r="U41" i="30" s="1"/>
  <c r="J23" i="21"/>
  <c r="T41" i="30" s="1"/>
  <c r="T24" i="30" s="1"/>
  <c r="AA32" i="75"/>
  <c r="AA24" i="59"/>
  <c r="G77" i="21"/>
  <c r="F105" i="55"/>
  <c r="F73" i="55"/>
  <c r="J35" i="48"/>
  <c r="I40" i="48"/>
  <c r="I68" i="48"/>
  <c r="I75" i="48" s="1"/>
  <c r="O26" i="48"/>
  <c r="S49" i="48"/>
  <c r="R49" i="48"/>
  <c r="Q49" i="48"/>
  <c r="T49" i="48"/>
  <c r="W116" i="48"/>
  <c r="I37" i="59"/>
  <c r="I38" i="59" s="1"/>
  <c r="I45" i="75"/>
  <c r="I46" i="75" s="1"/>
  <c r="I30" i="49"/>
  <c r="U29" i="49"/>
  <c r="U30" i="49" s="1"/>
  <c r="AG49" i="20"/>
  <c r="H3" i="35"/>
  <c r="I5" i="55" s="1"/>
  <c r="AE11" i="20"/>
  <c r="E4" i="35"/>
  <c r="F6" i="55" s="1"/>
  <c r="P20" i="25"/>
  <c r="P14" i="75" s="1"/>
  <c r="AB49" i="20"/>
  <c r="C3" i="35"/>
  <c r="D5" i="55" s="1"/>
  <c r="U9" i="50"/>
  <c r="AB63" i="59"/>
  <c r="U51" i="21"/>
  <c r="U50" i="21"/>
  <c r="U47" i="21" s="1"/>
  <c r="AE83" i="26" s="1"/>
  <c r="E15" i="35"/>
  <c r="U23" i="75"/>
  <c r="U28" i="75" s="1"/>
  <c r="U33" i="75"/>
  <c r="U38" i="75" s="1"/>
  <c r="U25" i="59"/>
  <c r="U30" i="59" s="1"/>
  <c r="N5" i="50" s="1"/>
  <c r="J24" i="21"/>
  <c r="I144" i="48"/>
  <c r="J144" i="48"/>
  <c r="S26" i="38"/>
  <c r="M26" i="38" s="1"/>
  <c r="O26" i="38" s="1"/>
  <c r="M25" i="38"/>
  <c r="J38" i="48"/>
  <c r="J66" i="48"/>
  <c r="J73" i="48" s="1"/>
  <c r="K33" i="48"/>
  <c r="K114" i="48"/>
  <c r="T47" i="48"/>
  <c r="S47" i="48"/>
  <c r="Q47" i="48"/>
  <c r="R47" i="48"/>
  <c r="I116" i="48"/>
  <c r="AE49" i="20"/>
  <c r="F3" i="35"/>
  <c r="G5" i="55" s="1"/>
  <c r="M48" i="75"/>
  <c r="P13" i="30"/>
  <c r="P12" i="30" s="1"/>
  <c r="AF49" i="20"/>
  <c r="G3" i="35"/>
  <c r="H5" i="55" s="1"/>
  <c r="M16" i="26"/>
  <c r="Q14" i="59"/>
  <c r="Q63" i="59" s="1"/>
  <c r="Q14" i="75"/>
  <c r="H21" i="21"/>
  <c r="R45" i="30"/>
  <c r="V14" i="40"/>
  <c r="J20" i="21"/>
  <c r="T38" i="30" s="1"/>
  <c r="M5" i="21"/>
  <c r="L5" i="21"/>
  <c r="K5" i="21"/>
  <c r="J5" i="21"/>
  <c r="E75" i="21" s="1"/>
  <c r="AB26" i="48"/>
  <c r="C19" i="35"/>
  <c r="T34" i="75"/>
  <c r="T24" i="75"/>
  <c r="O47" i="48"/>
  <c r="M47" i="48"/>
  <c r="P47" i="48"/>
  <c r="N47" i="48"/>
  <c r="P49" i="48"/>
  <c r="O49" i="48"/>
  <c r="N49" i="48"/>
  <c r="M49" i="48"/>
  <c r="J45" i="75"/>
  <c r="J46" i="75" s="1"/>
  <c r="J48" i="75" s="1"/>
  <c r="J30" i="49"/>
  <c r="J37" i="59"/>
  <c r="J38" i="59" s="1"/>
  <c r="AD10" i="33"/>
  <c r="AC17" i="59"/>
  <c r="AC17" i="75"/>
  <c r="D12" i="35"/>
  <c r="AI49" i="20"/>
  <c r="J3" i="35"/>
  <c r="K5" i="55" s="1"/>
  <c r="R63" i="59"/>
  <c r="X15" i="30"/>
  <c r="N14" i="75"/>
  <c r="I21" i="21"/>
  <c r="S45" i="30"/>
  <c r="AJ21" i="48"/>
  <c r="AG21" i="48"/>
  <c r="AF21" i="48"/>
  <c r="AE21" i="48"/>
  <c r="AD21" i="48"/>
  <c r="AD19" i="48" s="1"/>
  <c r="E20" i="35" s="1"/>
  <c r="AC21" i="48"/>
  <c r="AC19" i="48" s="1"/>
  <c r="D20" i="35" s="1"/>
  <c r="AH21" i="48"/>
  <c r="AI21" i="48"/>
  <c r="G45" i="75"/>
  <c r="G46" i="75" s="1"/>
  <c r="G48" i="75" s="1"/>
  <c r="G37" i="59"/>
  <c r="G38" i="59" s="1"/>
  <c r="G40" i="59" s="1"/>
  <c r="G30" i="49"/>
  <c r="P29" i="49"/>
  <c r="P30" i="49" s="1"/>
  <c r="D76" i="55"/>
  <c r="D108" i="55"/>
  <c r="H45" i="75"/>
  <c r="H46" i="75" s="1"/>
  <c r="H30" i="49"/>
  <c r="H37" i="59"/>
  <c r="H38" i="59" s="1"/>
  <c r="J20" i="49"/>
  <c r="K20" i="49"/>
  <c r="V49" i="20"/>
  <c r="O9" i="50"/>
  <c r="S20" i="25"/>
  <c r="S14" i="75" s="1"/>
  <c r="D103" i="55"/>
  <c r="D71" i="55"/>
  <c r="K9" i="50"/>
  <c r="R49" i="20"/>
  <c r="Z63" i="59"/>
  <c r="V14" i="74"/>
  <c r="V13" i="74" s="1"/>
  <c r="V11" i="74" s="1"/>
  <c r="V19" i="74" s="1"/>
  <c r="W12" i="74"/>
  <c r="E14" i="55" l="1"/>
  <c r="E14" i="83"/>
  <c r="G81" i="55"/>
  <c r="W68" i="59"/>
  <c r="U68" i="59"/>
  <c r="U67" i="59" s="1"/>
  <c r="V68" i="59"/>
  <c r="V67" i="59" s="1"/>
  <c r="L40" i="59"/>
  <c r="H40" i="59"/>
  <c r="M40" i="59"/>
  <c r="F17" i="55"/>
  <c r="F17" i="83"/>
  <c r="F18" i="55"/>
  <c r="F114" i="55" s="1"/>
  <c r="F18" i="83"/>
  <c r="Q40" i="59"/>
  <c r="G113" i="83"/>
  <c r="G81" i="83"/>
  <c r="G18" i="55"/>
  <c r="G82" i="55" s="1"/>
  <c r="G18" i="83"/>
  <c r="D86" i="55"/>
  <c r="D118" i="55"/>
  <c r="D24" i="55"/>
  <c r="D24" i="83"/>
  <c r="E22" i="55"/>
  <c r="E22" i="83"/>
  <c r="F22" i="55"/>
  <c r="F118" i="55" s="1"/>
  <c r="F22" i="83"/>
  <c r="D118" i="83"/>
  <c r="D21" i="55"/>
  <c r="D117" i="55" s="1"/>
  <c r="D21" i="83"/>
  <c r="I92" i="55"/>
  <c r="I124" i="55"/>
  <c r="R83" i="26"/>
  <c r="W47" i="21"/>
  <c r="P98" i="75"/>
  <c r="P27" i="75"/>
  <c r="O27" i="75"/>
  <c r="O98" i="75"/>
  <c r="K27" i="75"/>
  <c r="K26" i="75" s="1"/>
  <c r="K29" i="75" s="1"/>
  <c r="K98" i="75"/>
  <c r="K97" i="75" s="1"/>
  <c r="K100" i="75" s="1"/>
  <c r="S98" i="75"/>
  <c r="S27" i="75"/>
  <c r="U27" i="75"/>
  <c r="U26" i="75" s="1"/>
  <c r="U29" i="75" s="1"/>
  <c r="U98" i="75"/>
  <c r="T51" i="48"/>
  <c r="S51" i="48"/>
  <c r="Q51" i="48"/>
  <c r="R51" i="48"/>
  <c r="K93" i="55"/>
  <c r="K125" i="55"/>
  <c r="O23" i="75"/>
  <c r="O28" i="75" s="1"/>
  <c r="O33" i="75"/>
  <c r="O38" i="75" s="1"/>
  <c r="O25" i="59"/>
  <c r="O30" i="59" s="1"/>
  <c r="H5" i="50" s="1"/>
  <c r="W4" i="21"/>
  <c r="C74" i="21"/>
  <c r="J6" i="50"/>
  <c r="Q46" i="30"/>
  <c r="G63" i="59"/>
  <c r="G62" i="59" s="1"/>
  <c r="G65" i="59" s="1"/>
  <c r="G66" i="59"/>
  <c r="G31" i="59" s="1"/>
  <c r="K40" i="59"/>
  <c r="J22" i="21"/>
  <c r="T40" i="30" s="1"/>
  <c r="T39" i="30"/>
  <c r="O51" i="48"/>
  <c r="M51" i="48"/>
  <c r="P51" i="48"/>
  <c r="N51" i="48"/>
  <c r="K6" i="50"/>
  <c r="R46" i="30"/>
  <c r="AF11" i="20"/>
  <c r="F4" i="35"/>
  <c r="G6" i="55" s="1"/>
  <c r="AD82" i="30"/>
  <c r="N6" i="50"/>
  <c r="U46" i="30"/>
  <c r="AD83" i="30" s="1"/>
  <c r="H22" i="21"/>
  <c r="R40" i="30" s="1"/>
  <c r="R39" i="30"/>
  <c r="I69" i="55"/>
  <c r="I101" i="55"/>
  <c r="J68" i="48"/>
  <c r="J75" i="48" s="1"/>
  <c r="J40" i="48"/>
  <c r="K35" i="48"/>
  <c r="D22" i="21"/>
  <c r="N40" i="30" s="1"/>
  <c r="N39" i="30"/>
  <c r="F4" i="50"/>
  <c r="M64" i="59"/>
  <c r="M62" i="59" s="1"/>
  <c r="M65" i="59" s="1"/>
  <c r="AI12" i="70"/>
  <c r="AI23" i="70" s="1"/>
  <c r="I2" i="71" s="1"/>
  <c r="K28" i="55"/>
  <c r="G22" i="21"/>
  <c r="Q40" i="30" s="1"/>
  <c r="Q39" i="30"/>
  <c r="N33" i="26"/>
  <c r="C79" i="21"/>
  <c r="U14" i="59"/>
  <c r="U63" i="59" s="1"/>
  <c r="S4" i="50"/>
  <c r="Z64" i="59"/>
  <c r="Z62" i="59" s="1"/>
  <c r="Z65" i="59" s="1"/>
  <c r="K48" i="75"/>
  <c r="F25" i="21"/>
  <c r="P36" i="30"/>
  <c r="D63" i="59"/>
  <c r="D62" i="59" s="1"/>
  <c r="D65" i="59" s="1"/>
  <c r="D66" i="59"/>
  <c r="D31" i="59" s="1"/>
  <c r="G84" i="21"/>
  <c r="R15" i="21"/>
  <c r="G85" i="21" s="1"/>
  <c r="AB36" i="26"/>
  <c r="E110" i="55"/>
  <c r="E78" i="55"/>
  <c r="G6" i="50"/>
  <c r="N46" i="30"/>
  <c r="H48" i="75"/>
  <c r="U46" i="75" s="1"/>
  <c r="V46" i="75" s="1"/>
  <c r="W46" i="75" s="1"/>
  <c r="X46" i="75" s="1"/>
  <c r="Y46" i="75" s="1"/>
  <c r="Z46" i="75" s="1"/>
  <c r="AA46" i="75" s="1"/>
  <c r="AB46" i="75" s="1"/>
  <c r="AC46" i="75" s="1"/>
  <c r="F81" i="55"/>
  <c r="F113" i="55"/>
  <c r="K22" i="21"/>
  <c r="U40" i="30" s="1"/>
  <c r="AD77" i="30" s="1"/>
  <c r="U39" i="30"/>
  <c r="AD76" i="30" s="1"/>
  <c r="AJ12" i="70"/>
  <c r="AJ23" i="70" s="1"/>
  <c r="J2" i="71" s="1"/>
  <c r="L28" i="55"/>
  <c r="D43" i="26"/>
  <c r="D15" i="35"/>
  <c r="S28" i="21"/>
  <c r="AC81" i="26" s="1"/>
  <c r="AB13" i="26"/>
  <c r="AB20" i="26" s="1"/>
  <c r="AB33" i="26"/>
  <c r="AJ131" i="48"/>
  <c r="AJ23" i="48" s="1"/>
  <c r="AI23" i="48"/>
  <c r="V16" i="59"/>
  <c r="V14" i="59" s="1"/>
  <c r="V63" i="59" s="1"/>
  <c r="V16" i="75"/>
  <c r="V14" i="75" s="1"/>
  <c r="W21" i="25"/>
  <c r="T38" i="75"/>
  <c r="T99" i="75"/>
  <c r="W10" i="21"/>
  <c r="R15" i="30"/>
  <c r="R13" i="30"/>
  <c r="R12" i="30" s="1"/>
  <c r="G87" i="21"/>
  <c r="Q4" i="50"/>
  <c r="X64" i="59"/>
  <c r="D109" i="75"/>
  <c r="D37" i="75" s="1"/>
  <c r="D41" i="75" s="1"/>
  <c r="W7" i="21"/>
  <c r="AD17" i="59"/>
  <c r="AE10" i="33"/>
  <c r="E12" i="35"/>
  <c r="Q98" i="75"/>
  <c r="Q27" i="75"/>
  <c r="X13" i="26"/>
  <c r="W5" i="21"/>
  <c r="C15" i="35"/>
  <c r="U4" i="50"/>
  <c r="AB64" i="59"/>
  <c r="AB62" i="59" s="1"/>
  <c r="AB65" i="59" s="1"/>
  <c r="I63" i="59"/>
  <c r="I62" i="59" s="1"/>
  <c r="I65" i="59" s="1"/>
  <c r="I66" i="59"/>
  <c r="S15" i="30"/>
  <c r="S13" i="30"/>
  <c r="S12" i="30" s="1"/>
  <c r="T97" i="75"/>
  <c r="T100" i="75" s="1"/>
  <c r="AC13" i="26"/>
  <c r="AC33" i="26"/>
  <c r="X47" i="48"/>
  <c r="W47" i="48"/>
  <c r="V47" i="48"/>
  <c r="U47" i="48"/>
  <c r="L16" i="38"/>
  <c r="N16" i="38" s="1"/>
  <c r="S17" i="38"/>
  <c r="T30" i="59"/>
  <c r="M5" i="50" s="1"/>
  <c r="T64" i="59"/>
  <c r="T62" i="59" s="1"/>
  <c r="T65" i="59" s="1"/>
  <c r="I6" i="50"/>
  <c r="P46" i="30"/>
  <c r="E104" i="55"/>
  <c r="E72" i="55"/>
  <c r="AD14" i="59"/>
  <c r="E8" i="35"/>
  <c r="F10" i="55" s="1"/>
  <c r="V13" i="30"/>
  <c r="V12" i="30" s="1"/>
  <c r="V15" i="30"/>
  <c r="T44" i="38"/>
  <c r="P43" i="38"/>
  <c r="R43" i="38" s="1"/>
  <c r="E69" i="55"/>
  <c r="E101" i="55"/>
  <c r="Q15" i="30"/>
  <c r="Q13" i="30"/>
  <c r="Q12" i="30" s="1"/>
  <c r="J13" i="20"/>
  <c r="J29" i="20"/>
  <c r="K65" i="48"/>
  <c r="K72" i="48" s="1"/>
  <c r="L32" i="48"/>
  <c r="K36" i="48"/>
  <c r="W43" i="30"/>
  <c r="M26" i="21"/>
  <c r="K25" i="21"/>
  <c r="U36" i="30"/>
  <c r="AD73" i="30" s="1"/>
  <c r="T28" i="75"/>
  <c r="T26" i="75" s="1"/>
  <c r="T29" i="75" s="1"/>
  <c r="F22" i="21"/>
  <c r="P40" i="30" s="1"/>
  <c r="P39" i="30"/>
  <c r="AE12" i="30"/>
  <c r="AD11" i="30"/>
  <c r="AD46" i="30" s="1"/>
  <c r="E6" i="35" s="1"/>
  <c r="F8" i="55" s="1"/>
  <c r="S46" i="30"/>
  <c r="L6" i="50"/>
  <c r="J40" i="59"/>
  <c r="L33" i="48"/>
  <c r="K38" i="48"/>
  <c r="K66" i="48"/>
  <c r="K73" i="48" s="1"/>
  <c r="I48" i="75"/>
  <c r="AA64" i="59"/>
  <c r="AA62" i="59" s="1"/>
  <c r="AA65" i="59" s="1"/>
  <c r="T4" i="50"/>
  <c r="AF13" i="25"/>
  <c r="AE15" i="25"/>
  <c r="AE14" i="25" s="1"/>
  <c r="AE11" i="25" s="1"/>
  <c r="AE20" i="25" s="1"/>
  <c r="E21" i="21"/>
  <c r="O45" i="30"/>
  <c r="E19" i="21"/>
  <c r="O37" i="30" s="1"/>
  <c r="E23" i="21"/>
  <c r="O41" i="30" s="1"/>
  <c r="E20" i="21"/>
  <c r="O38" i="30" s="1"/>
  <c r="E18" i="21"/>
  <c r="E24" i="21"/>
  <c r="O42" i="30" s="1"/>
  <c r="E127" i="55"/>
  <c r="E95" i="55"/>
  <c r="AF132" i="48"/>
  <c r="AE24" i="48"/>
  <c r="AE19" i="48" s="1"/>
  <c r="F20" i="35" s="1"/>
  <c r="C16" i="35"/>
  <c r="U5" i="50"/>
  <c r="O25" i="21"/>
  <c r="Y43" i="30" s="1"/>
  <c r="Y41" i="30"/>
  <c r="Y24" i="30" s="1"/>
  <c r="M77" i="26"/>
  <c r="AO16" i="26"/>
  <c r="M20" i="26"/>
  <c r="M78" i="26" s="1"/>
  <c r="I40" i="59"/>
  <c r="U38" i="59" s="1"/>
  <c r="V38" i="59" s="1"/>
  <c r="W38" i="59" s="1"/>
  <c r="X38" i="59" s="1"/>
  <c r="Y38" i="59" s="1"/>
  <c r="Z38" i="59" s="1"/>
  <c r="AA38" i="59" s="1"/>
  <c r="AB38" i="59" s="1"/>
  <c r="AC14" i="75"/>
  <c r="AC14" i="59"/>
  <c r="D8" i="35"/>
  <c r="E10" i="55" s="1"/>
  <c r="O6" i="50"/>
  <c r="V46" i="30"/>
  <c r="S31" i="38"/>
  <c r="O30" i="38"/>
  <c r="Q30" i="38" s="1"/>
  <c r="AF15" i="30"/>
  <c r="AF13" i="30"/>
  <c r="AG17" i="30"/>
  <c r="D25" i="21"/>
  <c r="K14" i="59"/>
  <c r="K63" i="59" s="1"/>
  <c r="K62" i="59" s="1"/>
  <c r="K65" i="59" s="1"/>
  <c r="AC20" i="70"/>
  <c r="AC27" i="70" s="1"/>
  <c r="C6" i="71" s="1"/>
  <c r="E32" i="55"/>
  <c r="E103" i="55"/>
  <c r="E71" i="55"/>
  <c r="Z104" i="75"/>
  <c r="Z106" i="75" s="1"/>
  <c r="Z105" i="75"/>
  <c r="H101" i="55"/>
  <c r="H69" i="55"/>
  <c r="U49" i="48"/>
  <c r="W49" i="48"/>
  <c r="V49" i="48"/>
  <c r="X49" i="48"/>
  <c r="T15" i="30"/>
  <c r="T13" i="30"/>
  <c r="T12" i="30" s="1"/>
  <c r="O14" i="59"/>
  <c r="O63" i="59" s="1"/>
  <c r="U6" i="50"/>
  <c r="C7" i="35"/>
  <c r="D9" i="55" s="1"/>
  <c r="AB46" i="30"/>
  <c r="C6" i="35" s="1"/>
  <c r="D8" i="55" s="1"/>
  <c r="J98" i="75"/>
  <c r="J97" i="75" s="1"/>
  <c r="J100" i="75" s="1"/>
  <c r="J27" i="75"/>
  <c r="J26" i="75" s="1"/>
  <c r="J29" i="75" s="1"/>
  <c r="C76" i="21"/>
  <c r="J15" i="21"/>
  <c r="E85" i="21" s="1"/>
  <c r="E87" i="21" s="1"/>
  <c r="E84" i="21"/>
  <c r="T36" i="26"/>
  <c r="T33" i="26" s="1"/>
  <c r="AE28" i="20"/>
  <c r="E5" i="35"/>
  <c r="F7" i="55" s="1"/>
  <c r="Y13" i="26"/>
  <c r="Y33" i="26"/>
  <c r="V103" i="75"/>
  <c r="U103" i="75"/>
  <c r="U102" i="75" s="1"/>
  <c r="H39" i="75"/>
  <c r="G25" i="21"/>
  <c r="N98" i="75"/>
  <c r="N97" i="75" s="1"/>
  <c r="N100" i="75" s="1"/>
  <c r="N27" i="75"/>
  <c r="N26" i="75" s="1"/>
  <c r="N29" i="75" s="1"/>
  <c r="U32" i="75"/>
  <c r="U99" i="75" s="1"/>
  <c r="U24" i="59"/>
  <c r="O25" i="38"/>
  <c r="M46" i="38"/>
  <c r="M47" i="38" s="1"/>
  <c r="D101" i="55"/>
  <c r="D69" i="55"/>
  <c r="U24" i="30"/>
  <c r="AD61" i="30" s="1"/>
  <c r="AD78" i="30"/>
  <c r="AC26" i="59"/>
  <c r="AC64" i="59" s="1"/>
  <c r="AD50" i="59"/>
  <c r="Q30" i="21"/>
  <c r="Q28" i="21" s="1"/>
  <c r="AA81" i="26" s="1"/>
  <c r="P30" i="21"/>
  <c r="O30" i="21"/>
  <c r="O28" i="21" s="1"/>
  <c r="N30" i="21"/>
  <c r="M30" i="21"/>
  <c r="M28" i="21" s="1"/>
  <c r="L30" i="21"/>
  <c r="L28" i="21" s="1"/>
  <c r="K30" i="21"/>
  <c r="K28" i="21" s="1"/>
  <c r="J30" i="21"/>
  <c r="J28" i="21" s="1"/>
  <c r="I30" i="21"/>
  <c r="I28" i="21" s="1"/>
  <c r="V30" i="21"/>
  <c r="V28" i="21" s="1"/>
  <c r="AF81" i="26" s="1"/>
  <c r="AG81" i="26" s="1"/>
  <c r="AH81" i="26" s="1"/>
  <c r="AI81" i="26" s="1"/>
  <c r="AJ81" i="26" s="1"/>
  <c r="AK81" i="26" s="1"/>
  <c r="AL81" i="26" s="1"/>
  <c r="AM81" i="26" s="1"/>
  <c r="AN81" i="26" s="1"/>
  <c r="H30" i="21"/>
  <c r="H28" i="21" s="1"/>
  <c r="U30" i="21"/>
  <c r="U28" i="21" s="1"/>
  <c r="AE81" i="26" s="1"/>
  <c r="G30" i="21"/>
  <c r="G28" i="21" s="1"/>
  <c r="T30" i="21"/>
  <c r="T28" i="21" s="1"/>
  <c r="AD81" i="26" s="1"/>
  <c r="F30" i="21"/>
  <c r="F28" i="21" s="1"/>
  <c r="S30" i="21"/>
  <c r="E30" i="21"/>
  <c r="E28" i="21" s="1"/>
  <c r="R30" i="21"/>
  <c r="R28" i="21" s="1"/>
  <c r="AB81" i="26" s="1"/>
  <c r="O35" i="26"/>
  <c r="O33" i="26" s="1"/>
  <c r="L22" i="21"/>
  <c r="V40" i="30" s="1"/>
  <c r="V39" i="30"/>
  <c r="J101" i="55"/>
  <c r="J69" i="55"/>
  <c r="AA13" i="30"/>
  <c r="AA12" i="30" s="1"/>
  <c r="AA15" i="30"/>
  <c r="T50" i="48"/>
  <c r="S50" i="48"/>
  <c r="R50" i="48"/>
  <c r="Q50" i="48"/>
  <c r="C84" i="21"/>
  <c r="W14" i="21"/>
  <c r="C15" i="21"/>
  <c r="R42" i="38"/>
  <c r="V32" i="75"/>
  <c r="V99" i="75" s="1"/>
  <c r="V24" i="59"/>
  <c r="R4" i="50"/>
  <c r="Y64" i="59"/>
  <c r="J71" i="38"/>
  <c r="J73" i="38"/>
  <c r="C81" i="21"/>
  <c r="W11" i="21"/>
  <c r="K4" i="50"/>
  <c r="Q33" i="75"/>
  <c r="Q23" i="75"/>
  <c r="Q28" i="75" s="1"/>
  <c r="Q25" i="59"/>
  <c r="N28" i="21"/>
  <c r="X68" i="59"/>
  <c r="W67" i="59"/>
  <c r="K29" i="20"/>
  <c r="K13" i="20"/>
  <c r="J67" i="48"/>
  <c r="J74" i="48" s="1"/>
  <c r="K34" i="48"/>
  <c r="J39" i="48"/>
  <c r="AO17" i="26"/>
  <c r="C80" i="21"/>
  <c r="H109" i="75"/>
  <c r="H37" i="75" s="1"/>
  <c r="O76" i="26"/>
  <c r="P28" i="26"/>
  <c r="O27" i="26"/>
  <c r="O15" i="26"/>
  <c r="O32" i="75"/>
  <c r="O99" i="75" s="1"/>
  <c r="O24" i="59"/>
  <c r="R99" i="75"/>
  <c r="R97" i="75" s="1"/>
  <c r="R100" i="75" s="1"/>
  <c r="R33" i="75"/>
  <c r="R38" i="75" s="1"/>
  <c r="R23" i="75"/>
  <c r="R28" i="75" s="1"/>
  <c r="R26" i="75" s="1"/>
  <c r="R29" i="75" s="1"/>
  <c r="R25" i="59"/>
  <c r="R30" i="59" s="1"/>
  <c r="K5" i="50" s="1"/>
  <c r="H33" i="59"/>
  <c r="F15" i="21"/>
  <c r="D85" i="21" s="1"/>
  <c r="D87" i="21" s="1"/>
  <c r="D84" i="21"/>
  <c r="P36" i="26"/>
  <c r="AO36" i="26" s="1"/>
  <c r="AP14" i="26" s="1"/>
  <c r="AA13" i="26"/>
  <c r="AA20" i="26" s="1"/>
  <c r="AA78" i="26" s="1"/>
  <c r="AA33" i="26"/>
  <c r="AO37" i="26"/>
  <c r="AP16" i="26" s="1"/>
  <c r="P25" i="21"/>
  <c r="Z43" i="30" s="1"/>
  <c r="Z41" i="30"/>
  <c r="Z24" i="30" s="1"/>
  <c r="E74" i="59"/>
  <c r="E29" i="59" s="1"/>
  <c r="E33" i="59" s="1"/>
  <c r="S36" i="30"/>
  <c r="J101" i="75"/>
  <c r="I39" i="75"/>
  <c r="I41" i="75" s="1"/>
  <c r="G109" i="75"/>
  <c r="G37" i="75" s="1"/>
  <c r="G41" i="75" s="1"/>
  <c r="M97" i="75"/>
  <c r="M100" i="75" s="1"/>
  <c r="S14" i="59"/>
  <c r="S63" i="59" s="1"/>
  <c r="W32" i="75"/>
  <c r="W24" i="59"/>
  <c r="I4" i="50"/>
  <c r="AE69" i="59"/>
  <c r="AE71" i="59" s="1"/>
  <c r="AE70" i="59" s="1"/>
  <c r="G101" i="55"/>
  <c r="G69" i="55"/>
  <c r="P14" i="59"/>
  <c r="P63" i="59" s="1"/>
  <c r="AD27" i="49"/>
  <c r="AC45" i="75"/>
  <c r="AC37" i="59"/>
  <c r="AC29" i="49"/>
  <c r="AC30" i="49" s="1"/>
  <c r="D11" i="35"/>
  <c r="N50" i="20"/>
  <c r="N51" i="20" s="1"/>
  <c r="G2" i="50"/>
  <c r="S33" i="75"/>
  <c r="S23" i="75"/>
  <c r="S28" i="75" s="1"/>
  <c r="S25" i="59"/>
  <c r="P28" i="21"/>
  <c r="Z81" i="26" s="1"/>
  <c r="Z73" i="26" s="1"/>
  <c r="D120" i="55"/>
  <c r="D88" i="55"/>
  <c r="M6" i="50"/>
  <c r="T46" i="30"/>
  <c r="W6" i="21"/>
  <c r="I22" i="21"/>
  <c r="S40" i="30" s="1"/>
  <c r="S39" i="30"/>
  <c r="K101" i="55"/>
  <c r="K69" i="55"/>
  <c r="N64" i="59"/>
  <c r="N62" i="59" s="1"/>
  <c r="N65" i="59" s="1"/>
  <c r="G4" i="50"/>
  <c r="X85" i="75"/>
  <c r="W24" i="75"/>
  <c r="W28" i="75" s="1"/>
  <c r="W26" i="75" s="1"/>
  <c r="W34" i="75"/>
  <c r="D74" i="21"/>
  <c r="P33" i="75"/>
  <c r="P38" i="75" s="1"/>
  <c r="P25" i="59"/>
  <c r="P30" i="59" s="1"/>
  <c r="I5" i="50" s="1"/>
  <c r="P23" i="75"/>
  <c r="P28" i="75" s="1"/>
  <c r="N15" i="21"/>
  <c r="F85" i="21" s="1"/>
  <c r="F84" i="21"/>
  <c r="X36" i="26"/>
  <c r="X33" i="26" s="1"/>
  <c r="P50" i="48"/>
  <c r="O50" i="48"/>
  <c r="M50" i="48"/>
  <c r="N50" i="48"/>
  <c r="V33" i="26"/>
  <c r="V13" i="26"/>
  <c r="AD133" i="48"/>
  <c r="AC25" i="48"/>
  <c r="D22" i="35" s="1"/>
  <c r="L13" i="20"/>
  <c r="L29" i="20"/>
  <c r="AD57" i="30"/>
  <c r="U15" i="30"/>
  <c r="AD52" i="30" s="1"/>
  <c r="U13" i="30"/>
  <c r="W11" i="74"/>
  <c r="W19" i="74" s="1"/>
  <c r="X12" i="74"/>
  <c r="W14" i="74"/>
  <c r="W13" i="74" s="1"/>
  <c r="E118" i="55"/>
  <c r="E86" i="55"/>
  <c r="F70" i="55"/>
  <c r="F102" i="55"/>
  <c r="G20" i="49"/>
  <c r="F101" i="55"/>
  <c r="F69" i="55"/>
  <c r="AK52" i="70"/>
  <c r="AK20" i="70" s="1"/>
  <c r="AK27" i="70" s="1"/>
  <c r="AK18" i="70"/>
  <c r="AK26" i="70" s="1"/>
  <c r="W12" i="21"/>
  <c r="C82" i="21"/>
  <c r="F87" i="21"/>
  <c r="U13" i="26"/>
  <c r="U33" i="26"/>
  <c r="H25" i="21"/>
  <c r="R36" i="30"/>
  <c r="I73" i="38"/>
  <c r="I71" i="38"/>
  <c r="J25" i="21"/>
  <c r="T36" i="30"/>
  <c r="D16" i="35"/>
  <c r="E13" i="55" l="1"/>
  <c r="E13" i="83"/>
  <c r="AG32" i="80"/>
  <c r="F14" i="55"/>
  <c r="F14" i="83"/>
  <c r="E78" i="83"/>
  <c r="E110" i="83"/>
  <c r="F82" i="55"/>
  <c r="G114" i="55"/>
  <c r="R64" i="59"/>
  <c r="R62" i="59" s="1"/>
  <c r="R65" i="59" s="1"/>
  <c r="D74" i="59"/>
  <c r="D29" i="59" s="1"/>
  <c r="D33" i="59" s="1"/>
  <c r="D17" i="55"/>
  <c r="D17" i="83"/>
  <c r="E17" i="55"/>
  <c r="E17" i="83"/>
  <c r="G82" i="83"/>
  <c r="G114" i="83"/>
  <c r="E18" i="55"/>
  <c r="E114" i="55" s="1"/>
  <c r="E18" i="83"/>
  <c r="D18" i="55"/>
  <c r="D114" i="55" s="1"/>
  <c r="D18" i="83"/>
  <c r="F114" i="83"/>
  <c r="F82" i="83"/>
  <c r="F81" i="83"/>
  <c r="F113" i="83"/>
  <c r="F86" i="55"/>
  <c r="D85" i="55"/>
  <c r="D117" i="83"/>
  <c r="F118" i="83"/>
  <c r="E24" i="83"/>
  <c r="E24" i="55"/>
  <c r="E120" i="55" s="1"/>
  <c r="E118" i="83"/>
  <c r="D120" i="83"/>
  <c r="G22" i="55"/>
  <c r="G86" i="55" s="1"/>
  <c r="G22" i="83"/>
  <c r="AC38" i="59"/>
  <c r="C18" i="35"/>
  <c r="AF69" i="59"/>
  <c r="AF71" i="59" s="1"/>
  <c r="AF70" i="59" s="1"/>
  <c r="AE14" i="59"/>
  <c r="F8" i="35"/>
  <c r="G10" i="55" s="1"/>
  <c r="V81" i="26"/>
  <c r="P4" i="50"/>
  <c r="W64" i="59"/>
  <c r="AA73" i="26"/>
  <c r="O20" i="26"/>
  <c r="O78" i="26" s="1"/>
  <c r="N43" i="30"/>
  <c r="D26" i="21"/>
  <c r="P33" i="26"/>
  <c r="U97" i="75"/>
  <c r="U100" i="75" s="1"/>
  <c r="Y85" i="75"/>
  <c r="X24" i="75"/>
  <c r="X28" i="75" s="1"/>
  <c r="X26" i="75" s="1"/>
  <c r="X34" i="75"/>
  <c r="X99" i="75" s="1"/>
  <c r="AC10" i="26"/>
  <c r="D10" i="35"/>
  <c r="W99" i="75"/>
  <c r="AH17" i="30"/>
  <c r="AG15" i="30"/>
  <c r="AG13" i="30"/>
  <c r="AG132" i="48"/>
  <c r="AF24" i="48"/>
  <c r="AF19" i="48" s="1"/>
  <c r="G20" i="35" s="1"/>
  <c r="F104" i="55"/>
  <c r="F72" i="55"/>
  <c r="AC20" i="26"/>
  <c r="AB78" i="26"/>
  <c r="AB73" i="26" s="1"/>
  <c r="K124" i="55"/>
  <c r="K92" i="55"/>
  <c r="AF12" i="30"/>
  <c r="AE11" i="30"/>
  <c r="AE46" i="30" s="1"/>
  <c r="F6" i="35" s="1"/>
  <c r="G8" i="55" s="1"/>
  <c r="P43" i="30"/>
  <c r="F26" i="21"/>
  <c r="U81" i="26"/>
  <c r="AO13" i="26"/>
  <c r="X14" i="74"/>
  <c r="X13" i="74" s="1"/>
  <c r="X11" i="74"/>
  <c r="X19" i="74" s="1"/>
  <c r="Y12" i="74"/>
  <c r="O73" i="26"/>
  <c r="X67" i="59"/>
  <c r="Y68" i="59"/>
  <c r="Q43" i="30"/>
  <c r="G26" i="21"/>
  <c r="AF15" i="25"/>
  <c r="AF14" i="25" s="1"/>
  <c r="AF11" i="25" s="1"/>
  <c r="AF20" i="25" s="1"/>
  <c r="AG13" i="25"/>
  <c r="AC11" i="26"/>
  <c r="X81" i="26"/>
  <c r="S26" i="75"/>
  <c r="S29" i="75" s="1"/>
  <c r="AD37" i="59"/>
  <c r="AE27" i="49"/>
  <c r="AD29" i="49"/>
  <c r="E11" i="35"/>
  <c r="AE50" i="59"/>
  <c r="AD26" i="59"/>
  <c r="AD64" i="59" s="1"/>
  <c r="H41" i="75"/>
  <c r="Q26" i="75"/>
  <c r="Q29" i="75" s="1"/>
  <c r="Q28" i="26"/>
  <c r="P27" i="26"/>
  <c r="P15" i="26"/>
  <c r="P20" i="26" s="1"/>
  <c r="P78" i="26" s="1"/>
  <c r="P76" i="26"/>
  <c r="AD50" i="30"/>
  <c r="U12" i="30"/>
  <c r="AD49" i="30" s="1"/>
  <c r="P99" i="75"/>
  <c r="V64" i="59"/>
  <c r="V62" i="59" s="1"/>
  <c r="V65" i="59" s="1"/>
  <c r="O4" i="50"/>
  <c r="J109" i="75"/>
  <c r="J37" i="75" s="1"/>
  <c r="AA104" i="75"/>
  <c r="AA106" i="75" s="1"/>
  <c r="AA105" i="75" s="1"/>
  <c r="S32" i="38"/>
  <c r="O31" i="38"/>
  <c r="Q31" i="38" s="1"/>
  <c r="E113" i="55"/>
  <c r="E81" i="55"/>
  <c r="K101" i="75"/>
  <c r="J39" i="75"/>
  <c r="Q30" i="59"/>
  <c r="J5" i="50" s="1"/>
  <c r="Q64" i="59"/>
  <c r="Q62" i="59" s="1"/>
  <c r="Q65" i="59" s="1"/>
  <c r="V102" i="75"/>
  <c r="W103" i="75"/>
  <c r="D72" i="55"/>
  <c r="D104" i="55"/>
  <c r="T45" i="38"/>
  <c r="P45" i="38" s="1"/>
  <c r="R45" i="38" s="1"/>
  <c r="P44" i="38"/>
  <c r="R44" i="38" s="1"/>
  <c r="F110" i="55"/>
  <c r="F78" i="55"/>
  <c r="G102" i="55"/>
  <c r="G70" i="55"/>
  <c r="R43" i="30"/>
  <c r="H26" i="21"/>
  <c r="Z50" i="20"/>
  <c r="Z51" i="20" s="1"/>
  <c r="S2" i="50"/>
  <c r="R46" i="38"/>
  <c r="R47" i="38" s="1"/>
  <c r="D105" i="55"/>
  <c r="D73" i="55"/>
  <c r="M73" i="26"/>
  <c r="U43" i="30"/>
  <c r="AD80" i="30" s="1"/>
  <c r="K26" i="21"/>
  <c r="AF10" i="33"/>
  <c r="AE17" i="59"/>
  <c r="F12" i="35"/>
  <c r="I22" i="33"/>
  <c r="G4" i="35"/>
  <c r="H6" i="55" s="1"/>
  <c r="AG11" i="20"/>
  <c r="O97" i="75"/>
  <c r="O100" i="75" s="1"/>
  <c r="S38" i="75"/>
  <c r="S99" i="75"/>
  <c r="S97" i="75" s="1"/>
  <c r="S100" i="75" s="1"/>
  <c r="T43" i="30"/>
  <c r="J26" i="21"/>
  <c r="S30" i="59"/>
  <c r="L5" i="50" s="1"/>
  <c r="S64" i="59"/>
  <c r="S62" i="59" s="1"/>
  <c r="S65" i="59" s="1"/>
  <c r="I25" i="21"/>
  <c r="Q38" i="75"/>
  <c r="Q99" i="75"/>
  <c r="Q97" i="75" s="1"/>
  <c r="Q100" i="75" s="1"/>
  <c r="Y81" i="26"/>
  <c r="Y20" i="26"/>
  <c r="Y78" i="26" s="1"/>
  <c r="O36" i="30"/>
  <c r="W14" i="75"/>
  <c r="W16" i="59"/>
  <c r="W14" i="59" s="1"/>
  <c r="W63" i="59" s="1"/>
  <c r="X21" i="25"/>
  <c r="L35" i="48"/>
  <c r="K40" i="48"/>
  <c r="K68" i="48"/>
  <c r="K75" i="48" s="1"/>
  <c r="O26" i="75"/>
  <c r="O29" i="75" s="1"/>
  <c r="W50" i="48"/>
  <c r="V50" i="48"/>
  <c r="U50" i="48"/>
  <c r="X50" i="48"/>
  <c r="W15" i="21"/>
  <c r="C85" i="21"/>
  <c r="C87" i="21" s="1"/>
  <c r="Y13" i="30"/>
  <c r="Y12" i="30" s="1"/>
  <c r="Y15" i="30"/>
  <c r="AB49" i="48"/>
  <c r="AA49" i="48"/>
  <c r="Z49" i="48"/>
  <c r="Y49" i="48"/>
  <c r="J66" i="59"/>
  <c r="I31" i="59"/>
  <c r="V98" i="75"/>
  <c r="V97" i="75" s="1"/>
  <c r="V100" i="75" s="1"/>
  <c r="V27" i="75"/>
  <c r="V26" i="75" s="1"/>
  <c r="V29" i="75" s="1"/>
  <c r="V42" i="75"/>
  <c r="X51" i="48"/>
  <c r="W51" i="48"/>
  <c r="V51" i="48"/>
  <c r="U51" i="48"/>
  <c r="G74" i="59"/>
  <c r="G29" i="59" s="1"/>
  <c r="G33" i="59" s="1"/>
  <c r="P26" i="75"/>
  <c r="P29" i="75" s="1"/>
  <c r="Z13" i="30"/>
  <c r="Z12" i="30" s="1"/>
  <c r="Z15" i="30"/>
  <c r="K67" i="48"/>
  <c r="K74" i="48" s="1"/>
  <c r="L34" i="48"/>
  <c r="K39" i="48"/>
  <c r="F103" i="55"/>
  <c r="F71" i="55"/>
  <c r="L25" i="21"/>
  <c r="O24" i="30"/>
  <c r="L38" i="48"/>
  <c r="M33" i="48"/>
  <c r="L66" i="48"/>
  <c r="L73" i="48" s="1"/>
  <c r="AA47" i="48"/>
  <c r="Z47" i="48"/>
  <c r="Y47" i="48"/>
  <c r="AB47" i="48"/>
  <c r="L17" i="38"/>
  <c r="S18" i="38"/>
  <c r="I74" i="59"/>
  <c r="I29" i="59" s="1"/>
  <c r="AO33" i="26"/>
  <c r="P97" i="75"/>
  <c r="P100" i="75" s="1"/>
  <c r="AE133" i="48"/>
  <c r="AD25" i="48"/>
  <c r="E22" i="35" s="1"/>
  <c r="H4" i="50"/>
  <c r="O64" i="59"/>
  <c r="O62" i="59" s="1"/>
  <c r="O65" i="59" s="1"/>
  <c r="AF28" i="20"/>
  <c r="F5" i="35"/>
  <c r="G7" i="55" s="1"/>
  <c r="E96" i="55"/>
  <c r="E128" i="55"/>
  <c r="E106" i="55"/>
  <c r="E74" i="55"/>
  <c r="L65" i="48"/>
  <c r="L72" i="48" s="1"/>
  <c r="M32" i="48"/>
  <c r="L36" i="48"/>
  <c r="AO35" i="26"/>
  <c r="AP13" i="26" s="1"/>
  <c r="N13" i="20"/>
  <c r="N29" i="20"/>
  <c r="P64" i="59"/>
  <c r="P62" i="59" s="1"/>
  <c r="P65" i="59" s="1"/>
  <c r="H6" i="50"/>
  <c r="O46" i="30"/>
  <c r="F106" i="55"/>
  <c r="F74" i="55"/>
  <c r="E109" i="55"/>
  <c r="E77" i="55"/>
  <c r="N4" i="50"/>
  <c r="U64" i="59"/>
  <c r="U62" i="59" s="1"/>
  <c r="U65" i="59" s="1"/>
  <c r="E22" i="21"/>
  <c r="O40" i="30" s="1"/>
  <c r="O39" i="30"/>
  <c r="D113" i="55"/>
  <c r="D81" i="55"/>
  <c r="E12" i="55" l="1"/>
  <c r="E12" i="83"/>
  <c r="F13" i="55"/>
  <c r="F109" i="55" s="1"/>
  <c r="F13" i="83"/>
  <c r="E77" i="83"/>
  <c r="E109" i="83"/>
  <c r="G14" i="55"/>
  <c r="G14" i="83"/>
  <c r="F110" i="83"/>
  <c r="F78" i="83"/>
  <c r="W62" i="59"/>
  <c r="W65" i="59" s="1"/>
  <c r="I33" i="59"/>
  <c r="D82" i="55"/>
  <c r="D20" i="55"/>
  <c r="D20" i="83"/>
  <c r="D114" i="83"/>
  <c r="D82" i="83"/>
  <c r="E114" i="83"/>
  <c r="E82" i="83"/>
  <c r="E82" i="55"/>
  <c r="E113" i="83"/>
  <c r="E81" i="83"/>
  <c r="D81" i="83"/>
  <c r="D113" i="83"/>
  <c r="G118" i="83"/>
  <c r="E88" i="55"/>
  <c r="F24" i="55"/>
  <c r="F24" i="83"/>
  <c r="E120" i="83"/>
  <c r="G118" i="55"/>
  <c r="H22" i="55"/>
  <c r="H118" i="55" s="1"/>
  <c r="H22" i="83"/>
  <c r="AF14" i="59"/>
  <c r="G8" i="35"/>
  <c r="H10" i="55" s="1"/>
  <c r="AB104" i="75"/>
  <c r="AB106" i="75" s="1"/>
  <c r="AB105" i="75"/>
  <c r="AD10" i="26"/>
  <c r="E10" i="35"/>
  <c r="O50" i="20"/>
  <c r="O51" i="20" s="1"/>
  <c r="H2" i="50"/>
  <c r="AG12" i="30"/>
  <c r="AF11" i="30"/>
  <c r="AF46" i="30" s="1"/>
  <c r="G6" i="35" s="1"/>
  <c r="H8" i="55" s="1"/>
  <c r="AC9" i="26"/>
  <c r="AB51" i="48"/>
  <c r="AA51" i="48"/>
  <c r="Z51" i="48"/>
  <c r="Y51" i="48"/>
  <c r="M66" i="48"/>
  <c r="M73" i="48" s="1"/>
  <c r="M38" i="48"/>
  <c r="L40" i="48"/>
  <c r="L68" i="48"/>
  <c r="L75" i="48" s="1"/>
  <c r="M35" i="48"/>
  <c r="M50" i="20"/>
  <c r="M51" i="20" s="1"/>
  <c r="F2" i="50"/>
  <c r="S33" i="38"/>
  <c r="O32" i="38"/>
  <c r="AE37" i="59"/>
  <c r="AF27" i="49"/>
  <c r="AE29" i="49"/>
  <c r="AE30" i="49" s="1"/>
  <c r="F11" i="35"/>
  <c r="Q27" i="26"/>
  <c r="Q15" i="26"/>
  <c r="Q20" i="26" s="1"/>
  <c r="Q78" i="26" s="1"/>
  <c r="Q76" i="26"/>
  <c r="R28" i="26"/>
  <c r="F120" i="55"/>
  <c r="F88" i="55"/>
  <c r="AF49" i="48"/>
  <c r="AE49" i="48"/>
  <c r="AD49" i="48"/>
  <c r="AC49" i="48"/>
  <c r="AC12" i="48"/>
  <c r="AG37" i="80" s="1"/>
  <c r="X16" i="59"/>
  <c r="Y21" i="25"/>
  <c r="X20" i="25"/>
  <c r="X15" i="59" s="1"/>
  <c r="AF133" i="48"/>
  <c r="AE25" i="48"/>
  <c r="F22" i="35" s="1"/>
  <c r="O15" i="30"/>
  <c r="O13" i="30"/>
  <c r="O12" i="30" s="1"/>
  <c r="X103" i="75"/>
  <c r="W102" i="75"/>
  <c r="U2" i="50"/>
  <c r="C2" i="35"/>
  <c r="D4" i="55" s="1"/>
  <c r="AB50" i="20"/>
  <c r="AB51" i="20" s="1"/>
  <c r="Z85" i="75"/>
  <c r="Y34" i="75"/>
  <c r="Y99" i="75" s="1"/>
  <c r="Y24" i="75"/>
  <c r="Y28" i="75" s="1"/>
  <c r="Y26" i="75" s="1"/>
  <c r="Z12" i="74"/>
  <c r="Y14" i="74"/>
  <c r="Y13" i="74" s="1"/>
  <c r="Y11" i="74" s="1"/>
  <c r="Y19" i="74" s="1"/>
  <c r="AC78" i="26"/>
  <c r="AC73" i="26" s="1"/>
  <c r="AD20" i="26"/>
  <c r="AH11" i="20"/>
  <c r="H4" i="35"/>
  <c r="I6" i="55" s="1"/>
  <c r="Z13" i="20"/>
  <c r="Z29" i="20"/>
  <c r="Y50" i="48"/>
  <c r="AA50" i="48"/>
  <c r="Z50" i="48"/>
  <c r="AB50" i="48"/>
  <c r="E25" i="21"/>
  <c r="H102" i="55"/>
  <c r="H70" i="55"/>
  <c r="J41" i="75"/>
  <c r="AG15" i="25"/>
  <c r="AG14" i="25" s="1"/>
  <c r="AG11" i="25" s="1"/>
  <c r="AG20" i="25" s="1"/>
  <c r="AH13" i="25"/>
  <c r="G74" i="55"/>
  <c r="G106" i="55"/>
  <c r="S19" i="38"/>
  <c r="L18" i="38"/>
  <c r="N18" i="38" s="1"/>
  <c r="L67" i="48"/>
  <c r="L74" i="48" s="1"/>
  <c r="M34" i="48"/>
  <c r="L39" i="48"/>
  <c r="Y73" i="26"/>
  <c r="L101" i="75"/>
  <c r="K39" i="75"/>
  <c r="K41" i="75" s="1"/>
  <c r="AG24" i="48"/>
  <c r="AG19" i="48" s="1"/>
  <c r="H20" i="35" s="1"/>
  <c r="AH132" i="48"/>
  <c r="V43" i="30"/>
  <c r="L26" i="21"/>
  <c r="AG69" i="59"/>
  <c r="AG71" i="59" s="1"/>
  <c r="AG70" i="59" s="1"/>
  <c r="G78" i="55"/>
  <c r="G110" i="55"/>
  <c r="K109" i="75"/>
  <c r="K37" i="75" s="1"/>
  <c r="P46" i="38"/>
  <c r="P47" i="38" s="1"/>
  <c r="AA50" i="20"/>
  <c r="AA51" i="20" s="1"/>
  <c r="T2" i="50"/>
  <c r="N17" i="38"/>
  <c r="K66" i="59"/>
  <c r="J31" i="59"/>
  <c r="J74" i="59"/>
  <c r="J29" i="59" s="1"/>
  <c r="G71" i="55"/>
  <c r="G103" i="55"/>
  <c r="AF50" i="59"/>
  <c r="AE26" i="59"/>
  <c r="AE64" i="59" s="1"/>
  <c r="AH13" i="30"/>
  <c r="AI17" i="30"/>
  <c r="D84" i="55"/>
  <c r="D116" i="55"/>
  <c r="AG28" i="20"/>
  <c r="G5" i="35"/>
  <c r="H7" i="55" s="1"/>
  <c r="S43" i="30"/>
  <c r="I26" i="21"/>
  <c r="AF17" i="59"/>
  <c r="AG10" i="33"/>
  <c r="G12" i="35"/>
  <c r="Y67" i="59"/>
  <c r="Z68" i="59"/>
  <c r="AD38" i="59"/>
  <c r="D18" i="35"/>
  <c r="AC47" i="48"/>
  <c r="AE47" i="48"/>
  <c r="AD47" i="48"/>
  <c r="AF47" i="48"/>
  <c r="AG38" i="80"/>
  <c r="M65" i="48"/>
  <c r="M72" i="48" s="1"/>
  <c r="M36" i="48"/>
  <c r="P73" i="26"/>
  <c r="AD30" i="49"/>
  <c r="G104" i="55"/>
  <c r="G72" i="55"/>
  <c r="E76" i="55"/>
  <c r="E108" i="55"/>
  <c r="F12" i="55" l="1"/>
  <c r="F12" i="83"/>
  <c r="F77" i="55"/>
  <c r="G13" i="55"/>
  <c r="G109" i="55" s="1"/>
  <c r="G13" i="83"/>
  <c r="F109" i="83"/>
  <c r="F77" i="83"/>
  <c r="E108" i="83"/>
  <c r="E76" i="83"/>
  <c r="H14" i="55"/>
  <c r="H78" i="55" s="1"/>
  <c r="H14" i="83"/>
  <c r="G110" i="83"/>
  <c r="G78" i="83"/>
  <c r="E20" i="55"/>
  <c r="E116" i="55" s="1"/>
  <c r="E20" i="83"/>
  <c r="D116" i="83"/>
  <c r="D84" i="83"/>
  <c r="H86" i="55"/>
  <c r="G24" i="55"/>
  <c r="G24" i="83"/>
  <c r="I22" i="55"/>
  <c r="I22" i="83"/>
  <c r="H118" i="83"/>
  <c r="F120" i="83"/>
  <c r="AG14" i="59"/>
  <c r="H8" i="35"/>
  <c r="I10" i="55" s="1"/>
  <c r="S34" i="38"/>
  <c r="O33" i="38"/>
  <c r="Q33" i="38" s="1"/>
  <c r="AH12" i="30"/>
  <c r="AG11" i="30"/>
  <c r="AG46" i="30" s="1"/>
  <c r="H6" i="35" s="1"/>
  <c r="I8" i="55" s="1"/>
  <c r="AA68" i="59"/>
  <c r="Z67" i="59"/>
  <c r="AJ17" i="30"/>
  <c r="AI13" i="30"/>
  <c r="L39" i="75"/>
  <c r="M101" i="75"/>
  <c r="L109" i="75"/>
  <c r="L37" i="75" s="1"/>
  <c r="X102" i="75"/>
  <c r="Y103" i="75"/>
  <c r="Y50" i="20"/>
  <c r="Y51" i="20" s="1"/>
  <c r="R2" i="50"/>
  <c r="P50" i="20"/>
  <c r="P51" i="20" s="1"/>
  <c r="I2" i="50"/>
  <c r="H110" i="55"/>
  <c r="AE20" i="26"/>
  <c r="AD78" i="26"/>
  <c r="AD73" i="26" s="1"/>
  <c r="AD11" i="26"/>
  <c r="AD9" i="26" s="1"/>
  <c r="M13" i="20"/>
  <c r="M29" i="20"/>
  <c r="O13" i="20"/>
  <c r="O29" i="20"/>
  <c r="AF26" i="59"/>
  <c r="AF64" i="59" s="1"/>
  <c r="AG50" i="59"/>
  <c r="AF50" i="48"/>
  <c r="AE50" i="48"/>
  <c r="AD50" i="48"/>
  <c r="AC50" i="48"/>
  <c r="AC14" i="48"/>
  <c r="AD14" i="48" s="1"/>
  <c r="AE14" i="48" s="1"/>
  <c r="AF14" i="48" s="1"/>
  <c r="AG14" i="48" s="1"/>
  <c r="AH14" i="48" s="1"/>
  <c r="AI14" i="48" s="1"/>
  <c r="AJ14" i="48" s="1"/>
  <c r="AK14" i="48" s="1"/>
  <c r="AL14" i="48" s="1"/>
  <c r="AM14" i="48" s="1"/>
  <c r="AN14" i="48" s="1"/>
  <c r="AC50" i="20"/>
  <c r="AC51" i="20" s="1"/>
  <c r="D2" i="35"/>
  <c r="E4" i="55" s="1"/>
  <c r="R76" i="26"/>
  <c r="S28" i="26"/>
  <c r="R27" i="26"/>
  <c r="R15" i="26"/>
  <c r="M40" i="48"/>
  <c r="AG51" i="48" s="1"/>
  <c r="M68" i="48"/>
  <c r="M75" i="48" s="1"/>
  <c r="F108" i="55"/>
  <c r="F76" i="55"/>
  <c r="AH69" i="59"/>
  <c r="AH71" i="59" s="1"/>
  <c r="AH70" i="59" s="1"/>
  <c r="M67" i="48"/>
  <c r="M74" i="48" s="1"/>
  <c r="M39" i="48"/>
  <c r="O43" i="30"/>
  <c r="E26" i="21"/>
  <c r="G88" i="55"/>
  <c r="G120" i="55"/>
  <c r="Q73" i="26"/>
  <c r="AC27" i="48"/>
  <c r="AD10" i="48"/>
  <c r="AA12" i="74"/>
  <c r="Z14" i="74"/>
  <c r="Z13" i="74" s="1"/>
  <c r="Z11" i="74" s="1"/>
  <c r="Z19" i="74" s="1"/>
  <c r="AG133" i="48"/>
  <c r="AF25" i="48"/>
  <c r="G22" i="35" s="1"/>
  <c r="AD51" i="48"/>
  <c r="AF51" i="48"/>
  <c r="AE51" i="48"/>
  <c r="AC51" i="48"/>
  <c r="AB16" i="48"/>
  <c r="X14" i="59"/>
  <c r="X63" i="59" s="1"/>
  <c r="X62" i="59" s="1"/>
  <c r="X65" i="59" s="1"/>
  <c r="AI49" i="48"/>
  <c r="AG49" i="48"/>
  <c r="AJ49" i="48"/>
  <c r="AH49" i="48"/>
  <c r="J33" i="59"/>
  <c r="S20" i="38"/>
  <c r="L20" i="38" s="1"/>
  <c r="L19" i="38"/>
  <c r="N19" i="38" s="1"/>
  <c r="Y14" i="75"/>
  <c r="Y16" i="59"/>
  <c r="Y20" i="25"/>
  <c r="Y15" i="59" s="1"/>
  <c r="G77" i="55"/>
  <c r="AC105" i="75"/>
  <c r="AC104" i="75"/>
  <c r="AC106" i="75" s="1"/>
  <c r="H103" i="55"/>
  <c r="H71" i="55"/>
  <c r="L66" i="59"/>
  <c r="K31" i="59"/>
  <c r="K74" i="59"/>
  <c r="K29" i="59" s="1"/>
  <c r="X14" i="75"/>
  <c r="AE10" i="26"/>
  <c r="F10" i="35"/>
  <c r="AG17" i="59"/>
  <c r="AH10" i="33"/>
  <c r="H12" i="35"/>
  <c r="AA85" i="75"/>
  <c r="Z24" i="75"/>
  <c r="Z34" i="75"/>
  <c r="Z99" i="75" s="1"/>
  <c r="AF37" i="59"/>
  <c r="AG27" i="49"/>
  <c r="AF29" i="49"/>
  <c r="AF30" i="49" s="1"/>
  <c r="G11" i="35"/>
  <c r="AJ47" i="48"/>
  <c r="AI47" i="48"/>
  <c r="AH47" i="48"/>
  <c r="AG47" i="48"/>
  <c r="E84" i="55"/>
  <c r="AB13" i="20"/>
  <c r="AB29" i="20"/>
  <c r="AC28" i="48"/>
  <c r="AD12" i="48"/>
  <c r="AI132" i="48"/>
  <c r="AH24" i="48"/>
  <c r="AH19" i="48" s="1"/>
  <c r="I20" i="35" s="1"/>
  <c r="D100" i="55"/>
  <c r="D68" i="55"/>
  <c r="AH28" i="20"/>
  <c r="H5" i="35"/>
  <c r="I7" i="55" s="1"/>
  <c r="AE38" i="59"/>
  <c r="E18" i="35"/>
  <c r="I86" i="55"/>
  <c r="I118" i="55"/>
  <c r="AH11" i="25"/>
  <c r="AH20" i="25" s="1"/>
  <c r="AI13" i="25"/>
  <c r="AH15" i="25"/>
  <c r="AH14" i="25" s="1"/>
  <c r="H106" i="55"/>
  <c r="H74" i="55"/>
  <c r="I102" i="55"/>
  <c r="I70" i="55"/>
  <c r="AA13" i="20"/>
  <c r="AA29" i="20"/>
  <c r="AI11" i="20"/>
  <c r="I4" i="35"/>
  <c r="J6" i="55" s="1"/>
  <c r="Q32" i="38"/>
  <c r="H104" i="55"/>
  <c r="H72" i="55"/>
  <c r="H13" i="55" l="1"/>
  <c r="H13" i="83"/>
  <c r="G109" i="83"/>
  <c r="G77" i="83"/>
  <c r="G12" i="55"/>
  <c r="G12" i="83"/>
  <c r="F108" i="83"/>
  <c r="F76" i="83"/>
  <c r="I14" i="55"/>
  <c r="I14" i="83"/>
  <c r="H110" i="83"/>
  <c r="H78" i="83"/>
  <c r="F20" i="55"/>
  <c r="F84" i="55" s="1"/>
  <c r="F20" i="83"/>
  <c r="E84" i="83"/>
  <c r="E116" i="83"/>
  <c r="H24" i="55"/>
  <c r="H24" i="83"/>
  <c r="I118" i="83"/>
  <c r="J22" i="55"/>
  <c r="J22" i="83"/>
  <c r="G120" i="83"/>
  <c r="M39" i="75"/>
  <c r="N101" i="75"/>
  <c r="M109" i="75"/>
  <c r="M37" i="75" s="1"/>
  <c r="I110" i="55"/>
  <c r="I78" i="55"/>
  <c r="AI10" i="33"/>
  <c r="AH17" i="59"/>
  <c r="I12" i="35"/>
  <c r="Y14" i="59"/>
  <c r="Y63" i="59" s="1"/>
  <c r="Y62" i="59" s="1"/>
  <c r="Y65" i="59" s="1"/>
  <c r="S27" i="26"/>
  <c r="S15" i="26"/>
  <c r="S20" i="26" s="1"/>
  <c r="S78" i="26" s="1"/>
  <c r="T28" i="26"/>
  <c r="S76" i="26"/>
  <c r="L41" i="75"/>
  <c r="G108" i="55"/>
  <c r="G76" i="55"/>
  <c r="H120" i="55"/>
  <c r="H88" i="55"/>
  <c r="E100" i="55"/>
  <c r="E68" i="55"/>
  <c r="AD50" i="20"/>
  <c r="AD51" i="20" s="1"/>
  <c r="E2" i="35"/>
  <c r="F4" i="55" s="1"/>
  <c r="AJ13" i="30"/>
  <c r="AK17" i="30"/>
  <c r="AH133" i="48"/>
  <c r="AG25" i="48"/>
  <c r="H22" i="35" s="1"/>
  <c r="AJ50" i="48"/>
  <c r="AI50" i="48"/>
  <c r="AH50" i="48"/>
  <c r="AG50" i="48"/>
  <c r="AC13" i="20"/>
  <c r="AC29" i="20"/>
  <c r="AF20" i="26"/>
  <c r="AE11" i="26"/>
  <c r="AE9" i="26" s="1"/>
  <c r="AE78" i="26"/>
  <c r="AE73" i="26" s="1"/>
  <c r="I103" i="55"/>
  <c r="I71" i="55"/>
  <c r="AA67" i="59"/>
  <c r="AB68" i="59"/>
  <c r="AI28" i="20"/>
  <c r="I5" i="35"/>
  <c r="J7" i="55" s="1"/>
  <c r="AI69" i="59"/>
  <c r="AI71" i="59" s="1"/>
  <c r="AI70" i="59" s="1"/>
  <c r="I72" i="55"/>
  <c r="I104" i="55"/>
  <c r="N20" i="38"/>
  <c r="N46" i="38" s="1"/>
  <c r="N47" i="38" s="1"/>
  <c r="L46" i="38"/>
  <c r="L47" i="38" s="1"/>
  <c r="J118" i="55"/>
  <c r="J86" i="55"/>
  <c r="K33" i="59"/>
  <c r="D3" i="50" s="1"/>
  <c r="AA14" i="74"/>
  <c r="AA13" i="74" s="1"/>
  <c r="AA11" i="74"/>
  <c r="AA19" i="74" s="1"/>
  <c r="AB12" i="74"/>
  <c r="AI12" i="30"/>
  <c r="AH11" i="30"/>
  <c r="AH46" i="30" s="1"/>
  <c r="I6" i="35" s="1"/>
  <c r="J8" i="55" s="1"/>
  <c r="L31" i="59"/>
  <c r="M66" i="59"/>
  <c r="L74" i="59"/>
  <c r="L29" i="59" s="1"/>
  <c r="AD9" i="48"/>
  <c r="AD27" i="48"/>
  <c r="AE10" i="48"/>
  <c r="P13" i="20"/>
  <c r="P29" i="20"/>
  <c r="AF38" i="59"/>
  <c r="F18" i="35"/>
  <c r="AJ11" i="20"/>
  <c r="J4" i="35"/>
  <c r="K6" i="55" s="1"/>
  <c r="AJ132" i="48"/>
  <c r="AJ24" i="48" s="1"/>
  <c r="AJ19" i="48" s="1"/>
  <c r="K20" i="35" s="1"/>
  <c r="AI24" i="48"/>
  <c r="AI19" i="48" s="1"/>
  <c r="J20" i="35" s="1"/>
  <c r="G10" i="35"/>
  <c r="AF10" i="26"/>
  <c r="AD28" i="48"/>
  <c r="AE12" i="48"/>
  <c r="AG37" i="59"/>
  <c r="AG29" i="49"/>
  <c r="AG30" i="49" s="1"/>
  <c r="AH27" i="49"/>
  <c r="H11" i="35"/>
  <c r="O34" i="38"/>
  <c r="Q34" i="38" s="1"/>
  <c r="S35" i="38"/>
  <c r="H109" i="55"/>
  <c r="H77" i="55"/>
  <c r="AC9" i="48"/>
  <c r="AG26" i="59"/>
  <c r="AG64" i="59" s="1"/>
  <c r="AH50" i="59"/>
  <c r="Y29" i="20"/>
  <c r="Y13" i="20"/>
  <c r="AI15" i="25"/>
  <c r="AI14" i="25" s="1"/>
  <c r="AI11" i="25" s="1"/>
  <c r="AI20" i="25" s="1"/>
  <c r="AJ13" i="25"/>
  <c r="AG27" i="48"/>
  <c r="AH10" i="48"/>
  <c r="Y102" i="75"/>
  <c r="Z103" i="75"/>
  <c r="I106" i="55"/>
  <c r="I74" i="55"/>
  <c r="AH14" i="59"/>
  <c r="I8" i="35"/>
  <c r="J10" i="55" s="1"/>
  <c r="Z28" i="75"/>
  <c r="Z26" i="75" s="1"/>
  <c r="J70" i="55"/>
  <c r="J102" i="55"/>
  <c r="AD104" i="75"/>
  <c r="AD106" i="75" s="1"/>
  <c r="AD105" i="75" s="1"/>
  <c r="AC16" i="48"/>
  <c r="AB118" i="48"/>
  <c r="AC118" i="48" s="1"/>
  <c r="AD118" i="48" s="1"/>
  <c r="AE118" i="48" s="1"/>
  <c r="AF118" i="48" s="1"/>
  <c r="AG118" i="48" s="1"/>
  <c r="AH118" i="48" s="1"/>
  <c r="AI118" i="48" s="1"/>
  <c r="AJ118" i="48" s="1"/>
  <c r="C21" i="35"/>
  <c r="AB85" i="75"/>
  <c r="AA24" i="75"/>
  <c r="AA34" i="75"/>
  <c r="AA99" i="75" s="1"/>
  <c r="Q50" i="20"/>
  <c r="Q51" i="20" s="1"/>
  <c r="J2" i="50"/>
  <c r="R20" i="26"/>
  <c r="R78" i="26" s="1"/>
  <c r="R73" i="26" s="1"/>
  <c r="J22" i="33"/>
  <c r="G76" i="83" l="1"/>
  <c r="G108" i="83"/>
  <c r="I13" i="55"/>
  <c r="I13" i="83"/>
  <c r="H77" i="83"/>
  <c r="H109" i="83"/>
  <c r="H12" i="55"/>
  <c r="H108" i="55" s="1"/>
  <c r="H12" i="83"/>
  <c r="J14" i="55"/>
  <c r="J14" i="83"/>
  <c r="I110" i="83"/>
  <c r="I78" i="83"/>
  <c r="G20" i="55"/>
  <c r="G116" i="55" s="1"/>
  <c r="G20" i="83"/>
  <c r="F116" i="55"/>
  <c r="F116" i="83"/>
  <c r="F84" i="83"/>
  <c r="D23" i="55"/>
  <c r="D23" i="83"/>
  <c r="I24" i="55"/>
  <c r="I88" i="55" s="1"/>
  <c r="I24" i="83"/>
  <c r="J118" i="83"/>
  <c r="L22" i="55"/>
  <c r="L22" i="83"/>
  <c r="K22" i="55"/>
  <c r="K22" i="83"/>
  <c r="H120" i="83"/>
  <c r="R50" i="20"/>
  <c r="R51" i="20" s="1"/>
  <c r="K2" i="50"/>
  <c r="AI14" i="59"/>
  <c r="J8" i="35"/>
  <c r="K10" i="55" s="1"/>
  <c r="AE105" i="75"/>
  <c r="AE104" i="75"/>
  <c r="AE106" i="75" s="1"/>
  <c r="AJ69" i="59"/>
  <c r="AJ71" i="59" s="1"/>
  <c r="AJ70" i="59" s="1"/>
  <c r="I109" i="55"/>
  <c r="I77" i="55"/>
  <c r="T27" i="26"/>
  <c r="T76" i="26"/>
  <c r="T15" i="26"/>
  <c r="U28" i="26"/>
  <c r="AG38" i="59"/>
  <c r="G18" i="35"/>
  <c r="AI27" i="49"/>
  <c r="AH37" i="59"/>
  <c r="AH29" i="49"/>
  <c r="AH30" i="49" s="1"/>
  <c r="I11" i="35"/>
  <c r="AE50" i="20"/>
  <c r="AE51" i="20" s="1"/>
  <c r="F2" i="35"/>
  <c r="G4" i="55" s="1"/>
  <c r="F68" i="55"/>
  <c r="F100" i="55"/>
  <c r="AJ11" i="25"/>
  <c r="AJ20" i="25" s="1"/>
  <c r="AK13" i="25"/>
  <c r="AJ15" i="25"/>
  <c r="AJ14" i="25" s="1"/>
  <c r="AG10" i="26"/>
  <c r="H10" i="35"/>
  <c r="AE9" i="48"/>
  <c r="AE27" i="48"/>
  <c r="AF10" i="48"/>
  <c r="AG20" i="26"/>
  <c r="AF78" i="26"/>
  <c r="AF73" i="26" s="1"/>
  <c r="AF11" i="26"/>
  <c r="J78" i="55"/>
  <c r="J110" i="55"/>
  <c r="AC85" i="75"/>
  <c r="AB34" i="75"/>
  <c r="AB99" i="75" s="1"/>
  <c r="AB24" i="75"/>
  <c r="Q13" i="20"/>
  <c r="Q29" i="20"/>
  <c r="J106" i="55"/>
  <c r="J74" i="55"/>
  <c r="AE28" i="48"/>
  <c r="AF12" i="48"/>
  <c r="AD26" i="48"/>
  <c r="E19" i="35"/>
  <c r="AI50" i="59"/>
  <c r="AH26" i="59"/>
  <c r="AH64" i="59" s="1"/>
  <c r="AJ10" i="33"/>
  <c r="AI17" i="59"/>
  <c r="J12" i="35"/>
  <c r="AA28" i="75"/>
  <c r="AA26" i="75" s="1"/>
  <c r="AF9" i="26"/>
  <c r="N66" i="59"/>
  <c r="M31" i="59"/>
  <c r="M74" i="59"/>
  <c r="M29" i="59" s="1"/>
  <c r="AC26" i="48"/>
  <c r="D19" i="35"/>
  <c r="L33" i="59"/>
  <c r="E3" i="50" s="1"/>
  <c r="J104" i="55"/>
  <c r="J72" i="55"/>
  <c r="J71" i="55"/>
  <c r="J103" i="55"/>
  <c r="AI11" i="30"/>
  <c r="AI46" i="30" s="1"/>
  <c r="J6" i="35" s="1"/>
  <c r="K8" i="55" s="1"/>
  <c r="AJ12" i="30"/>
  <c r="AJ28" i="20"/>
  <c r="J5" i="35"/>
  <c r="K7" i="55" s="1"/>
  <c r="K118" i="55"/>
  <c r="K86" i="55"/>
  <c r="AD16" i="48"/>
  <c r="D21" i="35"/>
  <c r="AH27" i="48"/>
  <c r="AI10" i="48"/>
  <c r="K70" i="55"/>
  <c r="K102" i="55"/>
  <c r="AC12" i="74"/>
  <c r="AB11" i="74"/>
  <c r="AB19" i="74" s="1"/>
  <c r="AB14" i="74"/>
  <c r="AB13" i="74" s="1"/>
  <c r="AB67" i="59"/>
  <c r="AC68" i="59"/>
  <c r="AI133" i="48"/>
  <c r="AH25" i="48"/>
  <c r="I22" i="35" s="1"/>
  <c r="D119" i="55"/>
  <c r="D87" i="55"/>
  <c r="Z102" i="75"/>
  <c r="AA103" i="75"/>
  <c r="AK11" i="20"/>
  <c r="AL11" i="20" s="1"/>
  <c r="AM11" i="20" s="1"/>
  <c r="AN11" i="20" s="1"/>
  <c r="K4" i="35"/>
  <c r="L6" i="55" s="1"/>
  <c r="O101" i="75"/>
  <c r="N39" i="75"/>
  <c r="N109" i="75"/>
  <c r="N37" i="75" s="1"/>
  <c r="S36" i="38"/>
  <c r="O36" i="38" s="1"/>
  <c r="O35" i="38"/>
  <c r="Q35" i="38" s="1"/>
  <c r="AK13" i="30"/>
  <c r="AL17" i="30"/>
  <c r="S73" i="26"/>
  <c r="M41" i="75"/>
  <c r="G84" i="55" l="1"/>
  <c r="H108" i="83"/>
  <c r="H76" i="83"/>
  <c r="I12" i="55"/>
  <c r="I12" i="83"/>
  <c r="H76" i="55"/>
  <c r="J13" i="55"/>
  <c r="J77" i="55" s="1"/>
  <c r="J13" i="83"/>
  <c r="I77" i="83"/>
  <c r="I109" i="83"/>
  <c r="K14" i="55"/>
  <c r="K14" i="83"/>
  <c r="J110" i="83"/>
  <c r="J78" i="83"/>
  <c r="H20" i="55"/>
  <c r="H20" i="83"/>
  <c r="G116" i="83"/>
  <c r="G84" i="83"/>
  <c r="I120" i="55"/>
  <c r="J24" i="55"/>
  <c r="J24" i="83"/>
  <c r="K118" i="83"/>
  <c r="E23" i="55"/>
  <c r="E23" i="83"/>
  <c r="F21" i="55"/>
  <c r="F117" i="55" s="1"/>
  <c r="F21" i="83"/>
  <c r="I120" i="83"/>
  <c r="E21" i="55"/>
  <c r="E117" i="55" s="1"/>
  <c r="E21" i="83"/>
  <c r="D119" i="83"/>
  <c r="AK70" i="59"/>
  <c r="AK69" i="59"/>
  <c r="AE16" i="48"/>
  <c r="E21" i="35"/>
  <c r="AC24" i="75"/>
  <c r="AD85" i="75"/>
  <c r="AE85" i="75" s="1"/>
  <c r="AF85" i="75" s="1"/>
  <c r="AG85" i="75" s="1"/>
  <c r="AC34" i="75"/>
  <c r="AC99" i="75" s="1"/>
  <c r="AJ14" i="59"/>
  <c r="K8" i="35"/>
  <c r="L10" i="55" s="1"/>
  <c r="U27" i="26"/>
  <c r="U15" i="26"/>
  <c r="U20" i="26" s="1"/>
  <c r="U78" i="26" s="1"/>
  <c r="V28" i="26"/>
  <c r="U76" i="26"/>
  <c r="T20" i="26"/>
  <c r="T78" i="26" s="1"/>
  <c r="T73" i="26" s="1"/>
  <c r="AL13" i="30"/>
  <c r="AM17" i="30"/>
  <c r="J120" i="55"/>
  <c r="J88" i="55"/>
  <c r="AJ133" i="48"/>
  <c r="AJ25" i="48" s="1"/>
  <c r="K22" i="35" s="1"/>
  <c r="AI25" i="48"/>
  <c r="J22" i="35" s="1"/>
  <c r="AI26" i="59"/>
  <c r="AI64" i="59" s="1"/>
  <c r="AJ50" i="59"/>
  <c r="AD68" i="59"/>
  <c r="AC67" i="59"/>
  <c r="K104" i="55"/>
  <c r="K72" i="55"/>
  <c r="AA102" i="75"/>
  <c r="AB103" i="75"/>
  <c r="AI27" i="48"/>
  <c r="AJ10" i="48"/>
  <c r="S50" i="20"/>
  <c r="S51" i="20" s="1"/>
  <c r="L2" i="50"/>
  <c r="AK10" i="33"/>
  <c r="AJ17" i="59"/>
  <c r="K12" i="35"/>
  <c r="G100" i="55"/>
  <c r="G68" i="55"/>
  <c r="Q36" i="38"/>
  <c r="Q46" i="38" s="1"/>
  <c r="Q47" i="38" s="1"/>
  <c r="O46" i="38"/>
  <c r="O47" i="38" s="1"/>
  <c r="K103" i="55"/>
  <c r="K71" i="55"/>
  <c r="AF50" i="20"/>
  <c r="AF51" i="20" s="1"/>
  <c r="G2" i="35"/>
  <c r="H4" i="55" s="1"/>
  <c r="AK28" i="20"/>
  <c r="AL28" i="20" s="1"/>
  <c r="AM28" i="20" s="1"/>
  <c r="AN28" i="20" s="1"/>
  <c r="K5" i="35"/>
  <c r="L7" i="55" s="1"/>
  <c r="AF28" i="48"/>
  <c r="AG12" i="48"/>
  <c r="AH20" i="26"/>
  <c r="AG11" i="26"/>
  <c r="AG78" i="26"/>
  <c r="AG73" i="26" s="1"/>
  <c r="N41" i="75"/>
  <c r="AC14" i="74"/>
  <c r="AC13" i="74" s="1"/>
  <c r="AC11" i="74"/>
  <c r="AC19" i="74" s="1"/>
  <c r="AK12" i="30"/>
  <c r="AJ11" i="30"/>
  <c r="AJ46" i="30" s="1"/>
  <c r="K6" i="35" s="1"/>
  <c r="L8" i="55" s="1"/>
  <c r="M33" i="59"/>
  <c r="F3" i="50" s="1"/>
  <c r="AF9" i="48"/>
  <c r="AF27" i="48"/>
  <c r="AH10" i="26"/>
  <c r="I10" i="35"/>
  <c r="AE26" i="48"/>
  <c r="F19" i="35"/>
  <c r="AF104" i="75"/>
  <c r="AF106" i="75" s="1"/>
  <c r="AF105" i="75"/>
  <c r="O39" i="75"/>
  <c r="O41" i="75" s="1"/>
  <c r="P101" i="75"/>
  <c r="O109" i="75"/>
  <c r="O37" i="75" s="1"/>
  <c r="O66" i="59"/>
  <c r="N31" i="59"/>
  <c r="N74" i="59"/>
  <c r="N29" i="59" s="1"/>
  <c r="I76" i="55"/>
  <c r="I108" i="55"/>
  <c r="AI37" i="59"/>
  <c r="AI29" i="49"/>
  <c r="AI30" i="49" s="1"/>
  <c r="AJ27" i="49"/>
  <c r="J11" i="35"/>
  <c r="K74" i="55"/>
  <c r="K106" i="55"/>
  <c r="H116" i="55"/>
  <c r="H84" i="55"/>
  <c r="AG9" i="26"/>
  <c r="K110" i="55"/>
  <c r="K78" i="55"/>
  <c r="AB28" i="75"/>
  <c r="AB26" i="75" s="1"/>
  <c r="AH38" i="59"/>
  <c r="H18" i="35"/>
  <c r="E87" i="55"/>
  <c r="E119" i="55"/>
  <c r="AL13" i="25"/>
  <c r="AK15" i="25"/>
  <c r="AK14" i="25" s="1"/>
  <c r="AK11" i="25" s="1"/>
  <c r="AK20" i="25" s="1"/>
  <c r="AK14" i="59" s="1"/>
  <c r="R13" i="20"/>
  <c r="R29" i="20"/>
  <c r="J77" i="83" l="1"/>
  <c r="J109" i="83"/>
  <c r="J109" i="55"/>
  <c r="I108" i="83"/>
  <c r="I76" i="83"/>
  <c r="K13" i="55"/>
  <c r="K109" i="55" s="1"/>
  <c r="K13" i="83"/>
  <c r="J12" i="55"/>
  <c r="J108" i="55" s="1"/>
  <c r="J12" i="83"/>
  <c r="L14" i="55"/>
  <c r="L14" i="83"/>
  <c r="K110" i="83"/>
  <c r="K78" i="83"/>
  <c r="I20" i="55"/>
  <c r="I84" i="55" s="1"/>
  <c r="I20" i="83"/>
  <c r="H116" i="83"/>
  <c r="H84" i="83"/>
  <c r="F85" i="55"/>
  <c r="E117" i="83"/>
  <c r="E85" i="55"/>
  <c r="F117" i="83"/>
  <c r="G21" i="55"/>
  <c r="G85" i="55" s="1"/>
  <c r="G21" i="83"/>
  <c r="K24" i="55"/>
  <c r="K120" i="55" s="1"/>
  <c r="K24" i="83"/>
  <c r="E119" i="83"/>
  <c r="F23" i="55"/>
  <c r="F87" i="55" s="1"/>
  <c r="F23" i="83"/>
  <c r="L24" i="55"/>
  <c r="L24" i="83"/>
  <c r="J120" i="83"/>
  <c r="T50" i="20"/>
  <c r="T51" i="20" s="1"/>
  <c r="M2" i="50"/>
  <c r="AG28" i="48"/>
  <c r="AH12" i="48"/>
  <c r="AG9" i="48"/>
  <c r="AF26" i="48"/>
  <c r="G19" i="35"/>
  <c r="U73" i="26"/>
  <c r="V27" i="26"/>
  <c r="V15" i="26"/>
  <c r="V20" i="26" s="1"/>
  <c r="V78" i="26" s="1"/>
  <c r="V76" i="26"/>
  <c r="W28" i="26"/>
  <c r="N33" i="59"/>
  <c r="G3" i="50" s="1"/>
  <c r="AE68" i="59"/>
  <c r="AD67" i="59"/>
  <c r="AK11" i="30"/>
  <c r="AK46" i="30" s="1"/>
  <c r="AL12" i="30"/>
  <c r="H68" i="55"/>
  <c r="H100" i="55"/>
  <c r="AK17" i="59"/>
  <c r="AL10" i="33"/>
  <c r="AJ26" i="59"/>
  <c r="AJ64" i="59" s="1"/>
  <c r="AK50" i="59"/>
  <c r="Q101" i="75"/>
  <c r="P39" i="75"/>
  <c r="P109" i="75"/>
  <c r="P37" i="75" s="1"/>
  <c r="AM13" i="25"/>
  <c r="AL15" i="25"/>
  <c r="AL14" i="25" s="1"/>
  <c r="AL11" i="25"/>
  <c r="AL20" i="25" s="1"/>
  <c r="AL14" i="59" s="1"/>
  <c r="D135" i="75"/>
  <c r="S13" i="20"/>
  <c r="S29" i="20"/>
  <c r="K88" i="55"/>
  <c r="AJ27" i="48"/>
  <c r="AK10" i="48"/>
  <c r="AC28" i="75"/>
  <c r="AC26" i="75" s="1"/>
  <c r="F119" i="55"/>
  <c r="AB102" i="75"/>
  <c r="AC103" i="75"/>
  <c r="AM13" i="30"/>
  <c r="AN17" i="30"/>
  <c r="AN13" i="30" s="1"/>
  <c r="AF16" i="48"/>
  <c r="F21" i="35"/>
  <c r="O31" i="59"/>
  <c r="P66" i="59"/>
  <c r="O74" i="59"/>
  <c r="O29" i="59" s="1"/>
  <c r="AJ37" i="59"/>
  <c r="AJ29" i="49"/>
  <c r="AJ30" i="49" s="1"/>
  <c r="AK27" i="49"/>
  <c r="K11" i="35"/>
  <c r="AI38" i="59"/>
  <c r="I18" i="35"/>
  <c r="AG50" i="20"/>
  <c r="AG51" i="20" s="1"/>
  <c r="H2" i="35"/>
  <c r="I4" i="55" s="1"/>
  <c r="J10" i="35"/>
  <c r="AI10" i="26"/>
  <c r="J76" i="55"/>
  <c r="AH11" i="26"/>
  <c r="AH9" i="26" s="1"/>
  <c r="AH78" i="26"/>
  <c r="AH73" i="26" s="1"/>
  <c r="AI20" i="26"/>
  <c r="AL69" i="59"/>
  <c r="AL70" i="59"/>
  <c r="I116" i="55" l="1"/>
  <c r="K77" i="55"/>
  <c r="K109" i="83"/>
  <c r="K77" i="83"/>
  <c r="L13" i="55"/>
  <c r="L13" i="83"/>
  <c r="J108" i="83"/>
  <c r="J76" i="83"/>
  <c r="K12" i="55"/>
  <c r="K12" i="83"/>
  <c r="O33" i="59"/>
  <c r="H3" i="50" s="1"/>
  <c r="D100" i="59"/>
  <c r="I84" i="83"/>
  <c r="I116" i="83"/>
  <c r="J20" i="55"/>
  <c r="J84" i="55" s="1"/>
  <c r="J20" i="83"/>
  <c r="G117" i="55"/>
  <c r="K120" i="83"/>
  <c r="H21" i="55"/>
  <c r="H117" i="55" s="1"/>
  <c r="H21" i="83"/>
  <c r="G117" i="83"/>
  <c r="F119" i="83"/>
  <c r="G23" i="55"/>
  <c r="G87" i="55" s="1"/>
  <c r="G23" i="83"/>
  <c r="K108" i="55"/>
  <c r="K76" i="55"/>
  <c r="P41" i="75"/>
  <c r="W15" i="26"/>
  <c r="W20" i="26" s="1"/>
  <c r="W78" i="26" s="1"/>
  <c r="W76" i="26"/>
  <c r="W73" i="26" s="1"/>
  <c r="X28" i="26"/>
  <c r="W27" i="26"/>
  <c r="I100" i="55"/>
  <c r="I68" i="55"/>
  <c r="Q39" i="75"/>
  <c r="Q41" i="75" s="1"/>
  <c r="R101" i="75"/>
  <c r="Q109" i="75"/>
  <c r="Q37" i="75" s="1"/>
  <c r="V73" i="26"/>
  <c r="AK26" i="59"/>
  <c r="AK64" i="59" s="1"/>
  <c r="AL50" i="59"/>
  <c r="AG16" i="48"/>
  <c r="G21" i="35"/>
  <c r="AM10" i="33"/>
  <c r="K22" i="33" s="1"/>
  <c r="AL17" i="59"/>
  <c r="U50" i="20"/>
  <c r="U51" i="20" s="1"/>
  <c r="N2" i="50"/>
  <c r="J116" i="55"/>
  <c r="AJ38" i="59"/>
  <c r="J18" i="35"/>
  <c r="P31" i="59"/>
  <c r="Q66" i="59"/>
  <c r="P74" i="59"/>
  <c r="P29" i="59" s="1"/>
  <c r="AI11" i="26"/>
  <c r="AI78" i="26"/>
  <c r="AI73" i="26" s="1"/>
  <c r="AJ20" i="26"/>
  <c r="AH50" i="20"/>
  <c r="AH51" i="20" s="1"/>
  <c r="I2" i="35"/>
  <c r="J4" i="55" s="1"/>
  <c r="AK37" i="59"/>
  <c r="AL27" i="49"/>
  <c r="AK29" i="49"/>
  <c r="AK10" i="26" s="1"/>
  <c r="AM12" i="30"/>
  <c r="AL11" i="30"/>
  <c r="AL46" i="30" s="1"/>
  <c r="AG26" i="48"/>
  <c r="H19" i="35"/>
  <c r="AI12" i="48"/>
  <c r="AH28" i="48"/>
  <c r="AH9" i="48"/>
  <c r="AM70" i="59"/>
  <c r="AM69" i="59"/>
  <c r="AJ10" i="26"/>
  <c r="K10" i="35"/>
  <c r="AN13" i="25"/>
  <c r="AM15" i="25"/>
  <c r="AM14" i="25" s="1"/>
  <c r="AM11" i="25" s="1"/>
  <c r="AM20" i="25" s="1"/>
  <c r="AM14" i="59" s="1"/>
  <c r="AF68" i="59"/>
  <c r="AE67" i="59"/>
  <c r="T29" i="20"/>
  <c r="T13" i="20"/>
  <c r="AD103" i="75"/>
  <c r="AC102" i="75"/>
  <c r="AI9" i="26"/>
  <c r="L12" i="55" l="1"/>
  <c r="L12" i="83"/>
  <c r="K108" i="83"/>
  <c r="K76" i="83"/>
  <c r="J84" i="83"/>
  <c r="J116" i="83"/>
  <c r="K20" i="55"/>
  <c r="K84" i="55" s="1"/>
  <c r="K20" i="83"/>
  <c r="H85" i="55"/>
  <c r="G119" i="55"/>
  <c r="I21" i="55"/>
  <c r="I21" i="83"/>
  <c r="I85" i="83" s="1"/>
  <c r="H117" i="83"/>
  <c r="G119" i="83"/>
  <c r="H23" i="55"/>
  <c r="H87" i="55" s="1"/>
  <c r="H23" i="83"/>
  <c r="S101" i="75"/>
  <c r="R39" i="75"/>
  <c r="R109" i="75"/>
  <c r="R37" i="75" s="1"/>
  <c r="AL29" i="49"/>
  <c r="AL10" i="26" s="1"/>
  <c r="AM27" i="49"/>
  <c r="AL37" i="59"/>
  <c r="J100" i="55"/>
  <c r="J68" i="55"/>
  <c r="AN70" i="59"/>
  <c r="AN69" i="59"/>
  <c r="U13" i="20"/>
  <c r="U29" i="20"/>
  <c r="AH26" i="48"/>
  <c r="I19" i="35"/>
  <c r="AJ11" i="26"/>
  <c r="AJ9" i="26" s="1"/>
  <c r="AJ78" i="26"/>
  <c r="AJ73" i="26" s="1"/>
  <c r="AK20" i="26"/>
  <c r="AI50" i="20"/>
  <c r="AI51" i="20" s="1"/>
  <c r="J2" i="35"/>
  <c r="K4" i="55" s="1"/>
  <c r="AD102" i="75"/>
  <c r="AE103" i="75"/>
  <c r="AI28" i="48"/>
  <c r="AJ12" i="48"/>
  <c r="AI9" i="48"/>
  <c r="AM17" i="59"/>
  <c r="AN10" i="33"/>
  <c r="AN17" i="59" s="1"/>
  <c r="X76" i="26"/>
  <c r="X27" i="26"/>
  <c r="AO27" i="26" s="1"/>
  <c r="X15" i="26"/>
  <c r="AO28" i="26"/>
  <c r="AP15" i="26" s="1"/>
  <c r="I117" i="55"/>
  <c r="I85" i="55"/>
  <c r="R66" i="59"/>
  <c r="Q31" i="59"/>
  <c r="Q74" i="59"/>
  <c r="Q29" i="59" s="1"/>
  <c r="AH16" i="48"/>
  <c r="H21" i="35"/>
  <c r="W50" i="20"/>
  <c r="W51" i="20" s="1"/>
  <c r="P2" i="50"/>
  <c r="P33" i="59"/>
  <c r="I3" i="50" s="1"/>
  <c r="AN12" i="30"/>
  <c r="AN11" i="30" s="1"/>
  <c r="AN46" i="30" s="1"/>
  <c r="AM11" i="30"/>
  <c r="AM46" i="30" s="1"/>
  <c r="AK38" i="59"/>
  <c r="AL38" i="59" s="1"/>
  <c r="AM38" i="59" s="1"/>
  <c r="AN38" i="59" s="1"/>
  <c r="K18" i="35"/>
  <c r="AM50" i="59"/>
  <c r="AL26" i="59"/>
  <c r="AG68" i="59"/>
  <c r="AF67" i="59"/>
  <c r="AN11" i="25"/>
  <c r="AN20" i="25" s="1"/>
  <c r="AN14" i="59" s="1"/>
  <c r="AN15" i="25"/>
  <c r="AN14" i="25" s="1"/>
  <c r="V50" i="20"/>
  <c r="V51" i="20" s="1"/>
  <c r="O2" i="50"/>
  <c r="AK30" i="49"/>
  <c r="Q33" i="59" l="1"/>
  <c r="J3" i="50" s="1"/>
  <c r="K116" i="55"/>
  <c r="K116" i="83"/>
  <c r="K84" i="83"/>
  <c r="L20" i="55"/>
  <c r="L20" i="83"/>
  <c r="H119" i="83"/>
  <c r="I23" i="55"/>
  <c r="I23" i="83"/>
  <c r="H119" i="55"/>
  <c r="I117" i="83"/>
  <c r="J21" i="55"/>
  <c r="J85" i="55" s="1"/>
  <c r="J21" i="83"/>
  <c r="J85" i="83" s="1"/>
  <c r="AL30" i="49"/>
  <c r="AM26" i="59"/>
  <c r="AM64" i="59" s="1"/>
  <c r="AN50" i="59"/>
  <c r="AN26" i="59" s="1"/>
  <c r="AN64" i="59" s="1"/>
  <c r="AL64" i="59"/>
  <c r="AJ28" i="48"/>
  <c r="AK12" i="48"/>
  <c r="AJ9" i="48"/>
  <c r="S66" i="59"/>
  <c r="R31" i="59"/>
  <c r="R74" i="59"/>
  <c r="R29" i="59" s="1"/>
  <c r="AE102" i="75"/>
  <c r="AF103" i="75"/>
  <c r="AF102" i="75" s="1"/>
  <c r="K100" i="55"/>
  <c r="K68" i="55"/>
  <c r="AM37" i="59"/>
  <c r="AM29" i="49"/>
  <c r="AM10" i="26" s="1"/>
  <c r="AN27" i="49"/>
  <c r="X20" i="26"/>
  <c r="X78" i="26" s="1"/>
  <c r="X73" i="26" s="1"/>
  <c r="AO15" i="26"/>
  <c r="AK78" i="26"/>
  <c r="AK73" i="26" s="1"/>
  <c r="AK50" i="20" s="1"/>
  <c r="AK51" i="20" s="1"/>
  <c r="AL20" i="26"/>
  <c r="AK11" i="26"/>
  <c r="AK9" i="26" s="1"/>
  <c r="AJ50" i="20"/>
  <c r="AJ51" i="20" s="1"/>
  <c r="K2" i="35"/>
  <c r="L4" i="55" s="1"/>
  <c r="V29" i="20"/>
  <c r="V13" i="20"/>
  <c r="R41" i="75"/>
  <c r="T101" i="75"/>
  <c r="S39" i="75"/>
  <c r="S109" i="75"/>
  <c r="S37" i="75" s="1"/>
  <c r="W13" i="20"/>
  <c r="W29" i="20"/>
  <c r="I119" i="55"/>
  <c r="I87" i="55"/>
  <c r="AG67" i="59"/>
  <c r="AH68" i="59"/>
  <c r="AI16" i="48"/>
  <c r="I21" i="35"/>
  <c r="AI26" i="48"/>
  <c r="J19" i="35"/>
  <c r="R33" i="59" l="1"/>
  <c r="K3" i="50" s="1"/>
  <c r="J117" i="55"/>
  <c r="K21" i="55"/>
  <c r="K117" i="55" s="1"/>
  <c r="K21" i="83"/>
  <c r="K85" i="83" s="1"/>
  <c r="J117" i="83"/>
  <c r="I119" i="83"/>
  <c r="J23" i="55"/>
  <c r="J87" i="55" s="1"/>
  <c r="J23" i="83"/>
  <c r="AM30" i="49"/>
  <c r="Q2" i="50"/>
  <c r="X50" i="20"/>
  <c r="X51" i="20" s="1"/>
  <c r="AL78" i="26"/>
  <c r="AL73" i="26" s="1"/>
  <c r="AL50" i="20" s="1"/>
  <c r="AL51" i="20" s="1"/>
  <c r="AM20" i="26"/>
  <c r="AL11" i="26"/>
  <c r="AL9" i="26" s="1"/>
  <c r="T66" i="59"/>
  <c r="S31" i="59"/>
  <c r="S74" i="59"/>
  <c r="S29" i="59" s="1"/>
  <c r="AJ26" i="48"/>
  <c r="K19" i="35"/>
  <c r="S41" i="75"/>
  <c r="E135" i="75"/>
  <c r="U101" i="75"/>
  <c r="T39" i="75"/>
  <c r="T109" i="75"/>
  <c r="T37" i="75" s="1"/>
  <c r="AL12" i="48"/>
  <c r="AK9" i="48"/>
  <c r="AN29" i="49"/>
  <c r="AN10" i="26" s="1"/>
  <c r="AN37" i="59"/>
  <c r="AJ16" i="48"/>
  <c r="J21" i="35"/>
  <c r="AI68" i="59"/>
  <c r="AH67" i="59"/>
  <c r="K85" i="55" l="1"/>
  <c r="J119" i="83"/>
  <c r="L21" i="55"/>
  <c r="L21" i="83"/>
  <c r="K23" i="55"/>
  <c r="K119" i="55" s="1"/>
  <c r="K23" i="83"/>
  <c r="J119" i="55"/>
  <c r="K117" i="83"/>
  <c r="AN30" i="49"/>
  <c r="AJ68" i="59"/>
  <c r="AI67" i="59"/>
  <c r="AK16" i="48"/>
  <c r="AL16" i="48" s="1"/>
  <c r="AM16" i="48" s="1"/>
  <c r="AN16" i="48" s="1"/>
  <c r="K21" i="35"/>
  <c r="S33" i="59"/>
  <c r="L3" i="50" s="1"/>
  <c r="E100" i="59"/>
  <c r="U66" i="59"/>
  <c r="T31" i="59"/>
  <c r="T74" i="59"/>
  <c r="T29" i="59" s="1"/>
  <c r="AL9" i="48"/>
  <c r="AM12" i="48"/>
  <c r="AM11" i="26"/>
  <c r="AM9" i="26" s="1"/>
  <c r="AN20" i="26"/>
  <c r="AM78" i="26"/>
  <c r="AM73" i="26" s="1"/>
  <c r="AM50" i="20" s="1"/>
  <c r="AM51" i="20" s="1"/>
  <c r="T41" i="75"/>
  <c r="X13" i="20"/>
  <c r="X29" i="20"/>
  <c r="V101" i="75"/>
  <c r="U39" i="75"/>
  <c r="U109" i="75"/>
  <c r="U37" i="75" s="1"/>
  <c r="K87" i="55" l="1"/>
  <c r="K119" i="83"/>
  <c r="L23" i="55"/>
  <c r="L23" i="83"/>
  <c r="AN12" i="48"/>
  <c r="AN9" i="48" s="1"/>
  <c r="AM9" i="48"/>
  <c r="T33" i="59"/>
  <c r="M3" i="50" s="1"/>
  <c r="U31" i="59"/>
  <c r="V66" i="59"/>
  <c r="U74" i="59"/>
  <c r="U29" i="59" s="1"/>
  <c r="V39" i="75"/>
  <c r="W101" i="75"/>
  <c r="V109" i="75"/>
  <c r="AJ67" i="59"/>
  <c r="AK68" i="59"/>
  <c r="U41" i="75"/>
  <c r="AN78" i="26"/>
  <c r="AN73" i="26" s="1"/>
  <c r="AN50" i="20" s="1"/>
  <c r="AN51" i="20" s="1"/>
  <c r="AN11" i="26"/>
  <c r="AN9" i="26" s="1"/>
  <c r="U33" i="59" l="1"/>
  <c r="N3" i="50" s="1"/>
  <c r="AL68" i="59"/>
  <c r="AK67" i="59"/>
  <c r="X101" i="75"/>
  <c r="W39" i="75"/>
  <c r="W66" i="59"/>
  <c r="V31" i="59"/>
  <c r="V74" i="59"/>
  <c r="V29" i="59" s="1"/>
  <c r="W109" i="75"/>
  <c r="V37" i="75"/>
  <c r="V52" i="75" s="1"/>
  <c r="F135" i="75"/>
  <c r="V33" i="59" l="1"/>
  <c r="O3" i="50" s="1"/>
  <c r="W37" i="75"/>
  <c r="W12" i="75" s="1"/>
  <c r="F133" i="75" s="1"/>
  <c r="F137" i="75" s="1"/>
  <c r="X109" i="75"/>
  <c r="V41" i="75"/>
  <c r="W41" i="75"/>
  <c r="X66" i="59"/>
  <c r="W31" i="59"/>
  <c r="W74" i="59"/>
  <c r="W29" i="59" s="1"/>
  <c r="V43" i="75"/>
  <c r="Y101" i="75"/>
  <c r="X39" i="75"/>
  <c r="AM68" i="59"/>
  <c r="AL67" i="59"/>
  <c r="W33" i="59" l="1"/>
  <c r="P3" i="50" s="1"/>
  <c r="Z101" i="75"/>
  <c r="Y39" i="75"/>
  <c r="F100" i="59"/>
  <c r="X31" i="59"/>
  <c r="Y66" i="59"/>
  <c r="Y74" i="59" s="1"/>
  <c r="X74" i="59"/>
  <c r="X29" i="59" s="1"/>
  <c r="Y109" i="75"/>
  <c r="X37" i="75"/>
  <c r="X12" i="75" s="1"/>
  <c r="AN68" i="59"/>
  <c r="AN67" i="59" s="1"/>
  <c r="AM67" i="59"/>
  <c r="Z66" i="59" l="1"/>
  <c r="Y31" i="59"/>
  <c r="Y29" i="59"/>
  <c r="X33" i="59"/>
  <c r="Q3" i="50" s="1"/>
  <c r="Z109" i="75"/>
  <c r="Y37" i="75"/>
  <c r="Y12" i="75" s="1"/>
  <c r="AA101" i="75"/>
  <c r="Z39" i="75"/>
  <c r="X41" i="75"/>
  <c r="Y33" i="59" l="1"/>
  <c r="R3" i="50" s="1"/>
  <c r="AA39" i="75"/>
  <c r="AB101" i="75"/>
  <c r="Z41" i="75"/>
  <c r="G135" i="75"/>
  <c r="Z37" i="75"/>
  <c r="Z12" i="75" s="1"/>
  <c r="AA109" i="75"/>
  <c r="AA66" i="59"/>
  <c r="Z31" i="59"/>
  <c r="Z74" i="59"/>
  <c r="Z29" i="59" s="1"/>
  <c r="Y41" i="75"/>
  <c r="AB66" i="59" l="1"/>
  <c r="AB31" i="59" s="1"/>
  <c r="AA31" i="59"/>
  <c r="AA74" i="59"/>
  <c r="AA29" i="59" s="1"/>
  <c r="AC101" i="75"/>
  <c r="AB39" i="75"/>
  <c r="Z33" i="59"/>
  <c r="S3" i="50" s="1"/>
  <c r="G100" i="59"/>
  <c r="AB109" i="75"/>
  <c r="AA37" i="75"/>
  <c r="AA12" i="75" s="1"/>
  <c r="G133" i="75" s="1"/>
  <c r="G137" i="75" s="1"/>
  <c r="AA41" i="75"/>
  <c r="AA33" i="59" l="1"/>
  <c r="T3" i="50" s="1"/>
  <c r="AC109" i="75"/>
  <c r="AB37" i="75"/>
  <c r="AB12" i="75" s="1"/>
  <c r="AB41" i="75"/>
  <c r="AC39" i="75"/>
  <c r="AD101" i="75"/>
  <c r="AE101" i="75" s="1"/>
  <c r="AF101" i="75" s="1"/>
  <c r="AC66" i="59"/>
  <c r="AB74" i="59"/>
  <c r="AC74" i="59" l="1"/>
  <c r="AB29" i="59"/>
  <c r="AC31" i="59"/>
  <c r="AD66" i="59"/>
  <c r="AC41" i="75"/>
  <c r="AC12" i="75"/>
  <c r="AB33" i="59"/>
  <c r="AD109" i="75"/>
  <c r="AE109" i="75" s="1"/>
  <c r="AF109" i="75" s="1"/>
  <c r="AC37" i="75"/>
  <c r="C17" i="35" l="1"/>
  <c r="U3" i="50"/>
  <c r="AE66" i="59"/>
  <c r="AD31" i="59"/>
  <c r="AC29" i="59"/>
  <c r="AC12" i="59" s="1"/>
  <c r="AD74" i="59"/>
  <c r="D19" i="55" l="1"/>
  <c r="D19" i="83"/>
  <c r="AD29" i="59"/>
  <c r="AD12" i="59" s="1"/>
  <c r="AE74" i="59"/>
  <c r="AD33" i="59"/>
  <c r="E17" i="35" s="1"/>
  <c r="AF66" i="59"/>
  <c r="AE31" i="59"/>
  <c r="AC33" i="59"/>
  <c r="D17" i="35" s="1"/>
  <c r="D83" i="55"/>
  <c r="D115" i="55"/>
  <c r="D83" i="83" l="1"/>
  <c r="D115" i="83"/>
  <c r="E19" i="55"/>
  <c r="E83" i="55" s="1"/>
  <c r="E19" i="83"/>
  <c r="F19" i="55"/>
  <c r="F115" i="55" s="1"/>
  <c r="F19" i="83"/>
  <c r="AF31" i="59"/>
  <c r="AG66" i="59"/>
  <c r="AF74" i="59"/>
  <c r="AE29" i="59"/>
  <c r="AE12" i="59" s="1"/>
  <c r="E115" i="55" l="1"/>
  <c r="F83" i="55"/>
  <c r="F115" i="83"/>
  <c r="F83" i="83"/>
  <c r="E115" i="83"/>
  <c r="E83" i="83"/>
  <c r="AH66" i="59"/>
  <c r="AG31" i="59"/>
  <c r="AE33" i="59"/>
  <c r="F17" i="35" s="1"/>
  <c r="AF29" i="59"/>
  <c r="AF12" i="59" s="1"/>
  <c r="AG74" i="59"/>
  <c r="G19" i="55" l="1"/>
  <c r="G19" i="83"/>
  <c r="AG29" i="59"/>
  <c r="AG33" i="59" s="1"/>
  <c r="H17" i="35" s="1"/>
  <c r="AH74" i="59"/>
  <c r="G115" i="55"/>
  <c r="G83" i="55"/>
  <c r="AG12" i="59"/>
  <c r="AF33" i="59"/>
  <c r="G17" i="35" s="1"/>
  <c r="AH31" i="59"/>
  <c r="AI66" i="59"/>
  <c r="I19" i="55" l="1"/>
  <c r="I19" i="83"/>
  <c r="G83" i="83"/>
  <c r="G115" i="83"/>
  <c r="H19" i="55"/>
  <c r="H115" i="55" s="1"/>
  <c r="H19" i="83"/>
  <c r="AJ66" i="59"/>
  <c r="AI31" i="59"/>
  <c r="I83" i="55"/>
  <c r="I115" i="55"/>
  <c r="AI74" i="59"/>
  <c r="AH29" i="59"/>
  <c r="AH12" i="59" s="1"/>
  <c r="H83" i="55" l="1"/>
  <c r="H115" i="83"/>
  <c r="H83" i="83"/>
  <c r="I115" i="83"/>
  <c r="I83" i="83"/>
  <c r="AI29" i="59"/>
  <c r="AI12" i="59" s="1"/>
  <c r="AJ74" i="59"/>
  <c r="AH33" i="59"/>
  <c r="I17" i="35" s="1"/>
  <c r="AJ31" i="59"/>
  <c r="AK66" i="59"/>
  <c r="J19" i="55" l="1"/>
  <c r="J115" i="55" s="1"/>
  <c r="J19" i="83"/>
  <c r="AK31" i="59"/>
  <c r="AL66" i="59"/>
  <c r="AI33" i="59"/>
  <c r="J17" i="35" s="1"/>
  <c r="AK74" i="59"/>
  <c r="AJ29" i="59"/>
  <c r="AJ12" i="59" s="1"/>
  <c r="J83" i="55" l="1"/>
  <c r="J115" i="83"/>
  <c r="J83" i="83"/>
  <c r="K19" i="55"/>
  <c r="K83" i="55" s="1"/>
  <c r="K19" i="83"/>
  <c r="AL74" i="59"/>
  <c r="AK29" i="59"/>
  <c r="AK12" i="59" s="1"/>
  <c r="AM66" i="59"/>
  <c r="AL31" i="59"/>
  <c r="AJ33" i="59"/>
  <c r="K17" i="35" s="1"/>
  <c r="AK33" i="59" l="1"/>
  <c r="K115" i="55"/>
  <c r="L19" i="55"/>
  <c r="L19" i="83"/>
  <c r="K83" i="83"/>
  <c r="K115" i="83"/>
  <c r="AM31" i="59"/>
  <c r="AN66" i="59"/>
  <c r="AN31" i="59" s="1"/>
  <c r="AM74" i="59"/>
  <c r="AL29" i="59"/>
  <c r="AL12" i="59" s="1"/>
  <c r="AN74" i="59" l="1"/>
  <c r="AN29" i="59" s="1"/>
  <c r="AN12" i="59" s="1"/>
  <c r="AM29" i="59"/>
  <c r="AM12" i="59" s="1"/>
  <c r="AM33" i="59"/>
  <c r="AL33" i="59"/>
  <c r="AN33" i="5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tc={C38F3C01-0C60-4CFA-B700-C810A0051A24}</author>
  </authors>
  <commentList>
    <comment ref="A2"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https://www.bea.gov/data/income-saving/personal-income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
Reply:
    This is now January 2025, CBO Economic Projections, Quarterly table, Row 68 from 2022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
Reply:
    This is now January 2025 CBO Economic Projections Quarterly table row 129 from 2022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
Reply:
    This is now January 2025 CBO Economic Projections Quarterly table row 130 from 2022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 xml:space="preserve">[Threaded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
Reply:
    This is now January 2025 CBO Economic Projections Quarterly table row 131 from 2022 Q1 onward. </t>
      </text>
    </comment>
    <comment ref="B26" authorId="4" shapeId="0" xr:uid="{00000000-0006-0000-0F00-000005000000}">
      <text>
        <t xml:space="preserve">[Threaded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
Reply:
    These data are from January 2025 CBO Economic Projections Quarterly table, raw 132 from 2022 Q1 onward. </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
Reply:
    This is now January 2025 CBO Budget Projections Table B-4 Mandatory Outlays Adjusted to Exclude Effects of Timing Shifts, row 16, starting from 2024 onward</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
Reply:
    This is now January 2025 CBO 10-year budget projections Table B-4 Mandatory Outlays Adjusted to Exclude Effects of Timing Shifts, row 15, from 2024 onward.</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 xml:space="preserve">[Threaded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
Reply:
    This is now January 2025 CBO budget projections Table B-4 Adjusted to Exclude Effects of Timing Shifts, row 13 Social Security Subtotal from 2024 onward.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tc={25B0BED1-95A1-48C5-AB16-3FDF328CCCC4}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3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0"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0"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6"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
Reply:
    January 2025 CBO Budget Projections Table B-1 Row 11 from 2024 onward</t>
      </text>
    </comment>
    <comment ref="M56"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
Reply:
    January 2025 CBO Budget Projections Table B-1 Row 12 from 2024 onward</t>
      </text>
    </comment>
    <comment ref="D6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
Reply:
    January 2025 CBO Revenue Projections, by Category, Revenue Projections Row 14</t>
      </text>
    </comment>
    <comment ref="D61"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
Reply:
    January 2025 CBO Revenue Projections, Revenue Projections Sheet, Row 15
</t>
      </text>
    </comment>
    <comment ref="D6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
Reply:
    January 2025 CBO Budget Projections Table B-1 row 13 from 2024 onward</t>
      </text>
    </comment>
    <comment ref="M62" authorId="25"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0"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
Reply:
    January 2025 Economic Projections Fiscal Year Sheet row 94 from 2022 onward</t>
      </text>
    </comment>
    <comment ref="D81"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
Reply:
    January 2025 Economic Projections Fiscal Year Row 98 from 2022 onward</t>
      </text>
    </comment>
    <comment ref="D82"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
Reply:
    January 2025 CBO Economic Projections, Fiscal Year Table, row 118 from 2022 onward</t>
      </text>
    </comment>
    <comment ref="D83"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
Reply:
    January 2025 CBO Economic Projections Fiscal Year Table, row 112 from 2022 onward</t>
      </text>
    </comment>
    <comment ref="D104"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
Reply:
    January 2025 Economic Projections Quarterly Table, Row 98 from 2022 Q1 onward</t>
      </text>
    </comment>
    <comment ref="D105"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
Reply:
    January 2025 CBO Economic Projections Quarterly Table, Row 100 from 2022 Q1 onward</t>
      </text>
    </comment>
    <comment ref="D106"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Reply:
    January 2025 CBO Economic Projections Quarterly Table, Row 118 from 2022 Q1 onward</t>
      </text>
    </comment>
    <comment ref="D107"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Reply:
    January 2025 CBO Economic Projections Quarterly Table, Row 114 Profits, corporate, domestic, with IVA &amp; CCAdj from 2022 Q1 onward</t>
      </text>
    </comment>
    <comment ref="U130"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3"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3"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3"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3" authorId="38"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3"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33"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because we get taxes a month late.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57"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59"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
Reply:
    January 2025 CBO Economic Projections, Quarterly Table, Line 118 from 2022 Q1 onward</t>
      </text>
    </comment>
    <comment ref="B60"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
Reply:
    January 2025 CBO Economic Projections, Quarterly Table Line 129 from 2022 Q1 onward</t>
      </text>
    </comment>
    <comment ref="B61"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Reply:
    January 2025 Economic Projections, Quarterly Table, Line 131 from 2022 Q1 onward</t>
      </text>
    </comment>
    <comment ref="B62"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
Reply:
    January 2025 CBO Economic Projections, Quarterly Table, Row 141 from 2022 Q1 onward</t>
      </text>
    </comment>
    <comment ref="B63"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
Reply:
    January 2025 CBO Economic Projections, Quarterly Table, Line 152 from 2022 Q1 onward</t>
      </text>
    </comment>
    <comment ref="B64"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
Reply:
    January 2025 CBO Economic Projections, Quarterly Table, Line 154 from 2022 Q1 onward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<sst xmlns="http://schemas.openxmlformats.org/spreadsheetml/2006/main" count="5292" uniqueCount="2298">
  <si>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</si>
  <si>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</si>
  <si>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</si>
  <si>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</si>
  <si>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</si>
  <si>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</si>
  <si>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</si>
  <si>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</si>
  <si>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</si>
  <si>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</si>
  <si>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</si>
  <si>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</si>
  <si>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</si>
  <si>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</si>
  <si>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</si>
  <si>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</si>
  <si>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</si>
  <si>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</si>
  <si>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</si>
  <si>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</si>
  <si>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</si>
  <si>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</si>
  <si>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</si>
  <si>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</si>
  <si>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</si>
  <si>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</si>
  <si>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</si>
  <si>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</si>
  <si>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</si>
  <si>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</si>
  <si>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</si>
  <si>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</si>
  <si>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</si>
  <si>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</si>
  <si>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</si>
  <si>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</si>
  <si>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</si>
  <si>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</si>
  <si>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</si>
  <si>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</si>
  <si>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</si>
  <si>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</si>
  <si>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</si>
  <si>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</si>
  <si>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</si>
  <si>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</si>
  <si>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</si>
  <si>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</si>
  <si>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</si>
  <si>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</si>
  <si>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</si>
  <si>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</si>
  <si>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</si>
  <si>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</si>
  <si>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</si>
  <si>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</si>
  <si>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</si>
  <si>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</si>
  <si>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</si>
  <si>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</si>
  <si>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</si>
  <si>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</si>
  <si>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</si>
  <si>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</si>
  <si>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</si>
  <si>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</si>
  <si>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</si>
  <si>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</si>
  <si>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</si>
  <si>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</si>
  <si>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</si>
  <si>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</si>
  <si>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</si>
  <si>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</si>
  <si>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</si>
  <si>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</si>
  <si>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</si>
  <si>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</si>
  <si>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</si>
  <si>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</si>
  <si>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</si>
  <si>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</si>
  <si>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</si>
  <si>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</si>
  <si>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</si>
  <si>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</si>
  <si>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</si>
  <si>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</si>
  <si>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</si>
  <si>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</si>
  <si>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</si>
  <si>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</si>
  <si>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</si>
  <si>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</si>
  <si>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</si>
  <si>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</si>
  <si>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</si>
  <si>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</si>
  <si>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</si>
  <si>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</si>
  <si>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</si>
  <si>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</si>
  <si>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</si>
  <si>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</si>
  <si>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</si>
  <si>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</si>
  <si>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</si>
  <si>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</si>
  <si>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</si>
  <si>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</si>
  <si>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</si>
  <si>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</si>
  <si>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</si>
  <si>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</si>
  <si>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</si>
  <si>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</si>
  <si>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</si>
  <si>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</si>
  <si>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</si>
  <si>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</si>
  <si>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</si>
  <si>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</si>
  <si>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</si>
  <si>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</si>
  <si>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</si>
  <si>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</si>
  <si>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</si>
  <si>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</si>
  <si>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</si>
  <si>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</si>
  <si>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</si>
  <si>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</si>
  <si>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</si>
  <si>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</si>
  <si>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</si>
  <si>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</si>
  <si>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</si>
  <si>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</si>
  <si>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</si>
  <si>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</si>
  <si>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</si>
  <si>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</si>
  <si>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</si>
  <si>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</si>
  <si>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</si>
  <si>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</si>
  <si>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</si>
  <si>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</si>
  <si>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</si>
  <si>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</si>
  <si>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</si>
  <si>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</si>
  <si>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</si>
  <si>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</si>
  <si>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</si>
  <si>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</si>
  <si>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</si>
  <si>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</si>
  <si>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</si>
  <si>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</si>
  <si>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</si>
  <si>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</si>
  <si>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</si>
  <si>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</si>
  <si>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</si>
  <si>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</si>
  <si>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</si>
  <si>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</si>
  <si>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</si>
  <si>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</si>
  <si>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</si>
  <si>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</si>
  <si>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</si>
  <si>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</si>
  <si>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</si>
  <si>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</si>
  <si>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</si>
  <si>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</si>
  <si>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</si>
  <si>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</si>
  <si>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</si>
  <si>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</si>
  <si>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</si>
  <si>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</si>
  <si>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</si>
  <si>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</si>
  <si>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</si>
  <si>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</si>
  <si>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</si>
  <si>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</si>
  <si>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</si>
  <si>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</si>
  <si>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</si>
  <si>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</si>
  <si>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</si>
  <si>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</si>
  <si>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</si>
  <si>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</si>
  <si>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</si>
  <si>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</si>
  <si>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</si>
  <si>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</si>
  <si>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</si>
  <si>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</si>
  <si>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</si>
  <si>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</si>
  <si>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</si>
  <si>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</si>
  <si>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</si>
  <si>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</si>
  <si>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</si>
  <si>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</si>
  <si>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</si>
  <si>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</si>
  <si>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</si>
  <si>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</si>
  <si>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</si>
  <si>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</si>
  <si>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</si>
  <si>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</si>
  <si>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</si>
  <si>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</si>
  <si>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</si>
  <si>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</si>
  <si>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</si>
  <si>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</si>
  <si>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</si>
  <si>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</si>
  <si>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</si>
  <si>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</si>
  <si>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</si>
  <si>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</si>
  <si>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</si>
  <si>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</si>
  <si>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</si>
  <si>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</si>
  <si>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</si>
  <si>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</si>
  <si>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</si>
  <si>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</si>
  <si>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</si>
  <si>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</si>
  <si>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</si>
  <si>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</si>
  <si>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</si>
  <si>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</si>
  <si>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</si>
  <si>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</si>
  <si>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</si>
  <si>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</si>
  <si>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</si>
  <si>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</si>
  <si>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</si>
  <si>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</si>
  <si>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</si>
  <si>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</si>
  <si>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</si>
  <si>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</si>
  <si>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</si>
  <si>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</si>
  <si>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</si>
  <si>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</si>
  <si>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</si>
  <si>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</si>
  <si>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</si>
  <si>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</si>
  <si>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</si>
  <si>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</si>
  <si>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</si>
  <si>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</si>
  <si>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</si>
  <si>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</si>
  <si>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</si>
  <si>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</si>
  <si>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</si>
  <si>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</si>
  <si>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</si>
  <si>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</si>
  <si>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</si>
  <si>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</si>
  <si>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</si>
  <si>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</si>
  <si>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</si>
  <si>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</si>
  <si>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</si>
  <si>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</si>
  <si>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</si>
  <si>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</si>
  <si>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</si>
  <si>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</si>
  <si>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</si>
  <si>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</si>
  <si>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</si>
  <si>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</si>
  <si>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</si>
  <si>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</si>
  <si>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</si>
  <si>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</si>
  <si>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</si>
  <si>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</si>
  <si>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</si>
  <si>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</si>
  <si>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</si>
  <si>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</si>
  <si>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</si>
  <si>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</si>
  <si>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</si>
  <si>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</si>
  <si>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</si>
  <si>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</si>
  <si>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</si>
  <si>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</si>
  <si>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</si>
  <si>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</si>
  <si>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</si>
  <si>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</si>
  <si>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</si>
  <si>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</si>
  <si>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</si>
  <si>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</si>
  <si>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</si>
  <si>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</si>
  <si>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</si>
  <si>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</si>
  <si>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</si>
  <si>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</si>
  <si>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</si>
  <si>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</si>
  <si>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</si>
  <si>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</si>
  <si>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</si>
  <si>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</si>
  <si>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</si>
  <si>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</si>
  <si>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</si>
  <si>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</si>
  <si>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</si>
  <si>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</si>
  <si>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</si>
  <si>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</si>
  <si>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</si>
  <si>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</si>
  <si>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</si>
  <si>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</si>
  <si>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</si>
  <si>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</si>
  <si>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</si>
  <si>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</si>
  <si>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</si>
  <si>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</si>
  <si>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</si>
  <si>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</si>
  <si>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</si>
  <si>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</si>
  <si>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</si>
  <si>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</si>
  <si>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</si>
  <si>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</si>
  <si>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</si>
  <si>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</si>
  <si>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</si>
  <si>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</si>
  <si>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</si>
  <si>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</si>
  <si>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</si>
  <si>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</si>
  <si>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</si>
  <si>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</si>
  <si>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</si>
  <si>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</si>
  <si>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</si>
  <si>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</si>
  <si>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</si>
  <si>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</si>
  <si>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</si>
  <si>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</si>
  <si>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</si>
  <si>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</si>
  <si>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</si>
  <si>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</si>
  <si>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</si>
  <si>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</si>
  <si>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</si>
  <si>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</si>
  <si>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</si>
  <si>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</si>
  <si>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</si>
  <si>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</si>
  <si>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</si>
  <si>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</si>
  <si>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</si>
  <si>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</si>
  <si>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</si>
  <si>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</si>
  <si>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</si>
  <si>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</si>
  <si>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</si>
  <si>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</si>
  <si>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</si>
  <si>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</si>
  <si>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</si>
  <si>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</si>
  <si>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</si>
  <si>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</si>
  <si>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</si>
  <si>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</si>
  <si>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</si>
  <si>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</si>
  <si>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</si>
  <si>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</si>
  <si>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</si>
  <si>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</si>
  <si>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</si>
  <si>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</si>
  <si>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</si>
  <si>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</si>
  <si>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</si>
  <si>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</si>
  <si>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</si>
  <si>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</si>
  <si>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</si>
  <si>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</si>
  <si>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</si>
  <si>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</si>
  <si>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</si>
  <si>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</si>
  <si>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</si>
  <si>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</si>
  <si>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</si>
  <si>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</si>
  <si>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</si>
  <si>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</si>
  <si>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</si>
  <si>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</si>
  <si>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</si>
  <si>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</si>
  <si>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</si>
  <si>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</si>
  <si>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</si>
  <si>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</si>
  <si>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</si>
  <si>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</si>
  <si>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</si>
  <si>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</si>
  <si>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</si>
  <si>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</si>
  <si>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</si>
  <si>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</si>
  <si>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</si>
  <si>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</si>
  <si>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</si>
  <si>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</si>
  <si>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</si>
  <si>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</si>
  <si>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</si>
  <si>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</si>
  <si>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</si>
  <si>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</si>
  <si>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</si>
  <si>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</si>
  <si>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</si>
  <si>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</si>
  <si>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</si>
  <si>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</si>
  <si>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</si>
  <si>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</si>
  <si>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</si>
  <si>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</si>
  <si>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</si>
  <si>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</si>
  <si>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</si>
  <si>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</si>
  <si>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</si>
  <si>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</si>
  <si>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</si>
  <si>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</si>
  <si>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</si>
  <si>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</si>
  <si>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</si>
  <si>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</si>
  <si>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</si>
  <si>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</si>
  <si>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</si>
  <si>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</si>
  <si>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</si>
  <si>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</si>
  <si>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</si>
  <si>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</si>
  <si>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</si>
  <si>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</si>
  <si>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</si>
  <si>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</si>
  <si>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</si>
  <si>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</si>
  <si>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</si>
  <si>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</si>
  <si>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</si>
  <si>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</si>
  <si>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</si>
  <si>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</si>
  <si>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</si>
  <si>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</si>
  <si>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</si>
  <si>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</si>
  <si>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</si>
  <si>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</si>
  <si>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</si>
  <si>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</si>
  <si>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</si>
  <si>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</si>
  <si>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</si>
  <si>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</si>
  <si>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</si>
  <si>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</si>
  <si>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</si>
  <si>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</si>
  <si>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</si>
  <si>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</si>
  <si>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</si>
  <si>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</si>
  <si>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</si>
  <si>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</si>
  <si>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</si>
  <si>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</si>
  <si>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</si>
  <si>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</si>
  <si>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</si>
  <si>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</si>
  <si>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</si>
  <si>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</si>
  <si>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</si>
  <si>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</si>
  <si>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</si>
  <si>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</si>
  <si>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</si>
  <si>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</si>
  <si>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</si>
  <si>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</si>
  <si>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</si>
  <si>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</si>
  <si>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</si>
  <si>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</si>
  <si>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</si>
  <si>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</si>
  <si>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</si>
  <si>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</si>
  <si>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</si>
  <si>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</si>
  <si>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</si>
  <si>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</si>
  <si>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</si>
  <si>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</si>
  <si>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</si>
  <si>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</si>
  <si>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</si>
  <si>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</si>
  <si>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</si>
  <si>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</si>
  <si>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</si>
  <si>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</si>
  <si>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</si>
  <si>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</si>
  <si>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</si>
  <si>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</si>
  <si>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</si>
  <si>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</si>
  <si>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</si>
  <si>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</si>
  <si>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</si>
  <si>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</si>
  <si>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</si>
  <si>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</si>
  <si>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</si>
  <si>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</si>
  <si>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</si>
  <si>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</si>
  <si>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</si>
  <si>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</si>
  <si>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</si>
  <si>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</si>
  <si>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</si>
  <si>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</si>
  <si>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</si>
  <si>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</si>
  <si>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</si>
  <si>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</si>
  <si>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</si>
  <si>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</si>
  <si>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</si>
  <si>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</si>
  <si>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</si>
  <si>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</si>
  <si>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</si>
  <si>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</si>
  <si>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</si>
  <si>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</si>
  <si>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</si>
  <si>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</si>
  <si>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</si>
  <si>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</si>
  <si>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</si>
  <si>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</si>
  <si>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</si>
  <si>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</si>
  <si>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</si>
  <si>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</si>
  <si>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</si>
  <si>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</si>
  <si>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</si>
  <si>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</si>
  <si>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</si>
  <si>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</si>
  <si>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</si>
  <si>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</si>
  <si>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</si>
  <si>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</si>
  <si>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</si>
  <si>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</si>
  <si>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</si>
  <si>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</si>
  <si>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</si>
  <si>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</si>
  <si>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</si>
  <si>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</si>
  <si>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</si>
  <si>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</si>
  <si>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</si>
  <si>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</si>
  <si>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</si>
  <si>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</si>
  <si>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</si>
  <si>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</si>
  <si>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</si>
  <si>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</si>
  <si>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</si>
  <si>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</si>
  <si>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</si>
  <si>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</si>
  <si>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</si>
  <si>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</si>
  <si>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</si>
  <si>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</si>
  <si>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</si>
  <si>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</si>
  <si>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</si>
  <si>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</si>
  <si>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</si>
  <si>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</si>
  <si>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</si>
  <si>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</si>
  <si>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</si>
  <si>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</si>
  <si>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</si>
  <si>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</si>
  <si>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</si>
  <si>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</si>
  <si>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</si>
  <si>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</si>
  <si>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</si>
  <si>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</si>
  <si>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</si>
  <si>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</si>
  <si>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</si>
  <si>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</si>
  <si>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</si>
  <si>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</si>
  <si>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</si>
  <si>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</si>
  <si>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</si>
  <si>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</si>
  <si>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</si>
  <si>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</si>
  <si>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</si>
  <si>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</si>
  <si>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</si>
  <si>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</si>
  <si>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</si>
  <si>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</si>
  <si>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</si>
  <si>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</si>
  <si>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</si>
  <si>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</si>
  <si>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</si>
  <si>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</si>
  <si>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</si>
  <si>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</si>
  <si>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</si>
  <si>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</si>
  <si>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</si>
  <si>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</si>
  <si>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</si>
  <si>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</si>
  <si>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</si>
  <si>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</si>
  <si>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</si>
  <si>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</si>
  <si>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</si>
  <si>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</si>
  <si>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</si>
  <si>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</si>
  <si>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</si>
  <si>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</si>
  <si>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</si>
  <si>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</si>
  <si>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</si>
  <si>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</si>
  <si>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</si>
  <si>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</si>
  <si>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</si>
  <si>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</si>
  <si>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</si>
  <si>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</si>
  <si>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</si>
  <si>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</si>
  <si>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</si>
  <si>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</si>
  <si>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</si>
  <si>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</si>
  <si>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</si>
  <si>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</si>
  <si>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</si>
  <si>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</si>
  <si>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</si>
  <si>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</si>
  <si>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</si>
  <si>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</si>
  <si>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</si>
  <si>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</si>
  <si>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</si>
  <si>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</si>
  <si>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</si>
  <si>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</si>
  <si>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</si>
  <si>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</si>
  <si>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</si>
  <si>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</si>
  <si>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</si>
  <si>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</si>
  <si>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</si>
  <si>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</si>
  <si>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</si>
  <si>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</si>
  <si>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</si>
  <si>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</si>
  <si>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</si>
  <si>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</si>
  <si>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</si>
  <si>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</si>
  <si>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</si>
  <si>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</si>
  <si>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</si>
  <si>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</si>
  <si>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</si>
  <si>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</si>
  <si>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</si>
  <si>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</si>
  <si>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</si>
  <si>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</si>
  <si>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</si>
  <si>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</si>
  <si>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</si>
  <si>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</si>
  <si>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</si>
  <si>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</si>
  <si>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</si>
  <si>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</si>
  <si>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</si>
  <si>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</si>
  <si>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</si>
  <si>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</si>
  <si>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</si>
  <si>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</si>
  <si>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</si>
  <si>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</si>
  <si>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</si>
  <si>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</si>
  <si>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</si>
  <si>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</si>
  <si>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</si>
  <si>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</si>
  <si>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</si>
  <si>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</si>
  <si>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</si>
  <si>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</si>
  <si>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</si>
  <si>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</si>
  <si>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</si>
  <si>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</si>
  <si>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</si>
  <si>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</si>
  <si>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</si>
  <si>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</si>
  <si>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</si>
  <si>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</si>
  <si>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</si>
  <si>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</si>
  <si>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</si>
  <si>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</si>
  <si>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</si>
  <si>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</si>
  <si>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</si>
  <si>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</si>
  <si>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</si>
  <si>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</si>
  <si>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</si>
  <si>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</si>
  <si>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</si>
  <si>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</si>
  <si>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</si>
  <si>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</si>
  <si>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</si>
  <si>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</si>
  <si>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</si>
  <si>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</si>
  <si>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</si>
  <si>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</si>
  <si>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</si>
  <si>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</si>
  <si>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</si>
  <si>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</si>
  <si>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</si>
  <si>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</si>
  <si>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</si>
  <si>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</si>
  <si>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</si>
  <si>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</si>
  <si>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</si>
  <si>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</si>
  <si>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</si>
  <si>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</si>
  <si>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</si>
  <si>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</si>
  <si>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</si>
  <si>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</si>
  <si>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</si>
  <si>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</si>
  <si>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</si>
  <si>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</si>
  <si>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</si>
  <si>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</si>
  <si>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</si>
  <si>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</si>
  <si>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</si>
  <si>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</si>
  <si>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</si>
  <si>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</si>
  <si>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</si>
  <si>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</si>
  <si>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</si>
  <si>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</si>
  <si>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</si>
  <si>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</si>
  <si>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</si>
  <si>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</si>
  <si>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</si>
  <si>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</si>
  <si>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</si>
  <si>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</si>
  <si>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</si>
  <si>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</si>
  <si>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</si>
  <si>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</si>
  <si>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</si>
  <si>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</si>
  <si>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</si>
  <si>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</si>
  <si>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</si>
  <si>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</si>
  <si>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</si>
  <si>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</si>
  <si>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</si>
  <si>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</si>
  <si>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</si>
  <si>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 xml:space="preserve">Open up the fim R project by clicking on the "fim.Rproj" file. Type "CTRL + SHIFT + L" to load the fim package. Open fiscal_impact.R. This is the main script that we use to calculate the FIM. </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</si>
  <si>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</si>
  <si>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</si>
  <si>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</si>
  <si>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</si>
  <si>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</si>
  <si>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</si>
  <si>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</si>
  <si>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</si>
  <si>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</si>
  <si>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</si>
  <si>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</si>
  <si>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</si>
  <si>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</si>
  <si>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</si>
  <si>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</si>
  <si>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</si>
  <si>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</si>
  <si>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</si>
  <si>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</si>
  <si>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</si>
  <si>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</si>
  <si>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</si>
  <si>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</si>
  <si>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</si>
  <si>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</si>
  <si>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</si>
  <si>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</si>
  <si>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</si>
  <si>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</si>
  <si>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</si>
  <si>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</si>
  <si>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</si>
  <si>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</si>
  <si>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</si>
  <si>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</si>
  <si>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</si>
  <si>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</si>
  <si>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</si>
  <si>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</si>
  <si>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</si>
  <si>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</si>
  <si>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</si>
  <si>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</si>
  <si>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</si>
  <si>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</si>
  <si>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</si>
  <si>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</si>
  <si>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</si>
  <si>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</si>
  <si>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</si>
  <si>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</si>
  <si>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</si>
  <si>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</si>
  <si>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</si>
  <si>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</si>
  <si>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</si>
  <si>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</si>
  <si>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</si>
  <si>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</si>
  <si>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</si>
  <si>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</si>
  <si>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</si>
  <si>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</si>
  <si>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</si>
  <si>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</si>
  <si>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</si>
  <si>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</si>
  <si>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</si>
  <si>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</si>
  <si>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</si>
  <si>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</si>
  <si>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</si>
  <si>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</si>
  <si>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</si>
  <si>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</si>
  <si>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</si>
  <si>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</si>
  <si>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</si>
  <si>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</si>
  <si>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</si>
  <si>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</si>
  <si>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</si>
  <si>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</si>
  <si>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</si>
  <si>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</si>
  <si>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</si>
  <si>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</si>
  <si>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</si>
  <si>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</si>
  <si>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</si>
  <si>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</si>
  <si>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</si>
  <si>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</si>
  <si>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</si>
  <si>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</si>
  <si>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</si>
  <si>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</si>
  <si>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</si>
  <si>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</si>
  <si>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</si>
  <si>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</si>
  <si>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</si>
  <si>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</si>
  <si>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</si>
  <si>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</si>
  <si>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</si>
  <si>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</si>
  <si>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</si>
  <si>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</si>
  <si>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</si>
  <si>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</si>
  <si>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</si>
  <si>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</si>
  <si>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</si>
  <si>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</si>
  <si>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</si>
  <si>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</si>
  <si>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</si>
  <si>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</si>
  <si>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</si>
  <si>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</si>
  <si>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</si>
  <si>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</si>
  <si>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</si>
  <si>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</si>
  <si>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</si>
  <si>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</si>
  <si>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</si>
  <si>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</si>
  <si>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</si>
  <si>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</si>
  <si>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</si>
  <si>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</si>
  <si>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</si>
  <si>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</si>
  <si>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</si>
  <si>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</si>
  <si>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</si>
  <si>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</si>
  <si>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</si>
  <si>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</si>
  <si>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</si>
  <si>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</si>
  <si>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</si>
  <si>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</si>
  <si>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</si>
  <si>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</si>
  <si>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</si>
  <si>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</si>
  <si>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</si>
  <si>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</si>
  <si>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</si>
  <si>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</si>
  <si>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</si>
  <si>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</si>
  <si>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</si>
  <si>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</si>
  <si>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</si>
  <si>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</si>
  <si>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</si>
  <si>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</si>
  <si>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</si>
  <si>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</si>
  <si>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</si>
  <si>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</si>
  <si>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</si>
  <si>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</si>
  <si>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</si>
  <si>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</si>
  <si>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</si>
  <si>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</si>
  <si>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</si>
  <si>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</si>
  <si>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</si>
  <si>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</si>
  <si>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</si>
  <si>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</si>
  <si>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</si>
  <si>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</si>
  <si>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</si>
  <si>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</si>
  <si>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</si>
  <si>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</si>
  <si>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</si>
  <si>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</si>
  <si>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</si>
  <si>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</si>
  <si>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</si>
  <si>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</si>
  <si>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</si>
  <si>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</si>
  <si>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</si>
  <si>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</si>
  <si>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</si>
  <si>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</si>
  <si>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</si>
  <si>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</si>
  <si>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</si>
  <si>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</si>
  <si>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</si>
  <si>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</si>
  <si>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</si>
  <si>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</si>
  <si>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</si>
  <si>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</si>
  <si>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</si>
  <si>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</si>
  <si>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</si>
  <si>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</si>
  <si>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</si>
  <si>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</si>
  <si>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</si>
  <si>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</si>
  <si>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</si>
  <si>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</si>
  <si>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</si>
  <si>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</si>
  <si>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</si>
  <si>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</si>
  <si>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</si>
  <si>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</si>
  <si>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</si>
  <si>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</si>
  <si>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</si>
  <si>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</si>
  <si>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</si>
  <si>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</si>
  <si>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</si>
  <si>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</si>
  <si>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</si>
  <si>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</si>
  <si>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</si>
  <si>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</si>
  <si>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</si>
  <si>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</si>
  <si>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</si>
  <si>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</si>
  <si>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</si>
  <si>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</si>
  <si>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</si>
  <si>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</si>
  <si>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</si>
  <si>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</si>
  <si>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</si>
  <si>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</si>
  <si>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</si>
  <si>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</si>
  <si>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</si>
  <si>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</si>
  <si>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</si>
  <si>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</si>
  <si>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</si>
  <si>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</si>
  <si>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</si>
  <si>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</si>
  <si>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</si>
  <si>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</si>
  <si>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</si>
  <si>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</si>
  <si>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</si>
  <si>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</si>
  <si>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</si>
  <si>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</si>
  <si>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</si>
  <si>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</si>
  <si>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</si>
  <si>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</si>
  <si>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</si>
  <si>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</si>
  <si>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</si>
  <si>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</si>
  <si>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</si>
  <si>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</si>
  <si>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</si>
  <si>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</si>
  <si>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</si>
  <si>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</si>
  <si>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</si>
  <si>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</si>
  <si>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</si>
  <si>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</si>
  <si>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</si>
  <si>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</si>
  <si>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</si>
  <si>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</si>
  <si>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</si>
  <si>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</si>
  <si>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</si>
  <si>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</si>
  <si>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</si>
  <si>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</si>
  <si>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</si>
  <si>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</si>
  <si>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</si>
  <si>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</si>
  <si>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</si>
  <si>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</si>
  <si>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</si>
  <si>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</si>
  <si>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</si>
  <si>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</si>
  <si>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</si>
  <si>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</si>
  <si>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</si>
  <si>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</si>
  <si>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</si>
  <si>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</si>
  <si>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</si>
  <si>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</si>
  <si>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</si>
  <si>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</si>
  <si>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</si>
  <si>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</si>
  <si>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</si>
  <si>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</si>
  <si>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</si>
  <si>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</si>
  <si>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</si>
  <si>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</si>
  <si>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</si>
  <si>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</si>
  <si>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</si>
  <si>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</si>
  <si>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</si>
  <si>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</si>
  <si>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</si>
  <si>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</si>
  <si>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</si>
  <si>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</si>
  <si>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</si>
  <si>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</si>
  <si>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</si>
  <si>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</si>
  <si>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</si>
  <si>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</si>
  <si>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</si>
  <si>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</si>
  <si>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</si>
  <si>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</si>
  <si>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</si>
  <si>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</si>
  <si>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</si>
  <si>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</si>
  <si>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</si>
  <si>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</si>
  <si>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</si>
  <si>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</si>
  <si>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</si>
  <si>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</si>
  <si>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</si>
  <si>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</si>
  <si>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</si>
  <si>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</si>
  <si>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</si>
  <si>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</si>
  <si>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</si>
  <si>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</si>
  <si>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</si>
  <si>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</si>
  <si>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</si>
  <si>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</si>
  <si>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</si>
  <si>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</si>
  <si>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</si>
  <si>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</si>
  <si>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</si>
  <si>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</si>
  <si>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</si>
  <si>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</si>
  <si>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</si>
  <si>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</si>
  <si>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</si>
  <si>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</si>
  <si>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</si>
  <si>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</si>
  <si>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</si>
  <si>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</si>
  <si>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</si>
  <si>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</si>
  <si>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</si>
  <si>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</si>
  <si>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</si>
  <si>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</si>
  <si>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</si>
  <si>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</si>
  <si>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</si>
  <si>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</si>
  <si>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</si>
  <si>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</si>
  <si>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</si>
  <si>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</si>
  <si>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</si>
  <si>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</si>
  <si>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</si>
  <si>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</si>
  <si>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</si>
  <si>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</si>
  <si>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</si>
  <si>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</si>
  <si>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</si>
  <si>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</si>
  <si>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</si>
  <si>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</si>
  <si>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</si>
  <si>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</si>
  <si>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</si>
  <si>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</si>
  <si>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</si>
  <si>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</si>
  <si>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</si>
  <si>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</si>
  <si>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</si>
  <si>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</si>
  <si>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</si>
  <si>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</si>
  <si>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</si>
  <si>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</si>
  <si>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</si>
  <si>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</si>
  <si>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</si>
  <si>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</si>
  <si>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</si>
  <si>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</si>
  <si>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</si>
  <si>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</si>
  <si>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</si>
  <si>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</si>
  <si>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</si>
  <si>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</si>
  <si>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</si>
  <si>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</si>
  <si>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</si>
  <si>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</si>
  <si>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</si>
  <si>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</si>
  <si>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</si>
  <si>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</si>
  <si>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</si>
  <si>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</si>
  <si>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</si>
  <si>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</si>
  <si>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</si>
  <si>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</si>
  <si>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</si>
  <si>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</si>
  <si>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</si>
  <si>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</si>
  <si>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</si>
  <si>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</si>
  <si>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</si>
  <si>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</si>
  <si>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</si>
  <si>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</si>
  <si>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</si>
  <si>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</si>
  <si>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</si>
  <si>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</si>
  <si>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</si>
  <si>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</si>
  <si>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</si>
  <si>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</si>
  <si>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</si>
  <si>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</si>
  <si>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</si>
  <si>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</si>
  <si>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</si>
  <si>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</si>
  <si>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</si>
  <si>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</si>
  <si>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</si>
  <si>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</si>
  <si>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</si>
  <si>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</si>
  <si>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</si>
  <si>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</si>
  <si>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</si>
  <si>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</si>
  <si>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</si>
  <si>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</si>
  <si>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</si>
  <si>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</si>
  <si>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</si>
  <si>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</si>
  <si>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</si>
  <si>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</si>
  <si>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</si>
  <si>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</si>
  <si>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</si>
  <si>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</si>
  <si>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</si>
  <si>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</si>
  <si>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</si>
  <si>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</si>
  <si>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</si>
  <si>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</si>
  <si>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</si>
  <si>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</si>
  <si>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</si>
  <si>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</si>
  <si>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</si>
  <si>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</si>
  <si>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</si>
  <si>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</si>
  <si>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</si>
  <si>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</si>
  <si>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</si>
  <si>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</si>
  <si>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</si>
  <si>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</si>
  <si>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</si>
  <si>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</si>
  <si>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</si>
  <si>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</si>
  <si>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</si>
  <si>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</si>
  <si>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</si>
  <si>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</si>
  <si>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</si>
  <si>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</si>
  <si>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</si>
  <si>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</si>
  <si>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</si>
  <si>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</si>
  <si>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</si>
  <si>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</si>
  <si>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</si>
  <si>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</si>
  <si>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</si>
  <si>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</si>
  <si>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</si>
  <si>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</si>
  <si>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</si>
  <si>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</si>
  <si>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</si>
  <si>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</si>
  <si>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</si>
  <si>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</si>
  <si>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</si>
  <si>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</si>
  <si>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</si>
  <si>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</si>
  <si>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</si>
  <si>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</si>
  <si>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</si>
  <si>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</si>
  <si>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</si>
  <si>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</si>
  <si>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</si>
  <si>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</si>
  <si>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</si>
  <si>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</si>
  <si>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</si>
  <si>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</si>
  <si>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</si>
  <si>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</si>
  <si>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</si>
  <si>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</si>
  <si>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</si>
  <si>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</si>
  <si>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</si>
  <si>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</si>
  <si>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</si>
  <si>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</si>
  <si>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</si>
  <si>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</si>
  <si>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</si>
  <si>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</si>
  <si>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</si>
  <si>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</si>
  <si>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</si>
  <si>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</si>
  <si>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</si>
  <si>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</si>
  <si>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</si>
  <si>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</si>
  <si>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</si>
  <si>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</si>
  <si>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</si>
  <si>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</si>
  <si>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</si>
  <si>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</si>
  <si>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</si>
  <si>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</si>
  <si>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</si>
  <si>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</si>
  <si>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</si>
  <si>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</si>
  <si>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</si>
  <si>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</si>
  <si>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</si>
  <si>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</si>
  <si>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</si>
  <si>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</si>
  <si>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</si>
  <si>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</si>
  <si>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</si>
  <si>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</si>
  <si>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</si>
  <si>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</si>
  <si>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</si>
  <si>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</si>
  <si>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</si>
  <si>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</si>
  <si>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</si>
  <si>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</si>
  <si>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</si>
  <si>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</si>
  <si>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</si>
  <si>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</si>
  <si>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</si>
  <si>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</si>
  <si>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</si>
  <si>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</si>
  <si>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</si>
  <si>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</si>
  <si>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</si>
  <si>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</si>
  <si>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</si>
  <si>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</si>
  <si>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</si>
  <si>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</si>
  <si>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</si>
  <si>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</si>
  <si>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</si>
  <si>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</si>
  <si>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</si>
  <si>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</si>
  <si>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</si>
  <si>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</si>
  <si>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</si>
  <si>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</si>
  <si>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</si>
  <si>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</si>
  <si>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</si>
  <si>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</si>
  <si>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</si>
  <si>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</si>
  <si>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</si>
  <si>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</si>
  <si>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</si>
  <si>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</si>
  <si>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</si>
  <si>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</si>
  <si>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</si>
  <si>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</si>
  <si>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</si>
  <si>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</si>
  <si>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</si>
  <si>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</si>
  <si>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</si>
  <si>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</si>
  <si>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</si>
  <si>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</si>
  <si>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</si>
  <si>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</si>
  <si>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</si>
  <si>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</si>
  <si>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</si>
  <si>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</si>
  <si>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</si>
  <si>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</si>
  <si>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</si>
  <si>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</si>
  <si>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</si>
  <si>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</si>
  <si>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</si>
  <si>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</si>
  <si>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</si>
  <si>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</si>
  <si>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</si>
  <si>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</si>
  <si>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</si>
  <si>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</si>
  <si>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</si>
  <si>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</si>
  <si>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</si>
  <si>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</si>
  <si>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</si>
  <si>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</si>
  <si>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</si>
  <si>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</si>
  <si>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</si>
  <si>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</si>
  <si>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</si>
  <si>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</si>
  <si>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</si>
  <si>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</si>
  <si>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</si>
  <si>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</si>
  <si>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</si>
  <si>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</si>
  <si>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</si>
  <si>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</si>
  <si>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</si>
  <si>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</si>
  <si>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</si>
  <si>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</si>
  <si>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</si>
  <si>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</si>
  <si>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</si>
  <si>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</si>
  <si>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</si>
  <si>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</si>
  <si>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</si>
  <si>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</si>
  <si>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</si>
  <si>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</si>
  <si>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</si>
  <si>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</si>
  <si>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</si>
  <si>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</si>
  <si>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</si>
  <si>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</si>
  <si>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</si>
  <si>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</si>
  <si>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</si>
  <si>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</si>
  <si>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</si>
  <si>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</si>
  <si>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</si>
  <si>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</si>
  <si>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</si>
  <si>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</si>
  <si>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</si>
  <si>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</si>
  <si>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</si>
  <si>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</si>
  <si>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</si>
  <si>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</si>
  <si>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</si>
  <si>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</si>
  <si>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</si>
  <si>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</si>
  <si>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</si>
  <si>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</si>
  <si>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</si>
  <si>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</si>
  <si>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</si>
  <si>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</si>
  <si>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</si>
  <si>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</si>
  <si>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</si>
  <si>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</si>
  <si>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</si>
  <si>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</si>
  <si>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</si>
  <si>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</si>
  <si>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</si>
  <si>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</si>
  <si>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</si>
  <si>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</si>
  <si>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</si>
  <si>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</si>
  <si>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</si>
  <si>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</si>
  <si>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</si>
  <si>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</si>
  <si>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</si>
  <si>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</si>
  <si>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</si>
  <si>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</si>
  <si>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</si>
  <si>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</si>
  <si>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</si>
  <si>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</si>
  <si>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</si>
  <si>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</si>
  <si>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</si>
  <si>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</si>
  <si>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</si>
  <si>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</si>
  <si>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</si>
  <si>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</si>
  <si>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</si>
  <si>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</si>
  <si>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</si>
  <si>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</si>
  <si>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</si>
  <si>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</si>
  <si>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</si>
  <si>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</si>
  <si>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</si>
  <si>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</si>
  <si>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</si>
  <si>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</si>
  <si>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</si>
  <si>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</si>
  <si>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</si>
  <si>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</si>
  <si>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</si>
  <si>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</si>
  <si>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</si>
  <si>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</si>
  <si>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</si>
  <si>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</si>
  <si>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</si>
  <si>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</si>
  <si>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</si>
  <si>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</si>
  <si>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</si>
  <si>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</si>
  <si>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</si>
  <si>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</si>
  <si>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</si>
  <si>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</si>
  <si>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</si>
  <si>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</si>
  <si>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</si>
  <si>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</si>
  <si>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</si>
  <si>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</si>
  <si>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</si>
  <si>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</si>
  <si>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</si>
  <si>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</si>
  <si>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</si>
  <si>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</si>
  <si>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</si>
  <si>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</si>
  <si>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</si>
  <si>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</si>
  <si>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</si>
  <si>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</si>
  <si>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</si>
  <si>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</si>
  <si>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</si>
  <si>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</si>
  <si>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</si>
  <si>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</si>
  <si>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</si>
  <si>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</si>
  <si>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</si>
  <si>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</si>
  <si>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</si>
  <si>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</si>
  <si>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</si>
  <si>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</si>
  <si>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</si>
  <si>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</si>
  <si>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</si>
  <si>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</si>
  <si>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</si>
  <si>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</si>
  <si>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</si>
  <si>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</si>
  <si>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</si>
  <si>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</si>
  <si>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</si>
  <si>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</si>
  <si>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</si>
  <si>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</si>
  <si>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</si>
  <si>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</si>
  <si>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</si>
  <si>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</si>
  <si>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</si>
  <si>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</si>
  <si>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</si>
  <si>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</si>
  <si>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</si>
  <si>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</si>
  <si>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</si>
  <si>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</si>
  <si>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</si>
  <si>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</si>
  <si>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</si>
  <si>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</si>
  <si>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</si>
  <si>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</si>
  <si>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</si>
  <si>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</si>
  <si>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</si>
  <si>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</si>
  <si>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</si>
  <si>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</si>
  <si>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</si>
  <si>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</si>
  <si>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</si>
  <si>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</si>
  <si>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</si>
  <si>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</si>
  <si>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</si>
  <si>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</si>
  <si>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</si>
  <si>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</si>
  <si>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</si>
  <si>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</si>
  <si>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</si>
  <si>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</si>
  <si>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</si>
  <si>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</si>
  <si>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</si>
  <si>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</si>
  <si>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</si>
  <si>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</si>
  <si>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</si>
  <si>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</si>
  <si>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</si>
  <si>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</si>
  <si>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</si>
  <si>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</si>
  <si>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</si>
  <si>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</si>
  <si>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</si>
  <si>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</si>
  <si>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</si>
  <si>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</si>
  <si>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</si>
  <si>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</si>
  <si>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</si>
  <si>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</si>
  <si>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</si>
  <si>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</si>
  <si>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</si>
  <si>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</si>
  <si>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</si>
  <si>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</si>
  <si>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</si>
  <si>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</si>
  <si>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</si>
  <si>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</si>
  <si>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</si>
  <si>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</si>
  <si>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</si>
  <si>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</si>
  <si>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</si>
  <si>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</si>
  <si>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</si>
  <si>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</si>
  <si>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</si>
  <si>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</si>
  <si>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</si>
  <si>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</si>
  <si>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</si>
  <si>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</si>
  <si>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</si>
  <si>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</si>
  <si>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</si>
  <si>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</si>
  <si>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</si>
  <si>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</si>
  <si>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</si>
  <si>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</si>
  <si>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</si>
  <si>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</si>
  <si>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</si>
  <si>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</si>
  <si>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</si>
  <si>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</si>
  <si>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</si>
  <si>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</si>
  <si>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</si>
  <si>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</si>
  <si>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</si>
  <si>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</si>
  <si>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</si>
  <si>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</si>
  <si>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</si>
  <si>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</si>
  <si>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</si>
  <si>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</si>
  <si>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</si>
  <si>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</si>
  <si>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</si>
  <si>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</si>
  <si>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</si>
  <si>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</si>
  <si>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</si>
  <si>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</si>
  <si>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</si>
  <si>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</si>
  <si>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</si>
  <si>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</si>
  <si>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</si>
  <si>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</si>
  <si>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</si>
  <si>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</si>
  <si>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</si>
  <si>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</si>
  <si>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</si>
  <si>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</si>
  <si>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</si>
  <si>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</si>
  <si>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</si>
  <si>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</si>
  <si>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</si>
  <si>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</si>
  <si>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</si>
  <si>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</si>
  <si>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</si>
  <si>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</si>
  <si>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</si>
  <si>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</si>
  <si>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</si>
  <si>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</si>
  <si>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</si>
  <si>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</si>
  <si>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</si>
  <si>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</si>
  <si>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</si>
  <si>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</si>
  <si>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</si>
  <si>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</si>
  <si>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</si>
  <si>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</si>
  <si>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</si>
  <si>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</si>
  <si>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</si>
  <si>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</si>
  <si>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</si>
  <si>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</si>
  <si>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</si>
  <si>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</si>
  <si>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</si>
  <si>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</si>
  <si>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</si>
  <si>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</si>
  <si>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</si>
  <si>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</si>
  <si>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</si>
  <si>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</si>
  <si>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</si>
  <si>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</si>
  <si>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</si>
  <si>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</si>
  <si>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</si>
  <si>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</si>
  <si>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</si>
  <si>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</si>
  <si>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</si>
  <si>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</si>
  <si>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</si>
  <si>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</si>
  <si>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</si>
  <si>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</si>
  <si>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</si>
  <si>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</si>
  <si>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</si>
  <si>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</si>
  <si>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</si>
  <si>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Judgmental Growth Rate</t>
  </si>
  <si>
    <t>*Note from Lorae June 2024: income taxes are up by 200ish</t>
  </si>
  <si>
    <t xml:space="preserve"> Corporate Profits</t>
  </si>
  <si>
    <t>Personal Consumption Expenditures</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</si>
  <si>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</si>
  <si>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</si>
  <si>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</si>
  <si>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</si>
  <si>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</si>
  <si>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</si>
  <si>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</si>
  <si>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</si>
  <si>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</si>
  <si>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</si>
  <si>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</si>
  <si>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</si>
  <si>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</si>
  <si>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</si>
  <si>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</si>
  <si>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</si>
  <si>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</si>
  <si>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</si>
  <si>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</si>
  <si>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</si>
  <si>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</si>
  <si>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</si>
  <si>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</si>
  <si>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</si>
  <si>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</si>
  <si>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</si>
  <si>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</si>
  <si>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</si>
  <si>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</si>
  <si>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</si>
  <si>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</si>
  <si>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</si>
  <si>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</si>
  <si>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</si>
  <si>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</si>
  <si>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</si>
  <si>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</si>
  <si>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</si>
  <si>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</si>
  <si>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</si>
  <si>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</si>
  <si>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</si>
  <si>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</si>
  <si>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</si>
  <si>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</si>
  <si>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</si>
  <si>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</si>
  <si>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</si>
  <si>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January 2025 CBO Unemployment Rate Projection</t>
  </si>
  <si>
    <t>January 2025 CBO Projection of Federal Purchases</t>
  </si>
  <si>
    <t>January 2025 CBO Federal Purchases Growth</t>
  </si>
  <si>
    <t>January 2025 CBO Projection of State and Local purchases</t>
  </si>
  <si>
    <t>January 2025 CBO State and Local Purchases Growth</t>
  </si>
  <si>
    <t>January 2025 CBO Projection of Federal Medicaid Outlays</t>
  </si>
  <si>
    <t>January 2025 CBO Annual Medicare Spending</t>
  </si>
  <si>
    <t>January 2025 CBO Projection of Social Security</t>
  </si>
  <si>
    <t>January 2025 CBO Projections of Federal Taxes (Fiscal Years)</t>
  </si>
  <si>
    <t>January 2025 CBO projection of the annual tax base</t>
  </si>
  <si>
    <t>January 2025 CBO Tax Base Quarterly Projections</t>
  </si>
  <si>
    <t>January 2025 CBO economic release</t>
  </si>
  <si>
    <t>Pull updated CBO projections data</t>
  </si>
  <si>
    <t>You may need to download the latest files at:           
https://www.cbo.gov/data/budget-economic-data    
We pull data from the following sheets: "10-Year Budget Projections", "Economic Projections", and "Revenue Projections, by Category"</t>
  </si>
  <si>
    <t>2025 Q1 Initial Release (January)</t>
  </si>
  <si>
    <t>lalgova@usecon</t>
  </si>
  <si>
    <t>Nov. r</t>
  </si>
  <si>
    <t>Dec. p</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</si>
  <si>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</si>
  <si>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</si>
  <si>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</si>
  <si>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</si>
  <si>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</si>
  <si>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</si>
  <si>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</si>
  <si>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</si>
  <si>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</si>
  <si>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</si>
  <si>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</si>
  <si>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</si>
  <si>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</si>
  <si>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</si>
  <si>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</si>
  <si>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</si>
  <si>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</si>
  <si>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</si>
  <si>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</si>
  <si>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</si>
  <si>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</si>
  <si>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</si>
  <si>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</si>
  <si>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</si>
  <si>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</si>
  <si>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</si>
  <si>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</si>
  <si>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</si>
  <si>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</si>
  <si>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</si>
  <si>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</si>
  <si>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</si>
  <si>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</si>
  <si>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</si>
  <si>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</si>
  <si>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</si>
  <si>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</si>
  <si>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</si>
  <si>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</si>
  <si>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</si>
  <si>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</si>
  <si>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</si>
  <si>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</si>
  <si>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</si>
  <si>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</si>
  <si>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</si>
  <si>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</si>
  <si>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</si>
  <si>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</si>
  <si>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</si>
  <si>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</si>
  <si>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</si>
  <si>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</si>
  <si>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</si>
  <si>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</si>
  <si>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</si>
  <si>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</si>
  <si>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</si>
  <si>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</si>
  <si>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</si>
  <si>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</si>
  <si>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</si>
  <si>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</si>
  <si>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</si>
  <si>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</si>
  <si>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</si>
  <si>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</si>
  <si>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</si>
  <si>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</si>
  <si>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</si>
  <si>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</si>
  <si>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</si>
  <si>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</si>
  <si>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</si>
  <si>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</si>
  <si>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</si>
  <si>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</si>
  <si>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</si>
  <si>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</si>
  <si>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</si>
  <si>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</si>
  <si>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</si>
  <si>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</si>
  <si>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</si>
  <si>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</si>
  <si>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</si>
  <si>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</si>
  <si>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</si>
  <si>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</si>
  <si>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</si>
  <si>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</si>
  <si>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</si>
  <si>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</si>
  <si>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</si>
  <si>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</si>
  <si>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</si>
  <si>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</si>
  <si>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</si>
  <si>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</si>
  <si>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</si>
  <si>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</si>
  <si>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</si>
  <si>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</si>
  <si>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</si>
  <si>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</si>
  <si>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</si>
  <si>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</si>
  <si>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</si>
  <si>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</si>
  <si>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</si>
  <si>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</si>
  <si>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</si>
  <si>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</si>
  <si>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</si>
  <si>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</si>
  <si>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</si>
  <si>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</si>
  <si>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</si>
  <si>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</si>
  <si>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</si>
  <si>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</si>
  <si>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</si>
  <si>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</si>
  <si>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</si>
  <si>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</si>
  <si>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</si>
  <si>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</si>
  <si>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</si>
  <si>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</si>
  <si>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</si>
  <si>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</si>
  <si>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</si>
  <si>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</si>
  <si>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</si>
  <si>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</si>
  <si>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</si>
  <si>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</si>
  <si>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</si>
  <si>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</si>
  <si>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</si>
  <si>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</si>
  <si>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</si>
  <si>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</si>
  <si>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</si>
  <si>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</si>
  <si>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</si>
  <si>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</si>
  <si>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</si>
  <si>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</si>
  <si>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</si>
  <si>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</si>
  <si>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</si>
  <si>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</si>
  <si>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</si>
  <si>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</si>
  <si>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</si>
  <si>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</si>
  <si>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</si>
  <si>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</si>
  <si>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</si>
  <si>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</si>
  <si>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</si>
  <si>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</si>
  <si>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</si>
  <si>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</si>
  <si>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</si>
  <si>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</si>
  <si>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</si>
  <si>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</si>
  <si>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</si>
  <si>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</si>
  <si>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</si>
  <si>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</si>
  <si>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</si>
  <si>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</si>
  <si>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</si>
  <si>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</si>
  <si>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</si>
  <si>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</si>
  <si>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</si>
  <si>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</si>
  <si>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</si>
  <si>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</si>
  <si>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</si>
  <si>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</si>
  <si>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</si>
  <si>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</si>
  <si>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</si>
  <si>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</si>
  <si>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</si>
  <si>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</si>
  <si>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</si>
  <si>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</si>
  <si>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</si>
  <si>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</si>
  <si>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</si>
  <si>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</si>
  <si>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</si>
  <si>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</si>
  <si>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</si>
  <si>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</si>
  <si>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</si>
  <si>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</si>
  <si>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</si>
  <si>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</si>
  <si>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</si>
  <si>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</si>
  <si>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</si>
  <si>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</si>
  <si>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</si>
  <si>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</si>
  <si>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</si>
  <si>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</si>
  <si>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</si>
  <si>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</si>
  <si>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</si>
  <si>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</si>
  <si>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</si>
  <si>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</si>
  <si>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</si>
  <si>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2024 Q4</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</si>
  <si>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</si>
  <si>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</si>
  <si>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</si>
  <si>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</si>
  <si>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</si>
  <si>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</si>
  <si>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</si>
  <si>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</si>
  <si>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</si>
  <si>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</si>
  <si>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</si>
  <si>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</si>
  <si>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</si>
  <si>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</si>
  <si>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</si>
  <si>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</si>
  <si>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</si>
  <si>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</si>
  <si>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</si>
  <si>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</si>
  <si>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</si>
  <si>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</si>
  <si>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</si>
  <si>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</si>
  <si>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</si>
  <si>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</si>
  <si>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</si>
  <si>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</si>
  <si>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</si>
  <si>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</si>
  <si>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</si>
  <si>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</si>
  <si>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</si>
  <si>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</si>
  <si>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</si>
  <si>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</si>
  <si>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</si>
  <si>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</si>
  <si>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</si>
  <si>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</si>
  <si>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</si>
  <si>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</si>
  <si>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</si>
  <si>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</si>
  <si>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</si>
  <si>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</si>
  <si>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</si>
  <si>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</si>
  <si>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</si>
  <si>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</si>
  <si>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</si>
  <si>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</si>
  <si>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</si>
  <si>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</si>
  <si>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</si>
  <si>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</si>
  <si>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</si>
  <si>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</si>
  <si>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</si>
  <si>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</si>
  <si>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</si>
  <si>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</si>
  <si>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</si>
  <si>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</si>
  <si>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</si>
  <si>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</si>
  <si>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</si>
  <si>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</si>
  <si>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</si>
  <si>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</si>
  <si>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</si>
  <si>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</si>
  <si>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</si>
  <si>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</si>
  <si>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</si>
  <si>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</si>
  <si>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</si>
  <si>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</si>
  <si>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</si>
  <si>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</si>
  <si>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</si>
  <si>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</si>
  <si>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</si>
  <si>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</si>
  <si>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</si>
  <si>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</si>
  <si>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</si>
  <si>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</si>
  <si>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Before the BEA releases data on a quarter, we can use their monthly estimates of "Effects of Selected Federal Pandemic Response Programs on Personal Income" to inform our assumptions about the quarter. Don't forget another PCE at the bottom! Drag over cells in yellow before copy pasting (the yellow cell should be the first forecast).</t>
  </si>
  <si>
    <t>Growth rate of deflators</t>
  </si>
  <si>
    <t>II growth rate</t>
  </si>
  <si>
    <t>take 10 off</t>
  </si>
  <si>
    <t>add 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</si>
</sst>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0_);\(0\)"/>
    <numFmt numFmtId="176" formatCode="0.00_);\(0.00\)"/>
    <numFmt numFmtId="177" formatCode="_(* #,##0_);_(* \(#,##0\);_(* &quot;-&quot;??_);_(@_)"/>
    <numFmt numFmtId="178" formatCode="0.0000"/>
    <numFmt numFmtId="179" formatCode="0.0000%"/>
  </numFmts>
  <fonts count="64"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u/>
      <sz val="11"/>
      <color theme="10"/>
      <name val="Calibri"/>
      <family val="2"/>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b/>
      <sz val="11"/>
      <color rgb="FF000000"/>
      <name val="Arial"/>
      <family val="2"/>
    </font>
    <font>
      <b/>
      <sz val="11"/>
      <color theme="0"/>
      <name val="Arial"/>
      <family val="2"/>
    </font>
    <font>
      <i/>
      <sz val="11"/>
      <color rgb="FF000000"/>
      <name val="Arial"/>
      <family val="2"/>
    </font>
    <font>
      <sz val="11"/>
      <color rgb="FFFF0000"/>
      <name val="Calibri"/>
      <family val="2"/>
    </font>
    <font>
      <sz val="11"/>
      <color rgb="FF242424"/>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
      <vertAlign val="superscript"/>
      <sz val="11"/>
      <name val="Calibri"/>
      <family val="2"/>
    </font>
    <font>
      <sz val="11"/>
      <name val="Calibri"/>
      <family val="2"/>
    </font>
    <font>
      <sz val="8.5"/>
      <name val="Arial"/>
      <family val="2"/>
    </font>
    <font>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theme="2" tint="-9.9978637043366805E-2"/>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right/>
      <top style="hair">
        <color indexed="64"/>
      </top>
      <bottom/>
      <diagonal/>
    </border>
    <border>
      <left style="hair">
        <color auto="1"/>
      </left>
      <right/>
      <top/>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style="thin">
        <color auto="1"/>
      </right>
      <top/>
      <bottom/>
      <diagonal/>
    </border>
    <border>
      <left style="thin">
        <color auto="1"/>
      </left>
      <right style="thin">
        <color auto="1"/>
      </right>
      <top style="thin">
        <color auto="1"/>
      </top>
      <bottom style="thin">
        <color auto="1"/>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9" fontId="63" fillId="0" borderId="0" applyFont="0" applyFill="0" applyBorder="0" applyAlignment="0" applyProtection="0"/>
  </cellStyleXfs>
  <cellXfs count="1429">
    <xf numFmtId="0" fontId="0" fillId="0" borderId="0" xfId="0"/>
    <xf numFmtId="0" fontId="1" fillId="2" borderId="1" xfId="0" applyFont="1" applyFill="1" applyBorder="1" applyAlignment="1">
      <alignment vertical="top" wrapText="1"/>
    </xf>
    <xf numFmtId="0" fontId="1" fillId="2" borderId="1" xfId="0" applyFont="1" applyFill="1" applyBorder="1" applyAlignment="1">
      <alignment vertical="top"/>
    </xf>
    <xf numFmtId="0" fontId="2" fillId="2" borderId="7" xfId="0" applyFont="1" applyFill="1" applyBorder="1" applyAlignment="1">
      <alignment vertical="top"/>
    </xf>
    <xf numFmtId="0" fontId="2" fillId="2" borderId="1" xfId="0" applyFont="1" applyFill="1" applyBorder="1" applyAlignment="1">
      <alignment vertical="top"/>
    </xf>
    <xf numFmtId="0" fontId="1" fillId="2" borderId="4"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5"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2"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4"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1" fillId="0" borderId="0" xfId="0" applyFont="1" applyAlignment="1">
      <alignment horizontal="left"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4"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8"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7" xfId="0" applyFont="1" applyBorder="1" applyAlignment="1">
      <alignment wrapText="1"/>
    </xf>
    <xf numFmtId="0" fontId="1" fillId="0" borderId="8" xfId="0" applyFont="1" applyBorder="1" applyAlignment="1">
      <alignment wrapText="1"/>
    </xf>
    <xf numFmtId="0" fontId="1" fillId="0" borderId="4"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18" xfId="0" applyNumberFormat="1" applyFont="1" applyFill="1" applyBorder="1" applyAlignment="1">
      <alignment horizontal="right"/>
    </xf>
    <xf numFmtId="165" fontId="1" fillId="10" borderId="18" xfId="0" applyNumberFormat="1" applyFont="1" applyFill="1" applyBorder="1" applyAlignment="1">
      <alignment horizontal="right"/>
    </xf>
    <xf numFmtId="3" fontId="1" fillId="10" borderId="18" xfId="0" applyNumberFormat="1" applyFont="1" applyFill="1" applyBorder="1" applyAlignment="1">
      <alignment horizontal="right"/>
    </xf>
    <xf numFmtId="3" fontId="1" fillId="10" borderId="19"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0"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8" fontId="1" fillId="0" borderId="0" xfId="0" applyNumberFormat="1" applyFont="1" applyAlignment="1">
      <alignment horizontal="center"/>
    </xf>
    <xf numFmtId="17" fontId="12" fillId="3" borderId="20"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1" xfId="0" applyNumberFormat="1" applyFont="1" applyBorder="1" applyAlignment="1">
      <alignment horizontal="right"/>
    </xf>
    <xf numFmtId="165" fontId="2" fillId="0" borderId="22" xfId="0" applyNumberFormat="1" applyFont="1" applyBorder="1" applyAlignment="1">
      <alignment horizontal="right"/>
    </xf>
    <xf numFmtId="165" fontId="2" fillId="0" borderId="23" xfId="0" applyNumberFormat="1" applyFont="1" applyBorder="1" applyAlignment="1">
      <alignment horizontal="right"/>
    </xf>
    <xf numFmtId="49" fontId="1" fillId="0" borderId="0" xfId="0" applyNumberFormat="1" applyFont="1" applyAlignment="1">
      <alignment horizontal="left" wrapText="1" indent="1"/>
    </xf>
    <xf numFmtId="168" fontId="13" fillId="0" borderId="0" xfId="0" applyNumberFormat="1" applyFont="1" applyAlignment="1">
      <alignment horizontal="center"/>
    </xf>
    <xf numFmtId="165" fontId="2" fillId="0" borderId="0" xfId="0" applyNumberFormat="1" applyFont="1" applyAlignment="1">
      <alignment horizontal="right"/>
    </xf>
    <xf numFmtId="168" fontId="1" fillId="0" borderId="26" xfId="0" applyNumberFormat="1" applyFont="1" applyBorder="1" applyAlignment="1">
      <alignment horizontal="center"/>
    </xf>
    <xf numFmtId="165" fontId="1" fillId="0" borderId="23" xfId="0" applyNumberFormat="1" applyFont="1" applyBorder="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165" fontId="1" fillId="0" borderId="0" xfId="0" applyNumberFormat="1" applyFont="1" applyAlignment="1">
      <alignment horizontal="right"/>
    </xf>
    <xf numFmtId="3" fontId="1" fillId="0" borderId="23"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5" xfId="0" applyNumberFormat="1" applyFont="1" applyBorder="1" applyAlignment="1">
      <alignment horizontal="right"/>
    </xf>
    <xf numFmtId="1" fontId="1" fillId="11" borderId="18" xfId="0" applyNumberFormat="1" applyFont="1" applyFill="1" applyBorder="1" applyAlignment="1">
      <alignment horizontal="center"/>
    </xf>
    <xf numFmtId="0" fontId="14" fillId="0" borderId="0" xfId="0" applyFont="1"/>
    <xf numFmtId="0" fontId="1" fillId="11" borderId="0" xfId="0" applyFont="1" applyFill="1" applyAlignment="1">
      <alignment horizontal="left" indent="3"/>
    </xf>
    <xf numFmtId="165" fontId="1" fillId="11" borderId="23" xfId="0" applyNumberFormat="1" applyFont="1" applyFill="1" applyBorder="1" applyAlignment="1">
      <alignment horizontal="right"/>
    </xf>
    <xf numFmtId="165" fontId="1" fillId="11" borderId="0" xfId="0" applyNumberFormat="1" applyFont="1" applyFill="1" applyAlignment="1">
      <alignment horizontal="right"/>
    </xf>
    <xf numFmtId="2" fontId="1" fillId="11" borderId="6" xfId="0" applyNumberFormat="1" applyFont="1" applyFill="1" applyBorder="1"/>
    <xf numFmtId="165" fontId="2" fillId="10" borderId="21" xfId="0" applyNumberFormat="1" applyFont="1" applyFill="1" applyBorder="1" applyAlignment="1">
      <alignment horizontal="right"/>
    </xf>
    <xf numFmtId="2" fontId="1" fillId="11" borderId="32" xfId="0" applyNumberFormat="1" applyFont="1" applyFill="1" applyBorder="1"/>
    <xf numFmtId="165" fontId="2" fillId="10" borderId="23" xfId="0" applyNumberFormat="1" applyFont="1" applyFill="1" applyBorder="1" applyAlignment="1">
      <alignment horizontal="right"/>
    </xf>
    <xf numFmtId="165" fontId="1" fillId="10" borderId="23" xfId="0" applyNumberFormat="1" applyFont="1" applyFill="1" applyBorder="1" applyAlignment="1">
      <alignment horizontal="right"/>
    </xf>
    <xf numFmtId="3" fontId="1" fillId="10" borderId="23" xfId="0" applyNumberFormat="1" applyFont="1" applyFill="1" applyBorder="1" applyAlignment="1">
      <alignment horizontal="right"/>
    </xf>
    <xf numFmtId="3" fontId="1" fillId="10" borderId="31" xfId="0" applyNumberFormat="1" applyFont="1" applyFill="1" applyBorder="1" applyAlignment="1">
      <alignment horizontal="right"/>
    </xf>
    <xf numFmtId="0" fontId="2" fillId="11" borderId="0" xfId="0" applyFont="1" applyFill="1" applyAlignment="1">
      <alignment horizontal="left" wrapText="1" indent="1"/>
    </xf>
    <xf numFmtId="0" fontId="1" fillId="12" borderId="0" xfId="0" applyFont="1" applyFill="1"/>
    <xf numFmtId="0" fontId="1" fillId="10" borderId="0" xfId="0" applyFont="1" applyFill="1"/>
    <xf numFmtId="2" fontId="1" fillId="10" borderId="0" xfId="0" applyNumberFormat="1" applyFont="1" applyFill="1"/>
    <xf numFmtId="2" fontId="1" fillId="10" borderId="6" xfId="0" applyNumberFormat="1" applyFont="1" applyFill="1" applyBorder="1"/>
    <xf numFmtId="2" fontId="1" fillId="10" borderId="32" xfId="0" applyNumberFormat="1" applyFont="1" applyFill="1" applyBorder="1"/>
    <xf numFmtId="0" fontId="2" fillId="10" borderId="0" xfId="0" applyFont="1" applyFill="1"/>
    <xf numFmtId="2" fontId="2" fillId="10" borderId="6" xfId="0" applyNumberFormat="1" applyFont="1" applyFill="1" applyBorder="1"/>
    <xf numFmtId="165" fontId="2" fillId="11" borderId="23"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0" borderId="0" xfId="0" applyNumberFormat="1" applyFont="1" applyFill="1" applyAlignment="1">
      <alignment horizontal="center"/>
    </xf>
    <xf numFmtId="0" fontId="1" fillId="0" borderId="0" xfId="0" applyFont="1" applyAlignment="1">
      <alignment horizontal="left" indent="3"/>
    </xf>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7" fontId="12" fillId="10" borderId="20" xfId="0" applyNumberFormat="1" applyFont="1" applyFill="1" applyBorder="1" applyAlignment="1">
      <alignment horizontal="left" wrapText="1"/>
    </xf>
    <xf numFmtId="0" fontId="1" fillId="0" borderId="0" xfId="0" applyFont="1" applyAlignment="1">
      <alignment horizontal="left" indent="5"/>
    </xf>
    <xf numFmtId="168" fontId="13"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0" fontId="1" fillId="0" borderId="0" xfId="0" applyFont="1" applyAlignment="1">
      <alignment horizontal="left" wrapText="1" indent="5"/>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17" fontId="12" fillId="12" borderId="20"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0" borderId="22" xfId="0" applyNumberFormat="1" applyFont="1" applyFill="1" applyBorder="1" applyAlignment="1">
      <alignment horizontal="right"/>
    </xf>
    <xf numFmtId="165" fontId="2" fillId="10" borderId="0" xfId="0" applyNumberFormat="1" applyFont="1" applyFill="1" applyAlignment="1">
      <alignment horizontal="right"/>
    </xf>
    <xf numFmtId="0" fontId="2" fillId="9" borderId="0" xfId="0" applyFont="1" applyFill="1" applyAlignment="1">
      <alignment horizontal="center"/>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0" fontId="14"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2" borderId="21" xfId="0" applyNumberFormat="1" applyFont="1" applyFill="1" applyBorder="1" applyAlignment="1">
      <alignment horizontal="right"/>
    </xf>
    <xf numFmtId="165" fontId="2" fillId="12" borderId="23" xfId="0" applyNumberFormat="1" applyFont="1" applyFill="1" applyBorder="1" applyAlignment="1">
      <alignment horizontal="right"/>
    </xf>
    <xf numFmtId="165" fontId="1" fillId="12" borderId="23" xfId="0" applyNumberFormat="1" applyFont="1" applyFill="1" applyBorder="1" applyAlignment="1">
      <alignment horizontal="right"/>
    </xf>
    <xf numFmtId="1" fontId="1" fillId="9" borderId="0" xfId="0" applyNumberFormat="1" applyFont="1" applyFill="1" applyAlignment="1">
      <alignment horizontal="center"/>
    </xf>
    <xf numFmtId="3" fontId="1" fillId="12" borderId="23" xfId="0" applyNumberFormat="1" applyFont="1" applyFill="1" applyBorder="1" applyAlignment="1">
      <alignment horizontal="right"/>
    </xf>
    <xf numFmtId="3" fontId="1" fillId="12" borderId="31" xfId="0" applyNumberFormat="1" applyFont="1" applyFill="1" applyBorder="1" applyAlignment="1">
      <alignment horizontal="right"/>
    </xf>
    <xf numFmtId="10" fontId="1" fillId="11" borderId="0" xfId="0" applyNumberFormat="1" applyFont="1" applyFill="1"/>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12" borderId="16" xfId="0" applyNumberFormat="1" applyFont="1" applyFill="1" applyBorder="1" applyAlignment="1">
      <alignment horizontal="center"/>
    </xf>
    <xf numFmtId="165" fontId="2" fillId="12" borderId="22" xfId="0" applyNumberFormat="1" applyFont="1" applyFill="1" applyBorder="1" applyAlignment="1">
      <alignment horizontal="right"/>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8" fontId="1" fillId="9" borderId="16" xfId="0" applyNumberFormat="1" applyFont="1" applyFill="1" applyBorder="1" applyAlignment="1">
      <alignment horizontal="center"/>
    </xf>
    <xf numFmtId="165" fontId="2" fillId="9" borderId="22"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167" fontId="1" fillId="7" borderId="0" xfId="0" applyNumberFormat="1" applyFont="1" applyFill="1" applyAlignment="1">
      <alignment horizontal="center"/>
    </xf>
    <xf numFmtId="0" fontId="16" fillId="0" borderId="0" xfId="0" applyFont="1"/>
    <xf numFmtId="0" fontId="15" fillId="0" borderId="0" xfId="0" applyFont="1" applyAlignment="1">
      <alignment horizontal="left" indent="1"/>
    </xf>
    <xf numFmtId="0" fontId="15" fillId="0" borderId="0" xfId="0" applyFont="1" applyAlignment="1">
      <alignment horizontal="left" wrapText="1" indent="1"/>
    </xf>
    <xf numFmtId="0" fontId="15" fillId="0" borderId="0" xfId="0" applyFont="1" applyAlignment="1">
      <alignment horizontal="left" indent="2"/>
    </xf>
    <xf numFmtId="0" fontId="15" fillId="0" borderId="0" xfId="0" applyFont="1" applyAlignment="1">
      <alignment horizontal="center" wrapText="1"/>
    </xf>
    <xf numFmtId="9" fontId="15" fillId="0" borderId="0" xfId="0" applyNumberFormat="1" applyFont="1" applyAlignment="1">
      <alignment horizontal="center"/>
    </xf>
    <xf numFmtId="0" fontId="16" fillId="0" borderId="0" xfId="0" applyFont="1" applyAlignment="1">
      <alignment horizontal="center"/>
    </xf>
    <xf numFmtId="167" fontId="15" fillId="0" borderId="0" xfId="0" applyNumberFormat="1" applyFont="1" applyAlignment="1">
      <alignment horizontal="center"/>
    </xf>
    <xf numFmtId="2" fontId="1" fillId="0" borderId="0" xfId="0" applyNumberFormat="1" applyFont="1"/>
    <xf numFmtId="0" fontId="1" fillId="8" borderId="0" xfId="0" applyFont="1" applyFill="1"/>
    <xf numFmtId="0" fontId="4" fillId="8" borderId="33" xfId="0" applyFont="1" applyFill="1" applyBorder="1" applyAlignment="1">
      <alignment horizontal="center"/>
    </xf>
    <xf numFmtId="0" fontId="4" fillId="8" borderId="2"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35" xfId="0" applyFont="1" applyFill="1" applyBorder="1"/>
    <xf numFmtId="0" fontId="4" fillId="7" borderId="0" xfId="0" applyFont="1" applyFill="1"/>
    <xf numFmtId="0" fontId="4" fillId="7" borderId="6"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3"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6" xfId="0" applyFont="1" applyBorder="1"/>
    <xf numFmtId="0" fontId="1" fillId="0" borderId="5" xfId="0" applyFont="1" applyBorder="1"/>
    <xf numFmtId="165" fontId="4" fillId="0" borderId="0" xfId="0" applyNumberFormat="1" applyFont="1" applyAlignment="1">
      <alignment horizontal="center"/>
    </xf>
    <xf numFmtId="165" fontId="4" fillId="0" borderId="6" xfId="0" applyNumberFormat="1" applyFont="1" applyBorder="1" applyAlignment="1">
      <alignment horizontal="center"/>
    </xf>
    <xf numFmtId="165" fontId="17" fillId="0" borderId="0" xfId="0" applyNumberFormat="1" applyFont="1" applyAlignment="1">
      <alignment horizontal="center"/>
    </xf>
    <xf numFmtId="3" fontId="17"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0" fontId="4" fillId="7" borderId="0" xfId="0" applyFont="1" applyFill="1" applyAlignment="1">
      <alignment horizontal="center" wrapText="1"/>
    </xf>
    <xf numFmtId="165" fontId="17" fillId="8" borderId="0" xfId="0" applyNumberFormat="1" applyFont="1" applyFill="1" applyAlignment="1">
      <alignment horizontal="center"/>
    </xf>
    <xf numFmtId="0" fontId="4" fillId="0" borderId="0" xfId="0" applyFont="1"/>
    <xf numFmtId="168" fontId="4" fillId="11" borderId="0" xfId="0" applyNumberFormat="1" applyFont="1" applyFill="1"/>
    <xf numFmtId="2" fontId="1" fillId="3" borderId="7"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7" xfId="0" applyFont="1" applyBorder="1" applyAlignment="1">
      <alignment horizontal="left"/>
    </xf>
    <xf numFmtId="4" fontId="4" fillId="0" borderId="0" xfId="0" applyNumberFormat="1" applyFont="1" applyAlignment="1">
      <alignment horizontal="center"/>
    </xf>
    <xf numFmtId="0" fontId="4" fillId="0" borderId="7" xfId="0" applyFont="1" applyBorder="1" applyAlignment="1">
      <alignment horizontal="center"/>
    </xf>
    <xf numFmtId="0" fontId="4" fillId="0" borderId="0" xfId="0" applyFont="1" applyAlignment="1">
      <alignment horizontal="left" vertical="top"/>
    </xf>
    <xf numFmtId="0" fontId="17" fillId="0" borderId="0" xfId="0" applyFont="1" applyAlignment="1">
      <alignment horizontal="left" wrapText="1"/>
    </xf>
    <xf numFmtId="0" fontId="1" fillId="3" borderId="3" xfId="0" applyFont="1" applyFill="1" applyBorder="1"/>
    <xf numFmtId="0" fontId="4" fillId="3" borderId="4" xfId="0" applyFont="1" applyFill="1" applyBorder="1"/>
    <xf numFmtId="0" fontId="4" fillId="3" borderId="4" xfId="0" applyFont="1" applyFill="1" applyBorder="1" applyAlignment="1">
      <alignment horizontal="center"/>
    </xf>
    <xf numFmtId="165" fontId="17" fillId="0" borderId="1" xfId="0" applyNumberFormat="1" applyFont="1" applyBorder="1" applyAlignment="1">
      <alignment horizontal="center"/>
    </xf>
    <xf numFmtId="0" fontId="17"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4" xfId="0" applyNumberFormat="1" applyFont="1" applyFill="1" applyBorder="1" applyAlignment="1">
      <alignment horizontal="center"/>
    </xf>
    <xf numFmtId="0" fontId="17" fillId="0" borderId="1" xfId="0" applyFont="1" applyBorder="1" applyAlignment="1">
      <alignment horizontal="left" wrapText="1"/>
    </xf>
    <xf numFmtId="0" fontId="4" fillId="8" borderId="3" xfId="0" applyFont="1" applyFill="1" applyBorder="1" applyAlignment="1">
      <alignment horizontal="center"/>
    </xf>
    <xf numFmtId="0" fontId="4" fillId="8" borderId="4" xfId="0" applyFont="1" applyFill="1" applyBorder="1" applyAlignment="1">
      <alignment horizontal="center"/>
    </xf>
    <xf numFmtId="0" fontId="4" fillId="0" borderId="8"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8" borderId="8"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7" xfId="0" applyFont="1" applyFill="1" applyBorder="1" applyAlignment="1">
      <alignment horizontal="center" wrapText="1"/>
    </xf>
    <xf numFmtId="0" fontId="2" fillId="3" borderId="2" xfId="0" applyFont="1" applyFill="1" applyBorder="1" applyAlignment="1">
      <alignment wrapText="1"/>
    </xf>
    <xf numFmtId="0" fontId="4" fillId="0" borderId="0" xfId="0" applyFont="1" applyAlignment="1">
      <alignment wrapText="1"/>
    </xf>
    <xf numFmtId="0" fontId="4" fillId="7" borderId="5" xfId="0" applyFont="1" applyFill="1" applyBorder="1" applyAlignment="1">
      <alignment horizontal="center"/>
    </xf>
    <xf numFmtId="0" fontId="4" fillId="7" borderId="3" xfId="0" applyFont="1" applyFill="1" applyBorder="1" applyAlignment="1">
      <alignment horizontal="center"/>
    </xf>
    <xf numFmtId="0" fontId="4" fillId="7" borderId="4" xfId="0" applyFont="1" applyFill="1" applyBorder="1" applyAlignment="1">
      <alignment horizontal="center"/>
    </xf>
    <xf numFmtId="0" fontId="4" fillId="0" borderId="8" xfId="0" applyFont="1" applyBorder="1" applyAlignment="1">
      <alignment horizontal="center"/>
    </xf>
    <xf numFmtId="0" fontId="12" fillId="0" borderId="1" xfId="0" applyFont="1" applyBorder="1"/>
    <xf numFmtId="3" fontId="4" fillId="8" borderId="5" xfId="0" applyNumberFormat="1" applyFont="1" applyFill="1" applyBorder="1" applyAlignment="1">
      <alignment horizontal="center"/>
    </xf>
    <xf numFmtId="0" fontId="4" fillId="0" borderId="1" xfId="0" applyFont="1" applyBorder="1" applyAlignment="1">
      <alignment horizontal="left"/>
    </xf>
    <xf numFmtId="3" fontId="4" fillId="7" borderId="4" xfId="0" applyNumberFormat="1" applyFont="1" applyFill="1" applyBorder="1" applyAlignment="1">
      <alignment horizontal="center"/>
    </xf>
    <xf numFmtId="0" fontId="4" fillId="7" borderId="1" xfId="0" applyFont="1" applyFill="1" applyBorder="1"/>
    <xf numFmtId="0" fontId="4" fillId="8" borderId="0" xfId="0" applyFont="1" applyFill="1"/>
    <xf numFmtId="0" fontId="4" fillId="7" borderId="7" xfId="0" applyFont="1" applyFill="1" applyBorder="1" applyAlignment="1">
      <alignment horizontal="center"/>
    </xf>
    <xf numFmtId="0" fontId="4" fillId="7" borderId="2" xfId="0" applyFont="1" applyFill="1" applyBorder="1" applyAlignment="1">
      <alignment horizontal="center"/>
    </xf>
    <xf numFmtId="0" fontId="4" fillId="7" borderId="8" xfId="0" applyFont="1" applyFill="1" applyBorder="1" applyAlignment="1">
      <alignment horizontal="center"/>
    </xf>
    <xf numFmtId="0" fontId="4" fillId="8" borderId="8" xfId="0" applyFont="1" applyFill="1" applyBorder="1" applyAlignment="1">
      <alignment horizontal="center"/>
    </xf>
    <xf numFmtId="0" fontId="4" fillId="7" borderId="33" xfId="0" applyFont="1" applyFill="1" applyBorder="1" applyAlignment="1">
      <alignment horizontal="center"/>
    </xf>
    <xf numFmtId="0" fontId="4" fillId="8" borderId="5" xfId="0" applyFont="1" applyFill="1" applyBorder="1" applyAlignment="1">
      <alignment horizontal="center"/>
    </xf>
    <xf numFmtId="0" fontId="4" fillId="7" borderId="33" xfId="0" applyFont="1" applyFill="1" applyBorder="1"/>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17" fillId="7" borderId="0" xfId="0" applyNumberFormat="1" applyFont="1" applyFill="1" applyAlignment="1">
      <alignment horizontal="center"/>
    </xf>
    <xf numFmtId="165" fontId="4" fillId="8" borderId="2" xfId="0" applyNumberFormat="1" applyFont="1" applyFill="1" applyBorder="1" applyAlignment="1">
      <alignment horizontal="center"/>
    </xf>
    <xf numFmtId="0" fontId="4" fillId="7" borderId="2" xfId="0" applyFont="1" applyFill="1" applyBorder="1"/>
    <xf numFmtId="0" fontId="4" fillId="3" borderId="0" xfId="0" applyFont="1" applyFill="1"/>
    <xf numFmtId="165" fontId="17" fillId="8" borderId="6" xfId="0" applyNumberFormat="1" applyFont="1" applyFill="1" applyBorder="1" applyAlignment="1">
      <alignment horizontal="center"/>
    </xf>
    <xf numFmtId="3" fontId="17" fillId="7" borderId="6" xfId="0" applyNumberFormat="1" applyFont="1" applyFill="1" applyBorder="1" applyAlignment="1">
      <alignment horizontal="center"/>
    </xf>
    <xf numFmtId="0" fontId="4" fillId="7" borderId="6" xfId="0" applyFont="1" applyFill="1" applyBorder="1" applyAlignment="1">
      <alignment horizontal="center" wrapText="1"/>
    </xf>
    <xf numFmtId="165" fontId="4" fillId="8" borderId="6" xfId="0" applyNumberFormat="1" applyFont="1" applyFill="1" applyBorder="1" applyAlignment="1">
      <alignment horizontal="center"/>
    </xf>
    <xf numFmtId="3" fontId="4" fillId="7" borderId="6" xfId="0" applyNumberFormat="1" applyFont="1" applyFill="1" applyBorder="1" applyAlignment="1">
      <alignment horizontal="center"/>
    </xf>
    <xf numFmtId="0" fontId="4" fillId="0" borderId="37" xfId="0" applyFont="1" applyBorder="1"/>
    <xf numFmtId="0" fontId="4" fillId="0" borderId="38" xfId="0" applyFont="1" applyBorder="1" applyAlignment="1">
      <alignment horizontal="center"/>
    </xf>
    <xf numFmtId="0" fontId="4" fillId="0" borderId="37" xfId="0" applyFont="1" applyBorder="1" applyAlignment="1">
      <alignment horizontal="center"/>
    </xf>
    <xf numFmtId="165" fontId="4" fillId="0" borderId="37"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6" xfId="0" applyNumberFormat="1" applyFont="1" applyBorder="1" applyAlignment="1">
      <alignment horizontal="center"/>
    </xf>
    <xf numFmtId="168" fontId="4" fillId="8" borderId="37" xfId="0" applyNumberFormat="1" applyFont="1" applyFill="1" applyBorder="1"/>
    <xf numFmtId="168" fontId="4" fillId="8" borderId="39" xfId="0" applyNumberFormat="1" applyFont="1" applyFill="1" applyBorder="1"/>
    <xf numFmtId="0" fontId="12" fillId="7" borderId="40" xfId="0" applyFont="1" applyFill="1" applyBorder="1" applyAlignment="1">
      <alignment horizontal="center"/>
    </xf>
    <xf numFmtId="0" fontId="12" fillId="7" borderId="34" xfId="0" applyFont="1" applyFill="1" applyBorder="1" applyAlignment="1">
      <alignment horizontal="center"/>
    </xf>
    <xf numFmtId="0" fontId="4" fillId="8" borderId="1" xfId="0" applyFont="1" applyFill="1" applyBorder="1" applyAlignment="1">
      <alignment horizontal="center"/>
    </xf>
    <xf numFmtId="0" fontId="4" fillId="8" borderId="0" xfId="0" applyFont="1" applyFill="1" applyAlignment="1">
      <alignment horizontal="center"/>
    </xf>
    <xf numFmtId="0" fontId="12" fillId="10" borderId="34" xfId="0" applyFont="1" applyFill="1" applyBorder="1" applyAlignment="1">
      <alignment horizontal="center" vertical="center" wrapText="1"/>
    </xf>
    <xf numFmtId="0" fontId="12" fillId="0" borderId="0" xfId="0" applyFont="1" applyAlignment="1">
      <alignment horizontal="center"/>
    </xf>
    <xf numFmtId="0" fontId="4" fillId="7" borderId="1" xfId="0" applyFont="1" applyFill="1" applyBorder="1" applyAlignment="1">
      <alignment wrapText="1"/>
    </xf>
    <xf numFmtId="0" fontId="4" fillId="7" borderId="0" xfId="0" applyFont="1" applyFill="1" applyAlignment="1">
      <alignment wrapText="1"/>
    </xf>
    <xf numFmtId="0" fontId="4" fillId="7" borderId="35" xfId="0" applyFont="1" applyFill="1" applyBorder="1" applyAlignment="1">
      <alignment wrapText="1"/>
    </xf>
    <xf numFmtId="0" fontId="4" fillId="8" borderId="2" xfId="0" applyFont="1" applyFill="1" applyBorder="1"/>
    <xf numFmtId="165" fontId="4" fillId="8" borderId="0" xfId="0" applyNumberFormat="1" applyFont="1" applyFill="1" applyAlignment="1">
      <alignment horizontal="center" vertical="top" wrapText="1"/>
    </xf>
    <xf numFmtId="3" fontId="4" fillId="8" borderId="6" xfId="0" applyNumberFormat="1" applyFont="1" applyFill="1" applyBorder="1" applyAlignment="1">
      <alignment horizontal="center"/>
    </xf>
    <xf numFmtId="0" fontId="4" fillId="8" borderId="33" xfId="0" applyFont="1" applyFill="1" applyBorder="1"/>
    <xf numFmtId="165" fontId="1" fillId="0" borderId="0" xfId="0" applyNumberFormat="1" applyFont="1"/>
    <xf numFmtId="3" fontId="4" fillId="0" borderId="4" xfId="0" applyNumberFormat="1" applyFont="1" applyBorder="1" applyAlignment="1">
      <alignment horizontal="center" vertical="top"/>
    </xf>
    <xf numFmtId="168" fontId="4" fillId="0" borderId="6" xfId="0" applyNumberFormat="1" applyFont="1" applyBorder="1" applyAlignment="1">
      <alignment horizontal="center"/>
    </xf>
    <xf numFmtId="165" fontId="4" fillId="0" borderId="5"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4" xfId="0" applyNumberFormat="1" applyFont="1" applyBorder="1" applyAlignment="1">
      <alignment horizontal="center" wrapText="1"/>
    </xf>
    <xf numFmtId="165" fontId="12" fillId="0" borderId="0" xfId="0" applyNumberFormat="1" applyFont="1" applyAlignment="1">
      <alignment horizontal="center" vertical="top" wrapText="1"/>
    </xf>
    <xf numFmtId="165" fontId="17" fillId="0" borderId="33" xfId="0" applyNumberFormat="1" applyFont="1" applyBorder="1" applyAlignment="1">
      <alignment horizontal="center"/>
    </xf>
    <xf numFmtId="2" fontId="4" fillId="0" borderId="4" xfId="0" applyNumberFormat="1" applyFont="1" applyBorder="1"/>
    <xf numFmtId="165" fontId="4" fillId="8" borderId="0" xfId="0" applyNumberFormat="1" applyFont="1" applyFill="1" applyAlignment="1">
      <alignment horizontal="center" wrapText="1"/>
    </xf>
    <xf numFmtId="165" fontId="4" fillId="13" borderId="0" xfId="0" applyNumberFormat="1" applyFont="1" applyFill="1" applyAlignment="1">
      <alignment horizontal="center" wrapText="1"/>
    </xf>
    <xf numFmtId="165" fontId="4" fillId="13"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1"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165" fontId="17"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0" xfId="0" applyFont="1" applyFill="1" applyBorder="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7" xfId="0" applyFont="1" applyBorder="1" applyAlignment="1">
      <alignment horizontal="left" wrapText="1"/>
    </xf>
    <xf numFmtId="0" fontId="4" fillId="0" borderId="7"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6" xfId="0" applyNumberFormat="1" applyFont="1" applyBorder="1" applyAlignment="1">
      <alignment horizontal="center" wrapText="1"/>
    </xf>
    <xf numFmtId="0" fontId="4" fillId="0" borderId="4" xfId="0" applyFont="1" applyBorder="1"/>
    <xf numFmtId="3" fontId="4" fillId="0" borderId="1" xfId="0" applyNumberFormat="1" applyFont="1" applyBorder="1" applyAlignment="1">
      <alignment horizontal="center" vertical="top" wrapText="1"/>
    </xf>
    <xf numFmtId="2" fontId="4" fillId="8" borderId="4" xfId="0" applyNumberFormat="1" applyFont="1" applyFill="1" applyBorder="1"/>
    <xf numFmtId="165" fontId="17"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6" xfId="0" applyNumberFormat="1" applyFont="1" applyBorder="1" applyAlignment="1">
      <alignment horizontal="center"/>
    </xf>
    <xf numFmtId="3" fontId="4" fillId="7" borderId="4" xfId="0" applyNumberFormat="1" applyFont="1" applyFill="1" applyBorder="1" applyAlignment="1">
      <alignment horizontal="center" vertical="top" wrapText="1"/>
    </xf>
    <xf numFmtId="1" fontId="4" fillId="0" borderId="7"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17" fillId="0" borderId="0" xfId="0" applyFont="1" applyAlignment="1">
      <alignment horizontal="left"/>
    </xf>
    <xf numFmtId="0" fontId="17" fillId="0" borderId="7" xfId="0" applyFont="1" applyBorder="1" applyAlignment="1">
      <alignment horizontal="left"/>
    </xf>
    <xf numFmtId="0" fontId="17" fillId="0" borderId="33" xfId="0" applyFont="1" applyBorder="1" applyAlignment="1">
      <alignment horizontal="left"/>
    </xf>
    <xf numFmtId="1" fontId="4" fillId="0" borderId="1" xfId="0" applyNumberFormat="1" applyFont="1" applyBorder="1" applyAlignment="1">
      <alignment horizontal="center" wrapText="1"/>
    </xf>
    <xf numFmtId="165" fontId="4" fillId="0" borderId="8" xfId="0" applyNumberFormat="1" applyFont="1" applyBorder="1" applyAlignment="1">
      <alignment horizontal="center" wrapText="1"/>
    </xf>
    <xf numFmtId="165" fontId="4" fillId="14"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6"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5" xfId="0" applyNumberFormat="1" applyFont="1" applyBorder="1" applyAlignment="1">
      <alignment horizontal="center" wrapText="1"/>
    </xf>
    <xf numFmtId="0" fontId="4" fillId="0" borderId="40"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2"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4" xfId="0" applyNumberFormat="1" applyFont="1" applyBorder="1" applyAlignment="1">
      <alignment horizontal="center" vertical="top" wrapText="1"/>
    </xf>
    <xf numFmtId="0" fontId="4" fillId="0" borderId="0" xfId="0" applyFont="1" applyAlignment="1">
      <alignment horizontal="left" wrapText="1" indent="4"/>
    </xf>
    <xf numFmtId="0" fontId="4" fillId="0" borderId="6" xfId="0" applyFont="1" applyBorder="1" applyAlignment="1">
      <alignment wrapText="1"/>
    </xf>
    <xf numFmtId="0" fontId="4" fillId="0" borderId="3" xfId="0" applyFont="1" applyBorder="1" applyAlignment="1">
      <alignment horizontal="left" wrapText="1" indent="4"/>
    </xf>
    <xf numFmtId="3" fontId="18" fillId="0" borderId="0" xfId="0" applyNumberFormat="1" applyFont="1" applyAlignment="1">
      <alignment horizontal="center" wrapText="1"/>
    </xf>
    <xf numFmtId="3" fontId="4" fillId="0" borderId="4"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19" fillId="0" borderId="0" xfId="0" applyFont="1"/>
    <xf numFmtId="165" fontId="4" fillId="8" borderId="4"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0"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5" xfId="0" applyNumberFormat="1" applyFont="1" applyBorder="1" applyAlignment="1">
      <alignment horizontal="center" wrapText="1"/>
    </xf>
    <xf numFmtId="3" fontId="4" fillId="0" borderId="5" xfId="0" applyNumberFormat="1" applyFont="1" applyBorder="1" applyAlignment="1">
      <alignment horizontal="center"/>
    </xf>
    <xf numFmtId="165" fontId="4" fillId="8" borderId="8"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3" borderId="4"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8" xfId="0" applyFont="1" applyBorder="1" applyAlignment="1">
      <alignment horizontal="center" wrapText="1"/>
    </xf>
    <xf numFmtId="0" fontId="4" fillId="0" borderId="14" xfId="0" applyFont="1" applyBorder="1" applyAlignment="1">
      <alignment horizontal="center"/>
    </xf>
    <xf numFmtId="0" fontId="12" fillId="0" borderId="40" xfId="0" applyFont="1" applyBorder="1" applyAlignment="1">
      <alignment horizontal="center" wrapText="1"/>
    </xf>
    <xf numFmtId="0" fontId="12" fillId="0" borderId="40"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17"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5" xfId="0" applyFont="1" applyBorder="1"/>
    <xf numFmtId="0" fontId="4" fillId="8" borderId="6"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8" xfId="0" applyFont="1" applyFill="1" applyBorder="1"/>
    <xf numFmtId="0" fontId="4" fillId="0" borderId="40" xfId="0" applyFont="1" applyBorder="1"/>
    <xf numFmtId="0" fontId="4" fillId="7" borderId="1" xfId="0" applyFont="1" applyFill="1" applyBorder="1" applyAlignment="1">
      <alignment horizontal="center" vertical="center"/>
    </xf>
    <xf numFmtId="0" fontId="4" fillId="7" borderId="0" xfId="0" applyFont="1" applyFill="1" applyAlignment="1">
      <alignment horizontal="center" vertical="center"/>
    </xf>
    <xf numFmtId="0" fontId="14" fillId="0" borderId="8" xfId="0" applyFont="1" applyBorder="1"/>
    <xf numFmtId="0" fontId="4" fillId="0" borderId="0" xfId="0" applyFont="1" applyAlignment="1">
      <alignment horizontal="center" vertical="center"/>
    </xf>
    <xf numFmtId="0" fontId="4" fillId="0" borderId="2"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7" borderId="7" xfId="0" applyFont="1" applyFill="1" applyBorder="1"/>
    <xf numFmtId="0" fontId="20" fillId="0" borderId="0" xfId="0" applyFont="1" applyAlignment="1">
      <alignment horizontal="center" vertical="center" wrapText="1"/>
    </xf>
    <xf numFmtId="0" fontId="20" fillId="0" borderId="4" xfId="0" applyFont="1" applyBorder="1" applyAlignment="1">
      <alignment horizontal="center" vertical="center" wrapText="1"/>
    </xf>
    <xf numFmtId="165" fontId="4" fillId="8" borderId="4"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3" xfId="0" applyFont="1" applyFill="1" applyBorder="1" applyAlignment="1">
      <alignment horizontal="center" vertical="center"/>
    </xf>
    <xf numFmtId="0" fontId="4" fillId="7" borderId="4" xfId="0" applyFont="1" applyFill="1" applyBorder="1" applyAlignment="1">
      <alignment horizontal="center" vertical="center"/>
    </xf>
    <xf numFmtId="0" fontId="4" fillId="7" borderId="5" xfId="0" applyFont="1" applyFill="1" applyBorder="1" applyAlignment="1">
      <alignment horizontal="center" vertical="center"/>
    </xf>
    <xf numFmtId="165" fontId="4" fillId="7" borderId="0" xfId="0" applyNumberFormat="1" applyFont="1" applyFill="1" applyAlignment="1">
      <alignment horizontal="center"/>
    </xf>
    <xf numFmtId="17" fontId="12" fillId="3" borderId="36" xfId="0" applyNumberFormat="1" applyFont="1" applyFill="1" applyBorder="1" applyAlignment="1">
      <alignment horizontal="left" wrapText="1"/>
    </xf>
    <xf numFmtId="0" fontId="12" fillId="3" borderId="7" xfId="0" applyFont="1" applyFill="1" applyBorder="1" applyAlignment="1">
      <alignment horizontal="left" wrapText="1"/>
    </xf>
    <xf numFmtId="17" fontId="12" fillId="3" borderId="8" xfId="0" applyNumberFormat="1" applyFont="1" applyFill="1" applyBorder="1" applyAlignment="1">
      <alignment horizontal="left" vertical="top" wrapText="1"/>
    </xf>
    <xf numFmtId="3" fontId="4" fillId="0" borderId="4"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17" fillId="8" borderId="0" xfId="0" applyNumberFormat="1" applyFont="1" applyFill="1" applyAlignment="1">
      <alignment horizontal="center" vertical="center"/>
    </xf>
    <xf numFmtId="165" fontId="4" fillId="11" borderId="0" xfId="0" applyNumberFormat="1" applyFont="1" applyFill="1" applyAlignment="1">
      <alignment horizontal="center"/>
    </xf>
    <xf numFmtId="3" fontId="17"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8" xfId="0" applyNumberFormat="1" applyFont="1" applyBorder="1" applyAlignment="1">
      <alignment horizontal="center"/>
    </xf>
    <xf numFmtId="165" fontId="4" fillId="0" borderId="4"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1" fillId="0" borderId="7"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1" fillId="0" borderId="1" xfId="0" applyFont="1" applyBorder="1" applyAlignment="1">
      <alignment horizontal="center" vertical="center" wrapText="1"/>
    </xf>
    <xf numFmtId="0" fontId="4" fillId="7" borderId="6"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3" fontId="4" fillId="8" borderId="4"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4"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4" xfId="0" applyNumberFormat="1" applyFont="1" applyBorder="1" applyAlignment="1">
      <alignment horizontal="center"/>
    </xf>
    <xf numFmtId="165" fontId="4" fillId="0" borderId="0" xfId="0" applyNumberFormat="1" applyFont="1"/>
    <xf numFmtId="0" fontId="4" fillId="0" borderId="7" xfId="0" applyFont="1" applyBorder="1" applyAlignment="1">
      <alignment wrapText="1"/>
    </xf>
    <xf numFmtId="0" fontId="4" fillId="0" borderId="3" xfId="0" applyFont="1" applyBorder="1" applyAlignment="1">
      <alignment vertical="top" wrapText="1"/>
    </xf>
    <xf numFmtId="0" fontId="17" fillId="0" borderId="1" xfId="0" applyFont="1" applyBorder="1" applyAlignment="1">
      <alignment horizontal="left" vertical="top" wrapText="1"/>
    </xf>
    <xf numFmtId="0" fontId="21" fillId="0" borderId="1" xfId="0" applyFont="1" applyBorder="1" applyAlignment="1">
      <alignment wrapText="1"/>
    </xf>
    <xf numFmtId="10" fontId="1" fillId="0" borderId="0" xfId="0" applyNumberFormat="1" applyFont="1"/>
    <xf numFmtId="0" fontId="17" fillId="0" borderId="0" xfId="0" applyFont="1" applyAlignment="1">
      <alignment horizontal="center" wrapText="1"/>
    </xf>
    <xf numFmtId="0" fontId="4" fillId="0" borderId="4" xfId="0" applyFont="1" applyBorder="1" applyAlignment="1">
      <alignment horizontal="center" wrapText="1"/>
    </xf>
    <xf numFmtId="168" fontId="4" fillId="0" borderId="0" xfId="0" applyNumberFormat="1" applyFont="1" applyAlignment="1">
      <alignment horizontal="center"/>
    </xf>
    <xf numFmtId="0" fontId="4" fillId="0" borderId="4" xfId="0" applyFont="1" applyBorder="1" applyAlignment="1">
      <alignment horizontal="center"/>
    </xf>
    <xf numFmtId="0" fontId="4" fillId="0" borderId="2" xfId="0" applyFont="1" applyBorder="1" applyAlignment="1">
      <alignment horizontal="center"/>
    </xf>
    <xf numFmtId="0" fontId="12" fillId="0" borderId="7" xfId="0" applyFont="1" applyBorder="1" applyAlignment="1">
      <alignment horizontal="center" vertical="top" wrapText="1"/>
    </xf>
    <xf numFmtId="0" fontId="12" fillId="0" borderId="0" xfId="0" applyFont="1" applyAlignment="1">
      <alignment horizontal="center" wrapText="1"/>
    </xf>
    <xf numFmtId="3" fontId="4" fillId="0" borderId="8"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4"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4" xfId="0" applyNumberFormat="1" applyFont="1" applyBorder="1" applyAlignment="1">
      <alignment horizontal="center" wrapText="1"/>
    </xf>
    <xf numFmtId="0" fontId="1" fillId="15" borderId="0" xfId="0" applyFont="1" applyFill="1"/>
    <xf numFmtId="0" fontId="1" fillId="8" borderId="33" xfId="0" applyFont="1" applyFill="1" applyBorder="1"/>
    <xf numFmtId="3" fontId="17"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17" fillId="0" borderId="0" xfId="0" applyNumberFormat="1" applyFont="1" applyAlignment="1">
      <alignment horizontal="center" wrapText="1"/>
    </xf>
    <xf numFmtId="1" fontId="17" fillId="0" borderId="4"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17" fillId="11" borderId="0" xfId="0" applyNumberFormat="1" applyFont="1" applyFill="1" applyAlignment="1">
      <alignment horizontal="center"/>
    </xf>
    <xf numFmtId="0" fontId="20" fillId="0" borderId="1" xfId="0" applyFont="1" applyBorder="1" applyAlignment="1">
      <alignment horizontal="left" indent="2"/>
    </xf>
    <xf numFmtId="3" fontId="12" fillId="8" borderId="4"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3" xfId="0" applyFont="1" applyBorder="1" applyAlignment="1">
      <alignment wrapText="1"/>
    </xf>
    <xf numFmtId="0" fontId="4" fillId="0" borderId="4" xfId="0" applyFont="1" applyBorder="1" applyAlignment="1">
      <alignment wrapText="1"/>
    </xf>
    <xf numFmtId="171" fontId="4" fillId="0" borderId="0" xfId="0" applyNumberFormat="1" applyFont="1" applyAlignment="1">
      <alignment horizontal="center" wrapText="1"/>
    </xf>
    <xf numFmtId="0" fontId="17" fillId="0" borderId="0" xfId="0" applyFont="1" applyAlignment="1">
      <alignment wrapText="1"/>
    </xf>
    <xf numFmtId="171" fontId="17" fillId="0" borderId="0" xfId="0" applyNumberFormat="1" applyFont="1" applyAlignment="1">
      <alignment wrapText="1"/>
    </xf>
    <xf numFmtId="0" fontId="12" fillId="0" borderId="33" xfId="0" applyFont="1" applyBorder="1" applyAlignment="1">
      <alignment horizontal="center" vertical="top" wrapText="1"/>
    </xf>
    <xf numFmtId="171" fontId="4" fillId="0" borderId="4" xfId="0" applyNumberFormat="1" applyFont="1" applyBorder="1" applyAlignment="1">
      <alignment horizontal="center" wrapText="1"/>
    </xf>
    <xf numFmtId="1" fontId="12" fillId="0" borderId="0" xfId="0" applyNumberFormat="1" applyFont="1" applyAlignment="1">
      <alignment horizontal="center" wrapText="1"/>
    </xf>
    <xf numFmtId="0" fontId="22"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17" fillId="0" borderId="3" xfId="0" applyFont="1" applyBorder="1"/>
    <xf numFmtId="0" fontId="17" fillId="0" borderId="4" xfId="0" applyFont="1" applyBorder="1"/>
    <xf numFmtId="1" fontId="17" fillId="0" borderId="0" xfId="0" applyNumberFormat="1" applyFont="1" applyAlignment="1">
      <alignment horizontal="center"/>
    </xf>
    <xf numFmtId="1" fontId="17" fillId="8" borderId="4" xfId="0" applyNumberFormat="1" applyFont="1" applyFill="1" applyBorder="1" applyAlignment="1">
      <alignment horizontal="center"/>
    </xf>
    <xf numFmtId="0" fontId="20" fillId="0" borderId="1" xfId="0" applyFont="1" applyBorder="1" applyAlignment="1">
      <alignment horizontal="left" indent="5"/>
    </xf>
    <xf numFmtId="0" fontId="4" fillId="0" borderId="1" xfId="0" applyFont="1" applyBorder="1" applyAlignment="1">
      <alignment horizontal="left" vertical="top" wrapText="1" indent="5"/>
    </xf>
    <xf numFmtId="168" fontId="4" fillId="7"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6" xfId="0" applyFont="1" applyBorder="1" applyAlignment="1">
      <alignment horizontal="left" wrapText="1" indent="3"/>
    </xf>
    <xf numFmtId="0" fontId="4" fillId="0" borderId="8" xfId="0" applyFont="1" applyBorder="1"/>
    <xf numFmtId="3" fontId="4" fillId="0" borderId="6" xfId="0" applyNumberFormat="1" applyFont="1" applyBorder="1" applyAlignment="1">
      <alignment horizontal="right"/>
    </xf>
    <xf numFmtId="0" fontId="4" fillId="0" borderId="6" xfId="0" applyFont="1" applyBorder="1" applyAlignment="1">
      <alignment horizontal="center"/>
    </xf>
    <xf numFmtId="169" fontId="4" fillId="0" borderId="5" xfId="0" applyNumberFormat="1" applyFont="1" applyBorder="1" applyAlignment="1">
      <alignment horizontal="center"/>
    </xf>
    <xf numFmtId="0" fontId="4" fillId="0" borderId="3" xfId="0" applyFont="1" applyBorder="1"/>
    <xf numFmtId="0" fontId="4" fillId="0" borderId="1" xfId="0" applyFont="1" applyBorder="1"/>
    <xf numFmtId="168" fontId="17" fillId="0" borderId="0" xfId="0" applyNumberFormat="1" applyFont="1" applyAlignment="1">
      <alignment horizontal="center"/>
    </xf>
    <xf numFmtId="168" fontId="17" fillId="14" borderId="33" xfId="0" applyNumberFormat="1" applyFont="1" applyFill="1" applyBorder="1" applyAlignment="1">
      <alignment horizontal="center"/>
    </xf>
    <xf numFmtId="168" fontId="4" fillId="0" borderId="4" xfId="0" applyNumberFormat="1" applyFont="1" applyBorder="1" applyAlignment="1">
      <alignment horizontal="center"/>
    </xf>
    <xf numFmtId="168" fontId="17"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8" xfId="0" applyNumberFormat="1" applyFont="1" applyFill="1" applyBorder="1" applyAlignment="1">
      <alignment horizontal="center"/>
    </xf>
    <xf numFmtId="168" fontId="17" fillId="7" borderId="8" xfId="0" applyNumberFormat="1" applyFont="1" applyFill="1" applyBorder="1" applyAlignment="1">
      <alignment horizontal="center"/>
    </xf>
    <xf numFmtId="0" fontId="4" fillId="0" borderId="7" xfId="0" applyFont="1" applyBorder="1"/>
    <xf numFmtId="0" fontId="4" fillId="10" borderId="33" xfId="0" applyFont="1" applyFill="1" applyBorder="1" applyAlignment="1">
      <alignment horizontal="center"/>
    </xf>
    <xf numFmtId="0" fontId="4" fillId="10" borderId="2" xfId="0" applyFont="1" applyFill="1" applyBorder="1" applyAlignment="1">
      <alignment horizontal="center"/>
    </xf>
    <xf numFmtId="0" fontId="12" fillId="10" borderId="7" xfId="0" applyFont="1" applyFill="1" applyBorder="1"/>
    <xf numFmtId="0" fontId="1" fillId="14" borderId="0" xfId="0" applyFont="1" applyFill="1"/>
    <xf numFmtId="0" fontId="4" fillId="0" borderId="5" xfId="0" applyFont="1" applyBorder="1" applyAlignment="1">
      <alignment horizontal="center"/>
    </xf>
    <xf numFmtId="168" fontId="4" fillId="0" borderId="7"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4" xfId="0" applyNumberFormat="1" applyFont="1" applyFill="1" applyBorder="1" applyAlignment="1">
      <alignment horizontal="center"/>
    </xf>
    <xf numFmtId="168" fontId="17" fillId="0" borderId="7" xfId="0" applyNumberFormat="1" applyFont="1" applyBorder="1" applyAlignment="1">
      <alignment horizontal="center"/>
    </xf>
    <xf numFmtId="168" fontId="17" fillId="0" borderId="33" xfId="0" applyNumberFormat="1" applyFont="1" applyBorder="1" applyAlignment="1">
      <alignment horizontal="center"/>
    </xf>
    <xf numFmtId="168" fontId="17" fillId="7" borderId="33" xfId="0" applyNumberFormat="1" applyFont="1" applyFill="1" applyBorder="1" applyAlignment="1">
      <alignment horizontal="center"/>
    </xf>
    <xf numFmtId="169" fontId="4" fillId="0" borderId="4" xfId="0" applyNumberFormat="1" applyFont="1" applyBorder="1" applyAlignment="1">
      <alignment horizontal="center"/>
    </xf>
    <xf numFmtId="0" fontId="17" fillId="0" borderId="1" xfId="0" applyFont="1" applyBorder="1"/>
    <xf numFmtId="172" fontId="4" fillId="0" borderId="0" xfId="0" applyNumberFormat="1" applyFont="1"/>
    <xf numFmtId="0" fontId="12" fillId="3" borderId="40" xfId="0" applyFont="1" applyFill="1" applyBorder="1"/>
    <xf numFmtId="0" fontId="12" fillId="3" borderId="34" xfId="0" applyFont="1" applyFill="1" applyBorder="1"/>
    <xf numFmtId="0" fontId="12" fillId="3" borderId="20" xfId="0" applyFont="1" applyFill="1" applyBorder="1"/>
    <xf numFmtId="0" fontId="12" fillId="3" borderId="34" xfId="0" applyFont="1" applyFill="1" applyBorder="1" applyAlignment="1">
      <alignment horizontal="center"/>
    </xf>
    <xf numFmtId="0" fontId="12" fillId="3" borderId="20" xfId="0" applyFont="1" applyFill="1" applyBorder="1" applyAlignment="1">
      <alignment horizontal="center"/>
    </xf>
    <xf numFmtId="168" fontId="4" fillId="8" borderId="4" xfId="0" applyNumberFormat="1" applyFont="1" applyFill="1" applyBorder="1" applyAlignment="1">
      <alignment horizontal="center"/>
    </xf>
    <xf numFmtId="168" fontId="17" fillId="8" borderId="8" xfId="0" applyNumberFormat="1" applyFont="1" applyFill="1" applyBorder="1" applyAlignment="1">
      <alignment horizontal="center"/>
    </xf>
    <xf numFmtId="0" fontId="17" fillId="0" borderId="7" xfId="0" applyFont="1" applyBorder="1"/>
    <xf numFmtId="0" fontId="17" fillId="0" borderId="8" xfId="0" applyFont="1" applyBorder="1"/>
    <xf numFmtId="168" fontId="17"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24" fillId="0" borderId="1" xfId="0" applyFont="1" applyBorder="1" applyAlignment="1">
      <alignment horizontal="left" wrapText="1"/>
    </xf>
    <xf numFmtId="169" fontId="4" fillId="0" borderId="3" xfId="0" applyNumberFormat="1" applyFont="1" applyBorder="1" applyAlignment="1">
      <alignment horizontal="center"/>
    </xf>
    <xf numFmtId="0" fontId="12" fillId="0" borderId="0" xfId="0" applyFont="1" applyAlignment="1">
      <alignment vertical="top" wrapText="1"/>
    </xf>
    <xf numFmtId="169" fontId="4" fillId="8" borderId="4" xfId="0" applyNumberFormat="1" applyFont="1" applyFill="1" applyBorder="1" applyAlignment="1">
      <alignment horizontal="center"/>
    </xf>
    <xf numFmtId="0" fontId="4" fillId="9" borderId="34" xfId="0" applyFont="1" applyFill="1" applyBorder="1"/>
    <xf numFmtId="0" fontId="4" fillId="9" borderId="20" xfId="0" applyFont="1" applyFill="1" applyBorder="1"/>
    <xf numFmtId="0" fontId="1" fillId="7" borderId="36" xfId="0" applyFont="1" applyFill="1" applyBorder="1"/>
    <xf numFmtId="2" fontId="4" fillId="0" borderId="8" xfId="0" applyNumberFormat="1" applyFont="1" applyBorder="1" applyAlignment="1">
      <alignment horizontal="center"/>
    </xf>
    <xf numFmtId="2" fontId="4" fillId="0" borderId="6" xfId="0" applyNumberFormat="1" applyFont="1" applyBorder="1" applyAlignment="1">
      <alignment horizontal="center"/>
    </xf>
    <xf numFmtId="168" fontId="17" fillId="7" borderId="0" xfId="0" applyNumberFormat="1" applyFont="1" applyFill="1" applyAlignment="1">
      <alignment horizontal="center"/>
    </xf>
    <xf numFmtId="0" fontId="17"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4" borderId="4"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2" borderId="4"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4" xfId="0" applyNumberFormat="1" applyFont="1" applyBorder="1"/>
    <xf numFmtId="0" fontId="4" fillId="0" borderId="3" xfId="0" applyFont="1" applyBorder="1" applyAlignment="1">
      <alignment horizontal="left" indent="4"/>
    </xf>
    <xf numFmtId="3" fontId="26" fillId="0" borderId="0" xfId="0" applyNumberFormat="1" applyFont="1"/>
    <xf numFmtId="173" fontId="4" fillId="0" borderId="0" xfId="0" applyNumberFormat="1" applyFont="1"/>
    <xf numFmtId="0" fontId="4" fillId="9" borderId="7" xfId="0" applyFont="1" applyFill="1" applyBorder="1"/>
    <xf numFmtId="0" fontId="4" fillId="9" borderId="8"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2" fontId="4" fillId="0" borderId="35" xfId="0" applyNumberFormat="1" applyFont="1" applyBorder="1" applyAlignment="1">
      <alignment horizontal="center"/>
    </xf>
    <xf numFmtId="0" fontId="12" fillId="8" borderId="0" xfId="0" applyFont="1" applyFill="1" applyAlignment="1">
      <alignment horizontal="center"/>
    </xf>
    <xf numFmtId="0" fontId="4" fillId="8" borderId="8" xfId="0" applyFont="1" applyFill="1" applyBorder="1"/>
    <xf numFmtId="0" fontId="1" fillId="0" borderId="0" xfId="0" applyFont="1" applyAlignment="1">
      <alignment horizontal="center"/>
    </xf>
    <xf numFmtId="0" fontId="17"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8" xfId="0" applyNumberFormat="1" applyFont="1" applyFill="1" applyBorder="1"/>
    <xf numFmtId="10" fontId="4" fillId="18" borderId="7" xfId="0" applyNumberFormat="1" applyFont="1" applyFill="1" applyBorder="1"/>
    <xf numFmtId="10" fontId="4" fillId="18" borderId="8" xfId="0" applyNumberFormat="1" applyFont="1" applyFill="1" applyBorder="1" applyAlignment="1">
      <alignment horizontal="center"/>
    </xf>
    <xf numFmtId="10" fontId="1" fillId="18" borderId="8" xfId="0" applyNumberFormat="1" applyFont="1" applyFill="1" applyBorder="1" applyAlignment="1">
      <alignment horizontal="center"/>
    </xf>
    <xf numFmtId="0" fontId="17" fillId="18" borderId="0" xfId="0" applyFont="1" applyFill="1"/>
    <xf numFmtId="0" fontId="17" fillId="18" borderId="1" xfId="0" applyFont="1" applyFill="1" applyBorder="1"/>
    <xf numFmtId="0" fontId="17" fillId="18" borderId="0" xfId="0" applyFont="1" applyFill="1" applyAlignment="1">
      <alignment horizontal="center"/>
    </xf>
    <xf numFmtId="0" fontId="17" fillId="18" borderId="4" xfId="0" applyFont="1" applyFill="1" applyBorder="1"/>
    <xf numFmtId="0" fontId="17" fillId="18" borderId="3" xfId="0" applyFont="1" applyFill="1" applyBorder="1"/>
    <xf numFmtId="0" fontId="17" fillId="18" borderId="4" xfId="0" applyFont="1" applyFill="1" applyBorder="1" applyAlignment="1">
      <alignment horizontal="center"/>
    </xf>
    <xf numFmtId="0" fontId="1" fillId="18" borderId="4" xfId="0" applyFont="1" applyFill="1" applyBorder="1" applyAlignment="1">
      <alignment horizontal="center"/>
    </xf>
    <xf numFmtId="1" fontId="1" fillId="18" borderId="4" xfId="0" applyNumberFormat="1" applyFont="1" applyFill="1" applyBorder="1" applyAlignment="1">
      <alignment horizontal="center"/>
    </xf>
    <xf numFmtId="0" fontId="1" fillId="0" borderId="4" xfId="0" applyFont="1" applyBorder="1" applyAlignment="1">
      <alignment horizontal="center"/>
    </xf>
    <xf numFmtId="0" fontId="17" fillId="0" borderId="4" xfId="0" applyFont="1" applyBorder="1" applyAlignment="1">
      <alignment horizontal="center"/>
    </xf>
    <xf numFmtId="10" fontId="4" fillId="0" borderId="8" xfId="0" applyNumberFormat="1" applyFont="1" applyBorder="1"/>
    <xf numFmtId="10" fontId="4" fillId="0" borderId="7" xfId="0" applyNumberFormat="1" applyFont="1" applyBorder="1"/>
    <xf numFmtId="10" fontId="4" fillId="0" borderId="8" xfId="0" applyNumberFormat="1" applyFont="1" applyBorder="1" applyAlignment="1">
      <alignment horizontal="center"/>
    </xf>
    <xf numFmtId="1" fontId="1" fillId="0" borderId="4" xfId="0" applyNumberFormat="1" applyFont="1" applyBorder="1" applyAlignment="1">
      <alignment horizontal="center"/>
    </xf>
    <xf numFmtId="3" fontId="4" fillId="0" borderId="4" xfId="0" applyNumberFormat="1" applyFont="1" applyBorder="1" applyAlignment="1">
      <alignment horizontal="right"/>
    </xf>
    <xf numFmtId="3" fontId="4" fillId="0" borderId="5" xfId="0" applyNumberFormat="1" applyFont="1" applyBorder="1" applyAlignment="1">
      <alignment horizontal="right"/>
    </xf>
    <xf numFmtId="0" fontId="4" fillId="19" borderId="40" xfId="0" applyFont="1" applyFill="1" applyBorder="1" applyAlignment="1">
      <alignment wrapText="1"/>
    </xf>
    <xf numFmtId="0" fontId="4" fillId="19" borderId="34" xfId="0" applyFont="1" applyFill="1" applyBorder="1"/>
    <xf numFmtId="1" fontId="4" fillId="19" borderId="34" xfId="0" applyNumberFormat="1" applyFont="1" applyFill="1" applyBorder="1"/>
    <xf numFmtId="1" fontId="4" fillId="19" borderId="20" xfId="0" applyNumberFormat="1" applyFont="1" applyFill="1" applyBorder="1"/>
    <xf numFmtId="0" fontId="12" fillId="0" borderId="7" xfId="0" applyFont="1" applyBorder="1" applyAlignment="1">
      <alignment horizontal="center"/>
    </xf>
    <xf numFmtId="0" fontId="1" fillId="8" borderId="4" xfId="0" applyFont="1" applyFill="1" applyBorder="1"/>
    <xf numFmtId="168" fontId="4" fillId="8" borderId="0" xfId="0" applyNumberFormat="1" applyFont="1" applyFill="1" applyAlignment="1">
      <alignment horizontal="center"/>
    </xf>
    <xf numFmtId="1" fontId="4" fillId="8" borderId="0" xfId="0" applyNumberFormat="1" applyFont="1" applyFill="1"/>
    <xf numFmtId="0" fontId="12" fillId="0" borderId="3"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22" xfId="0" applyNumberFormat="1" applyFont="1" applyBorder="1"/>
    <xf numFmtId="1" fontId="4" fillId="0" borderId="15" xfId="0" applyNumberFormat="1" applyFont="1" applyBorder="1"/>
    <xf numFmtId="167" fontId="4" fillId="0" borderId="15" xfId="0" applyNumberFormat="1" applyFont="1" applyBorder="1"/>
    <xf numFmtId="0" fontId="27" fillId="0" borderId="1" xfId="0" applyFont="1" applyBorder="1" applyAlignment="1">
      <alignment horizontal="left" wrapText="1" indent="1"/>
    </xf>
    <xf numFmtId="0" fontId="27" fillId="0" borderId="1" xfId="0" applyFont="1" applyBorder="1" applyAlignment="1">
      <alignment horizontal="left" indent="1"/>
    </xf>
    <xf numFmtId="0" fontId="4" fillId="0" borderId="1" xfId="0" applyFont="1" applyBorder="1" applyAlignment="1">
      <alignment horizontal="left" indent="2"/>
    </xf>
    <xf numFmtId="0" fontId="28" fillId="0" borderId="1" xfId="0" applyFont="1" applyBorder="1" applyAlignment="1">
      <alignment horizontal="left" indent="1"/>
    </xf>
    <xf numFmtId="0" fontId="4" fillId="20" borderId="1" xfId="0" applyFont="1" applyFill="1" applyBorder="1" applyAlignment="1">
      <alignment horizontal="left"/>
    </xf>
    <xf numFmtId="0" fontId="4" fillId="20" borderId="7" xfId="0" applyFont="1" applyFill="1" applyBorder="1"/>
    <xf numFmtId="0" fontId="4" fillId="15"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5"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8" xfId="0" applyNumberFormat="1" applyFont="1" applyFill="1" applyBorder="1" applyAlignment="1">
      <alignment horizontal="center"/>
    </xf>
    <xf numFmtId="0" fontId="12" fillId="7" borderId="7" xfId="0" applyFont="1" applyFill="1" applyBorder="1" applyAlignment="1">
      <alignment horizontal="centerContinuous" vertical="center"/>
    </xf>
    <xf numFmtId="0" fontId="12" fillId="7" borderId="2"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17" fillId="0" borderId="4" xfId="0" applyNumberFormat="1" applyFont="1" applyBorder="1" applyAlignment="1">
      <alignment horizontal="center"/>
    </xf>
    <xf numFmtId="0" fontId="4" fillId="0" borderId="21" xfId="0" applyFont="1" applyBorder="1"/>
    <xf numFmtId="0" fontId="4" fillId="0" borderId="22" xfId="0" applyFont="1" applyBorder="1"/>
    <xf numFmtId="1" fontId="4" fillId="8" borderId="22" xfId="0" applyNumberFormat="1" applyFont="1" applyFill="1" applyBorder="1"/>
    <xf numFmtId="0" fontId="4" fillId="0" borderId="23" xfId="0" applyFont="1" applyBorder="1" applyAlignment="1">
      <alignment horizontal="left" wrapText="1" indent="1"/>
    </xf>
    <xf numFmtId="0" fontId="4" fillId="0" borderId="23" xfId="0" applyFont="1" applyBorder="1" applyAlignment="1">
      <alignment horizontal="left" wrapText="1" indent="2"/>
    </xf>
    <xf numFmtId="0" fontId="4" fillId="0" borderId="31"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22" xfId="0" applyNumberFormat="1" applyFont="1" applyFill="1" applyBorder="1"/>
    <xf numFmtId="1" fontId="4" fillId="21" borderId="22" xfId="0" applyNumberFormat="1" applyFont="1" applyFill="1" applyBorder="1"/>
    <xf numFmtId="1" fontId="4" fillId="21" borderId="0" xfId="0" applyNumberFormat="1" applyFont="1" applyFill="1"/>
    <xf numFmtId="1" fontId="4" fillId="0" borderId="42" xfId="0" applyNumberFormat="1" applyFont="1" applyBorder="1"/>
    <xf numFmtId="1" fontId="4" fillId="3" borderId="15" xfId="0" applyNumberFormat="1" applyFont="1" applyFill="1" applyBorder="1"/>
    <xf numFmtId="1" fontId="4" fillId="21" borderId="15" xfId="0" applyNumberFormat="1" applyFont="1" applyFill="1" applyBorder="1"/>
    <xf numFmtId="1" fontId="4" fillId="8" borderId="15" xfId="0" applyNumberFormat="1" applyFont="1" applyFill="1" applyBorder="1"/>
    <xf numFmtId="1" fontId="4" fillId="7" borderId="15" xfId="0" applyNumberFormat="1" applyFont="1" applyFill="1" applyBorder="1"/>
    <xf numFmtId="167" fontId="4" fillId="8" borderId="15"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17" fillId="0" borderId="1" xfId="0" applyFont="1" applyBorder="1" applyAlignment="1">
      <alignment horizontal="center"/>
    </xf>
    <xf numFmtId="168" fontId="4" fillId="8" borderId="8" xfId="0" applyNumberFormat="1" applyFont="1" applyFill="1" applyBorder="1" applyAlignment="1">
      <alignment horizontal="center"/>
    </xf>
    <xf numFmtId="3" fontId="4" fillId="0" borderId="8" xfId="0" applyNumberFormat="1" applyFont="1" applyBorder="1"/>
    <xf numFmtId="3" fontId="4" fillId="0" borderId="2"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0" xfId="0" applyFont="1" applyBorder="1"/>
    <xf numFmtId="169" fontId="4" fillId="11" borderId="4" xfId="0" applyNumberFormat="1" applyFont="1" applyFill="1" applyBorder="1"/>
    <xf numFmtId="4" fontId="4" fillId="0" borderId="0" xfId="0" applyNumberFormat="1" applyFont="1"/>
    <xf numFmtId="3" fontId="4" fillId="0" borderId="6" xfId="0" applyNumberFormat="1" applyFont="1" applyBorder="1"/>
    <xf numFmtId="169" fontId="4" fillId="11" borderId="5" xfId="0" applyNumberFormat="1" applyFont="1" applyFill="1" applyBorder="1"/>
    <xf numFmtId="3" fontId="4" fillId="0" borderId="7" xfId="0" applyNumberFormat="1" applyFont="1" applyBorder="1"/>
    <xf numFmtId="1" fontId="4" fillId="8" borderId="33" xfId="0" applyNumberFormat="1" applyFont="1" applyFill="1" applyBorder="1"/>
    <xf numFmtId="0" fontId="1" fillId="0" borderId="0" xfId="0" applyFont="1" applyAlignment="1">
      <alignment horizontal="center" wrapText="1"/>
    </xf>
    <xf numFmtId="0" fontId="4" fillId="8" borderId="6" xfId="0" applyFont="1" applyFill="1" applyBorder="1"/>
    <xf numFmtId="1" fontId="4" fillId="8" borderId="8" xfId="0" applyNumberFormat="1" applyFont="1" applyFill="1" applyBorder="1"/>
    <xf numFmtId="0" fontId="4" fillId="0" borderId="33" xfId="0" applyFont="1" applyBorder="1"/>
    <xf numFmtId="1" fontId="4" fillId="0" borderId="33" xfId="0" applyNumberFormat="1" applyFont="1" applyBorder="1"/>
    <xf numFmtId="168" fontId="4" fillId="0" borderId="2" xfId="0" applyNumberFormat="1" applyFont="1" applyBorder="1"/>
    <xf numFmtId="168" fontId="4" fillId="8" borderId="5" xfId="0" applyNumberFormat="1" applyFont="1" applyFill="1" applyBorder="1" applyAlignment="1">
      <alignment horizontal="center"/>
    </xf>
    <xf numFmtId="168" fontId="17" fillId="8" borderId="6"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6" xfId="0" applyNumberFormat="1" applyFont="1" applyFill="1" applyBorder="1" applyAlignment="1">
      <alignment horizontal="center"/>
    </xf>
    <xf numFmtId="0" fontId="4" fillId="8" borderId="7"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2" borderId="0" xfId="0" applyNumberFormat="1" applyFont="1" applyFill="1" applyAlignment="1">
      <alignment horizontal="center"/>
    </xf>
    <xf numFmtId="168" fontId="17"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8" borderId="6" xfId="0" applyNumberFormat="1" applyFont="1" applyFill="1" applyBorder="1" applyAlignment="1">
      <alignment horizontal="center"/>
    </xf>
    <xf numFmtId="0" fontId="1" fillId="0" borderId="2" xfId="0" applyFont="1" applyBorder="1"/>
    <xf numFmtId="0" fontId="1" fillId="0" borderId="7" xfId="0" applyFont="1" applyBorder="1"/>
    <xf numFmtId="0" fontId="1" fillId="0" borderId="1" xfId="0" applyFont="1" applyBorder="1" applyAlignment="1">
      <alignment horizontal="left" indent="1"/>
    </xf>
    <xf numFmtId="0" fontId="1" fillId="0" borderId="6" xfId="0" applyFont="1" applyBorder="1" applyAlignment="1">
      <alignment horizontal="left" indent="1"/>
    </xf>
    <xf numFmtId="0" fontId="1" fillId="0" borderId="3" xfId="0" applyFont="1" applyBorder="1" applyAlignment="1">
      <alignment horizontal="left"/>
    </xf>
    <xf numFmtId="0" fontId="1" fillId="0" borderId="7" xfId="0" applyFont="1" applyBorder="1" applyAlignment="1">
      <alignment horizontal="left"/>
    </xf>
    <xf numFmtId="0" fontId="29"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29"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29" fillId="0" borderId="0" xfId="0" applyNumberFormat="1" applyFont="1" applyAlignment="1">
      <alignment horizontal="center"/>
    </xf>
    <xf numFmtId="166" fontId="29" fillId="0" borderId="0" xfId="0" applyNumberFormat="1" applyFont="1" applyAlignment="1">
      <alignment horizontal="center"/>
    </xf>
    <xf numFmtId="0" fontId="7" fillId="0" borderId="0" xfId="0" applyFont="1"/>
    <xf numFmtId="2" fontId="1" fillId="15" borderId="0" xfId="0" applyNumberFormat="1" applyFont="1" applyFill="1"/>
    <xf numFmtId="0" fontId="7" fillId="25" borderId="0" xfId="0" applyFont="1" applyFill="1" applyAlignment="1">
      <alignment horizontal="center"/>
    </xf>
    <xf numFmtId="167" fontId="4" fillId="8" borderId="4" xfId="0" applyNumberFormat="1" applyFont="1" applyFill="1" applyBorder="1" applyAlignment="1">
      <alignment horizontal="center"/>
    </xf>
    <xf numFmtId="167" fontId="4" fillId="7" borderId="6" xfId="0" applyNumberFormat="1" applyFont="1" applyFill="1" applyBorder="1" applyAlignment="1">
      <alignment horizontal="center"/>
    </xf>
    <xf numFmtId="167" fontId="4" fillId="7" borderId="4" xfId="0" applyNumberFormat="1" applyFont="1" applyFill="1" applyBorder="1" applyAlignment="1">
      <alignment horizontal="center"/>
    </xf>
    <xf numFmtId="1" fontId="4" fillId="0" borderId="4" xfId="0" applyNumberFormat="1" applyFont="1" applyBorder="1" applyAlignment="1">
      <alignment horizontal="center"/>
    </xf>
    <xf numFmtId="167" fontId="4" fillId="0" borderId="1" xfId="0" applyNumberFormat="1" applyFont="1" applyBorder="1" applyAlignment="1">
      <alignment horizontal="center"/>
    </xf>
    <xf numFmtId="0" fontId="17" fillId="0" borderId="0" xfId="0" applyFont="1" applyAlignment="1">
      <alignment horizontal="center" vertical="top" wrapText="1"/>
    </xf>
    <xf numFmtId="3" fontId="17" fillId="0" borderId="0" xfId="0" applyNumberFormat="1" applyFont="1" applyAlignment="1">
      <alignment horizontal="center" vertical="top" wrapText="1"/>
    </xf>
    <xf numFmtId="0" fontId="17" fillId="0" borderId="0" xfId="0" applyFont="1" applyAlignment="1">
      <alignment horizontal="left" vertical="top" wrapText="1"/>
    </xf>
    <xf numFmtId="0" fontId="20"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7" xfId="0" applyFont="1" applyBorder="1" applyAlignment="1">
      <alignment horizontal="left" indent="1"/>
    </xf>
    <xf numFmtId="0" fontId="30" fillId="0" borderId="1" xfId="0" applyFont="1" applyBorder="1" applyAlignment="1">
      <alignment horizontal="left" wrapText="1"/>
    </xf>
    <xf numFmtId="0" fontId="31" fillId="0" borderId="0" xfId="0" applyFont="1"/>
    <xf numFmtId="0" fontId="20" fillId="0" borderId="0" xfId="0" applyFont="1"/>
    <xf numFmtId="0" fontId="32" fillId="0" borderId="1" xfId="0" applyFont="1" applyBorder="1" applyAlignment="1">
      <alignment horizontal="left"/>
    </xf>
    <xf numFmtId="167" fontId="17" fillId="0" borderId="0" xfId="0" applyNumberFormat="1" applyFont="1"/>
    <xf numFmtId="0" fontId="17" fillId="0" borderId="3" xfId="0" applyFont="1" applyBorder="1" applyAlignment="1">
      <alignment horizontal="left" vertical="top" wrapText="1"/>
    </xf>
    <xf numFmtId="0" fontId="4" fillId="0" borderId="44" xfId="0" applyFont="1" applyBorder="1"/>
    <xf numFmtId="168" fontId="17" fillId="0" borderId="0" xfId="0" applyNumberFormat="1" applyFont="1" applyAlignment="1">
      <alignment horizontal="right" vertical="top" wrapText="1"/>
    </xf>
    <xf numFmtId="175" fontId="30"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17"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17" fillId="26" borderId="4" xfId="0" applyNumberFormat="1" applyFont="1" applyFill="1" applyBorder="1" applyAlignment="1">
      <alignment horizontal="center" vertical="top" wrapText="1"/>
    </xf>
    <xf numFmtId="168" fontId="17" fillId="13" borderId="0" xfId="0" applyNumberFormat="1" applyFont="1" applyFill="1" applyAlignment="1">
      <alignment horizontal="center" vertical="top" wrapText="1"/>
    </xf>
    <xf numFmtId="168" fontId="4" fillId="14"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5"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0" fillId="0" borderId="0" xfId="0" applyNumberFormat="1" applyFont="1" applyAlignment="1">
      <alignment horizontal="center"/>
    </xf>
    <xf numFmtId="175" fontId="30" fillId="0" borderId="0" xfId="0" applyNumberFormat="1" applyFont="1"/>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17" fillId="0" borderId="4" xfId="0" applyNumberFormat="1" applyFont="1" applyBorder="1" applyAlignment="1">
      <alignment horizontal="center" vertical="top" wrapText="1"/>
    </xf>
    <xf numFmtId="176" fontId="20" fillId="0" borderId="0" xfId="0" applyNumberFormat="1" applyFont="1" applyAlignment="1">
      <alignment horizontal="center"/>
    </xf>
    <xf numFmtId="0" fontId="12" fillId="13" borderId="34" xfId="0" applyFont="1" applyFill="1" applyBorder="1" applyAlignment="1">
      <alignment horizontal="center"/>
    </xf>
    <xf numFmtId="0" fontId="12" fillId="13" borderId="20" xfId="0" applyFont="1" applyFill="1" applyBorder="1" applyAlignment="1">
      <alignment horizontal="center"/>
    </xf>
    <xf numFmtId="0" fontId="20" fillId="0" borderId="1" xfId="0" applyFont="1" applyBorder="1"/>
    <xf numFmtId="2" fontId="4" fillId="0" borderId="5" xfId="0" applyNumberFormat="1" applyFont="1" applyBorder="1" applyAlignment="1">
      <alignment horizontal="center"/>
    </xf>
    <xf numFmtId="0" fontId="12" fillId="0" borderId="34" xfId="0" applyFont="1" applyBorder="1" applyAlignment="1">
      <alignment horizontal="center"/>
    </xf>
    <xf numFmtId="0" fontId="1" fillId="0" borderId="35" xfId="0" applyFont="1" applyBorder="1"/>
    <xf numFmtId="175" fontId="30" fillId="8" borderId="20" xfId="0" applyNumberFormat="1" applyFont="1" applyFill="1" applyBorder="1" applyAlignment="1">
      <alignment horizontal="center"/>
    </xf>
    <xf numFmtId="1" fontId="4" fillId="0" borderId="2" xfId="0" applyNumberFormat="1" applyFont="1" applyBorder="1" applyAlignment="1">
      <alignment horizontal="center"/>
    </xf>
    <xf numFmtId="177" fontId="4" fillId="0" borderId="0" xfId="0" applyNumberFormat="1" applyFont="1" applyAlignment="1">
      <alignment horizontal="center"/>
    </xf>
    <xf numFmtId="175" fontId="30" fillId="0" borderId="34" xfId="0" applyNumberFormat="1" applyFont="1" applyBorder="1" applyAlignment="1">
      <alignment horizontal="center"/>
    </xf>
    <xf numFmtId="3" fontId="4" fillId="0" borderId="35" xfId="0" applyNumberFormat="1" applyFont="1" applyBorder="1" applyAlignment="1">
      <alignment horizontal="center"/>
    </xf>
    <xf numFmtId="175" fontId="20" fillId="0" borderId="0" xfId="0" applyNumberFormat="1" applyFont="1" applyAlignment="1">
      <alignment horizontal="left" indent="2"/>
    </xf>
    <xf numFmtId="175" fontId="30" fillId="8" borderId="34" xfId="0" applyNumberFormat="1" applyFont="1" applyFill="1" applyBorder="1" applyAlignment="1">
      <alignment horizontal="center"/>
    </xf>
    <xf numFmtId="0" fontId="12" fillId="0" borderId="36" xfId="0" applyFont="1" applyBorder="1" applyAlignment="1">
      <alignment wrapText="1"/>
    </xf>
    <xf numFmtId="1" fontId="4" fillId="0" borderId="5" xfId="0" applyNumberFormat="1" applyFont="1" applyBorder="1" applyAlignment="1">
      <alignment horizontal="center"/>
    </xf>
    <xf numFmtId="1" fontId="17" fillId="0" borderId="1" xfId="0" applyNumberFormat="1" applyFont="1" applyBorder="1" applyAlignment="1">
      <alignment horizontal="center" vertical="top" wrapText="1"/>
    </xf>
    <xf numFmtId="1" fontId="4" fillId="15" borderId="0" xfId="0" applyNumberFormat="1" applyFont="1" applyFill="1" applyAlignment="1">
      <alignment horizontal="center" vertical="top" wrapText="1"/>
    </xf>
    <xf numFmtId="168" fontId="17" fillId="15" borderId="0" xfId="0" applyNumberFormat="1" applyFont="1" applyFill="1"/>
    <xf numFmtId="168" fontId="17" fillId="27" borderId="0" xfId="0" applyNumberFormat="1" applyFont="1" applyFill="1"/>
    <xf numFmtId="0" fontId="1" fillId="27" borderId="0" xfId="0" applyFont="1" applyFill="1"/>
    <xf numFmtId="0" fontId="33" fillId="0" borderId="0" xfId="0" applyFont="1"/>
    <xf numFmtId="3" fontId="4" fillId="0" borderId="8" xfId="0" applyNumberFormat="1" applyFont="1" applyBorder="1" applyAlignment="1">
      <alignment horizontal="center" vertical="top" wrapText="1"/>
    </xf>
    <xf numFmtId="9" fontId="1" fillId="0" borderId="0" xfId="0" applyNumberFormat="1" applyFont="1"/>
    <xf numFmtId="0" fontId="21" fillId="0" borderId="0" xfId="0" applyFont="1" applyAlignment="1">
      <alignment horizontal="left" vertical="top" wrapText="1"/>
    </xf>
    <xf numFmtId="168" fontId="4" fillId="8" borderId="0" xfId="0" applyNumberFormat="1" applyFont="1" applyFill="1" applyAlignment="1">
      <alignment horizontal="right" vertical="top" wrapText="1"/>
    </xf>
    <xf numFmtId="175" fontId="20" fillId="0" borderId="0" xfId="0" applyNumberFormat="1" applyFont="1" applyAlignment="1">
      <alignment horizontal="center"/>
    </xf>
    <xf numFmtId="2" fontId="4" fillId="0" borderId="2" xfId="0" applyNumberFormat="1" applyFont="1" applyBorder="1" applyAlignment="1">
      <alignment horizontal="center"/>
    </xf>
    <xf numFmtId="1" fontId="4" fillId="0" borderId="35" xfId="0" applyNumberFormat="1" applyFont="1" applyBorder="1" applyAlignment="1">
      <alignment horizontal="center"/>
    </xf>
    <xf numFmtId="37" fontId="4" fillId="0" borderId="0" xfId="0" applyNumberFormat="1" applyFont="1" applyAlignment="1">
      <alignment horizontal="center" wrapText="1"/>
    </xf>
    <xf numFmtId="1" fontId="20" fillId="0" borderId="0" xfId="0" applyNumberFormat="1" applyFont="1" applyAlignment="1">
      <alignment horizontal="center"/>
    </xf>
    <xf numFmtId="178" fontId="4" fillId="0" borderId="0" xfId="0" applyNumberFormat="1" applyFont="1" applyAlignment="1">
      <alignment horizontal="center"/>
    </xf>
    <xf numFmtId="168" fontId="4" fillId="0" borderId="0" xfId="0" applyNumberFormat="1" applyFont="1" applyAlignment="1">
      <alignment horizontal="center" vertical="top" wrapText="1"/>
    </xf>
    <xf numFmtId="175" fontId="30" fillId="8" borderId="33" xfId="0" applyNumberFormat="1" applyFont="1" applyFill="1" applyBorder="1" applyAlignment="1">
      <alignment horizontal="center"/>
    </xf>
    <xf numFmtId="0" fontId="12" fillId="13" borderId="33" xfId="0" applyFont="1" applyFill="1" applyBorder="1" applyAlignment="1">
      <alignment horizontal="center"/>
    </xf>
    <xf numFmtId="175" fontId="20" fillId="0" borderId="33" xfId="0" applyNumberFormat="1" applyFont="1" applyBorder="1" applyAlignment="1">
      <alignment horizontal="center"/>
    </xf>
    <xf numFmtId="175" fontId="20" fillId="0" borderId="4" xfId="0" applyNumberFormat="1" applyFont="1" applyBorder="1" applyAlignment="1">
      <alignment horizontal="center"/>
    </xf>
    <xf numFmtId="0" fontId="20" fillId="0" borderId="7" xfId="0" applyFont="1" applyBorder="1" applyAlignment="1">
      <alignment horizontal="left" indent="1"/>
    </xf>
    <xf numFmtId="167" fontId="4" fillId="0" borderId="33" xfId="0" applyNumberFormat="1" applyFont="1" applyBorder="1" applyAlignment="1">
      <alignment horizontal="center"/>
    </xf>
    <xf numFmtId="167" fontId="4" fillId="0" borderId="2" xfId="0" applyNumberFormat="1" applyFont="1" applyBorder="1" applyAlignment="1">
      <alignment vertical="center" wrapText="1"/>
    </xf>
    <xf numFmtId="167" fontId="4" fillId="0" borderId="35" xfId="0" applyNumberFormat="1" applyFont="1" applyBorder="1" applyAlignment="1">
      <alignment vertical="center" wrapText="1"/>
    </xf>
    <xf numFmtId="167" fontId="4" fillId="0" borderId="5"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0" fillId="0" borderId="7" xfId="0" applyNumberFormat="1" applyFont="1" applyBorder="1" applyAlignment="1">
      <alignment horizontal="center"/>
    </xf>
    <xf numFmtId="175" fontId="20" fillId="0" borderId="1" xfId="0" applyNumberFormat="1" applyFont="1" applyBorder="1" applyAlignment="1">
      <alignment horizontal="center"/>
    </xf>
    <xf numFmtId="175" fontId="20" fillId="0" borderId="35" xfId="0" applyNumberFormat="1" applyFont="1" applyBorder="1" applyAlignment="1">
      <alignment horizontal="center"/>
    </xf>
    <xf numFmtId="0" fontId="20" fillId="0" borderId="1" xfId="0" applyFont="1" applyBorder="1" applyAlignment="1">
      <alignment horizontal="left" indent="1"/>
    </xf>
    <xf numFmtId="0" fontId="20"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17" fillId="0" borderId="1" xfId="0" applyNumberFormat="1" applyFont="1" applyBorder="1" applyAlignment="1">
      <alignment horizontal="center" vertical="top" wrapText="1"/>
    </xf>
    <xf numFmtId="168" fontId="17" fillId="0" borderId="3" xfId="0" applyNumberFormat="1" applyFont="1" applyBorder="1" applyAlignment="1">
      <alignment horizontal="center" vertical="top" wrapText="1"/>
    </xf>
    <xf numFmtId="0" fontId="4" fillId="0" borderId="7" xfId="0" applyFont="1" applyBorder="1" applyAlignment="1">
      <alignment horizontal="left" indent="2"/>
    </xf>
    <xf numFmtId="0" fontId="4" fillId="0" borderId="0" xfId="0" applyFont="1" applyAlignment="1">
      <alignment horizontal="left" indent="2"/>
    </xf>
    <xf numFmtId="175" fontId="20" fillId="0" borderId="5" xfId="0" applyNumberFormat="1" applyFont="1" applyBorder="1" applyAlignment="1">
      <alignment horizontal="center"/>
    </xf>
    <xf numFmtId="10" fontId="17" fillId="0" borderId="0" xfId="0" applyNumberFormat="1" applyFont="1" applyAlignment="1">
      <alignment horizontal="center" vertical="top" wrapText="1"/>
    </xf>
    <xf numFmtId="0" fontId="30" fillId="0" borderId="7" xfId="0" applyFont="1" applyBorder="1" applyAlignment="1">
      <alignment horizontal="left"/>
    </xf>
    <xf numFmtId="1" fontId="4" fillId="8" borderId="15" xfId="0" applyNumberFormat="1" applyFont="1" applyFill="1" applyBorder="1" applyAlignment="1">
      <alignment horizontal="center" vertical="top" wrapText="1"/>
    </xf>
    <xf numFmtId="168" fontId="4" fillId="0" borderId="7" xfId="0" applyNumberFormat="1" applyFont="1" applyBorder="1" applyAlignment="1">
      <alignment horizontal="right" vertical="top" wrapText="1"/>
    </xf>
    <xf numFmtId="168" fontId="4" fillId="0" borderId="8" xfId="0" applyNumberFormat="1" applyFont="1" applyBorder="1" applyAlignment="1">
      <alignment horizontal="right" vertical="top" wrapText="1"/>
    </xf>
    <xf numFmtId="168" fontId="4" fillId="8" borderId="8"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1" fillId="0" borderId="0" xfId="0" applyFont="1" applyAlignment="1">
      <alignment horizontal="center" vertical="top" wrapText="1"/>
    </xf>
    <xf numFmtId="0" fontId="12" fillId="0" borderId="7" xfId="0" applyFont="1" applyBorder="1" applyAlignment="1">
      <alignment horizontal="left" vertical="top" wrapText="1"/>
    </xf>
    <xf numFmtId="168" fontId="17" fillId="0" borderId="4" xfId="0" applyNumberFormat="1" applyFont="1" applyBorder="1" applyAlignment="1">
      <alignment horizontal="center" vertical="top" wrapText="1"/>
    </xf>
    <xf numFmtId="168" fontId="34" fillId="8" borderId="4" xfId="0" applyNumberFormat="1" applyFont="1" applyFill="1" applyBorder="1" applyAlignment="1">
      <alignment horizontal="center"/>
    </xf>
    <xf numFmtId="168" fontId="17" fillId="26" borderId="5" xfId="0" applyNumberFormat="1" applyFont="1" applyFill="1" applyBorder="1" applyAlignment="1">
      <alignment horizontal="center" vertical="top" wrapText="1"/>
    </xf>
    <xf numFmtId="1" fontId="4" fillId="0" borderId="8" xfId="0" applyNumberFormat="1" applyFont="1" applyBorder="1" applyAlignment="1">
      <alignment horizontal="center"/>
    </xf>
    <xf numFmtId="167" fontId="4" fillId="7" borderId="5" xfId="0" applyNumberFormat="1" applyFont="1" applyFill="1" applyBorder="1" applyAlignment="1">
      <alignment horizontal="center"/>
    </xf>
    <xf numFmtId="0" fontId="4" fillId="18" borderId="1" xfId="0" applyFont="1" applyFill="1" applyBorder="1" applyAlignment="1">
      <alignment horizontal="left" indent="2"/>
    </xf>
    <xf numFmtId="0" fontId="1" fillId="18" borderId="6"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6" xfId="0" applyFont="1" applyFill="1" applyBorder="1"/>
    <xf numFmtId="0" fontId="4" fillId="18" borderId="3" xfId="0" applyFont="1" applyFill="1" applyBorder="1" applyAlignment="1">
      <alignment horizontal="left" indent="2"/>
    </xf>
    <xf numFmtId="0" fontId="4" fillId="18" borderId="5" xfId="0" applyFont="1" applyFill="1" applyBorder="1"/>
    <xf numFmtId="167" fontId="4" fillId="18" borderId="4" xfId="0" applyNumberFormat="1" applyFont="1" applyFill="1" applyBorder="1" applyAlignment="1">
      <alignment horizontal="center"/>
    </xf>
    <xf numFmtId="0" fontId="4" fillId="18" borderId="4" xfId="0" applyFont="1" applyFill="1" applyBorder="1" applyAlignment="1">
      <alignment horizontal="center"/>
    </xf>
    <xf numFmtId="0" fontId="12" fillId="0" borderId="7" xfId="0" applyFont="1" applyBorder="1"/>
    <xf numFmtId="0" fontId="30" fillId="0" borderId="7" xfId="0" applyFont="1" applyBorder="1" applyAlignment="1">
      <alignment wrapText="1"/>
    </xf>
    <xf numFmtId="165" fontId="2" fillId="0" borderId="18" xfId="0" applyNumberFormat="1" applyFont="1" applyBorder="1" applyAlignment="1">
      <alignment horizontal="right"/>
    </xf>
    <xf numFmtId="175" fontId="30" fillId="0" borderId="33" xfId="0" applyNumberFormat="1" applyFont="1" applyBorder="1" applyAlignment="1">
      <alignment horizontal="center"/>
    </xf>
    <xf numFmtId="0" fontId="20" fillId="0" borderId="7" xfId="0" applyFont="1" applyBorder="1" applyAlignment="1">
      <alignment wrapText="1"/>
    </xf>
    <xf numFmtId="1" fontId="20" fillId="0" borderId="33" xfId="0" applyNumberFormat="1" applyFont="1" applyBorder="1" applyAlignment="1">
      <alignment horizontal="center"/>
    </xf>
    <xf numFmtId="0" fontId="20" fillId="0" borderId="3" xfId="0" applyFont="1" applyBorder="1"/>
    <xf numFmtId="1" fontId="20" fillId="0" borderId="4" xfId="0" applyNumberFormat="1" applyFont="1" applyBorder="1" applyAlignment="1">
      <alignment horizontal="center"/>
    </xf>
    <xf numFmtId="175" fontId="30" fillId="13" borderId="33" xfId="0" applyNumberFormat="1" applyFont="1" applyFill="1" applyBorder="1" applyAlignment="1">
      <alignment horizontal="center"/>
    </xf>
    <xf numFmtId="1" fontId="4" fillId="0" borderId="4" xfId="0" applyNumberFormat="1" applyFont="1" applyBorder="1" applyAlignment="1">
      <alignment horizontal="center" vertical="center"/>
    </xf>
    <xf numFmtId="169" fontId="4" fillId="0" borderId="33" xfId="0" applyNumberFormat="1" applyFont="1" applyBorder="1"/>
    <xf numFmtId="168" fontId="17" fillId="0" borderId="0" xfId="0" applyNumberFormat="1" applyFont="1"/>
    <xf numFmtId="1" fontId="4" fillId="8" borderId="2"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 fontId="4" fillId="0" borderId="4" xfId="0" applyNumberFormat="1" applyFont="1" applyBorder="1"/>
    <xf numFmtId="1" fontId="4" fillId="8" borderId="4" xfId="0" applyNumberFormat="1" applyFont="1" applyFill="1" applyBorder="1"/>
    <xf numFmtId="1" fontId="4" fillId="8" borderId="6" xfId="0" applyNumberFormat="1" applyFont="1" applyFill="1" applyBorder="1"/>
    <xf numFmtId="1" fontId="4" fillId="8" borderId="5" xfId="0" applyNumberFormat="1" applyFont="1" applyFill="1" applyBorder="1"/>
    <xf numFmtId="168" fontId="17" fillId="26" borderId="0" xfId="0" applyNumberFormat="1" applyFont="1" applyFill="1" applyAlignment="1">
      <alignment horizontal="center" vertical="top" wrapText="1"/>
    </xf>
    <xf numFmtId="1" fontId="4" fillId="14" borderId="0" xfId="0" applyNumberFormat="1" applyFont="1" applyFill="1" applyAlignment="1">
      <alignment horizontal="center" vertical="top" wrapText="1"/>
    </xf>
    <xf numFmtId="1" fontId="17"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17"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4" xfId="0" applyNumberFormat="1" applyFont="1" applyBorder="1"/>
    <xf numFmtId="2" fontId="4" fillId="0" borderId="4" xfId="0" applyNumberFormat="1" applyFont="1" applyBorder="1" applyAlignment="1">
      <alignment horizontal="center"/>
    </xf>
    <xf numFmtId="167" fontId="4" fillId="0" borderId="3" xfId="0" applyNumberFormat="1" applyFont="1" applyBorder="1" applyAlignment="1">
      <alignment horizontal="center"/>
    </xf>
    <xf numFmtId="167" fontId="4" fillId="0" borderId="4" xfId="0" applyNumberFormat="1" applyFont="1" applyBorder="1" applyAlignment="1">
      <alignment horizontal="center"/>
    </xf>
    <xf numFmtId="1" fontId="4" fillId="0" borderId="1" xfId="0" applyNumberFormat="1" applyFont="1" applyBorder="1" applyAlignment="1">
      <alignment horizontal="center"/>
    </xf>
    <xf numFmtId="0" fontId="12" fillId="7" borderId="34" xfId="0" applyFont="1" applyFill="1" applyBorder="1"/>
    <xf numFmtId="0" fontId="29" fillId="0" borderId="0" xfId="0" applyFont="1"/>
    <xf numFmtId="10" fontId="29" fillId="0" borderId="6"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29" fillId="0" borderId="45" xfId="0" applyNumberFormat="1" applyFont="1" applyBorder="1" applyAlignment="1">
      <alignment horizontal="center"/>
    </xf>
    <xf numFmtId="0" fontId="1" fillId="7" borderId="40" xfId="0" applyFont="1" applyFill="1" applyBorder="1"/>
    <xf numFmtId="1" fontId="29" fillId="0" borderId="0" xfId="0" applyNumberFormat="1" applyFont="1"/>
    <xf numFmtId="1" fontId="29" fillId="0" borderId="4" xfId="0" applyNumberFormat="1" applyFont="1" applyBorder="1"/>
    <xf numFmtId="0" fontId="29" fillId="0" borderId="4" xfId="0" applyFont="1" applyBorder="1"/>
    <xf numFmtId="0" fontId="23" fillId="0" borderId="1" xfId="0" applyFont="1" applyBorder="1" applyAlignment="1">
      <alignment wrapText="1"/>
    </xf>
    <xf numFmtId="0" fontId="1" fillId="0" borderId="8" xfId="0" applyFont="1" applyBorder="1"/>
    <xf numFmtId="10" fontId="29" fillId="0" borderId="0" xfId="0" applyNumberFormat="1" applyFont="1" applyAlignment="1">
      <alignment horizontal="center"/>
    </xf>
    <xf numFmtId="0" fontId="1" fillId="18" borderId="1" xfId="0" applyFont="1" applyFill="1" applyBorder="1"/>
    <xf numFmtId="0" fontId="1" fillId="18" borderId="3" xfId="0" applyFont="1" applyFill="1" applyBorder="1"/>
    <xf numFmtId="10" fontId="29" fillId="0" borderId="3" xfId="0" applyNumberFormat="1" applyFont="1" applyBorder="1" applyAlignment="1">
      <alignment horizontal="center"/>
    </xf>
    <xf numFmtId="10" fontId="29" fillId="0" borderId="4" xfId="0" applyNumberFormat="1" applyFont="1" applyBorder="1" applyAlignment="1">
      <alignment horizontal="center"/>
    </xf>
    <xf numFmtId="10" fontId="29" fillId="0" borderId="5" xfId="0" applyNumberFormat="1" applyFont="1" applyBorder="1" applyAlignment="1">
      <alignment horizontal="center"/>
    </xf>
    <xf numFmtId="0" fontId="29" fillId="0" borderId="1" xfId="0" applyFont="1" applyBorder="1" applyAlignment="1">
      <alignment wrapText="1"/>
    </xf>
    <xf numFmtId="2" fontId="29" fillId="0" borderId="0" xfId="0" applyNumberFormat="1" applyFont="1" applyAlignment="1">
      <alignment horizontal="center"/>
    </xf>
    <xf numFmtId="2" fontId="35" fillId="0" borderId="0" xfId="0" applyNumberFormat="1" applyFont="1" applyAlignment="1">
      <alignment horizontal="center"/>
    </xf>
    <xf numFmtId="0" fontId="35" fillId="0" borderId="0" xfId="0" applyFont="1" applyAlignment="1">
      <alignment horizontal="center"/>
    </xf>
    <xf numFmtId="2" fontId="29" fillId="0" borderId="4" xfId="0" applyNumberFormat="1" applyFont="1" applyBorder="1" applyAlignment="1">
      <alignment horizontal="center"/>
    </xf>
    <xf numFmtId="2" fontId="29" fillId="0" borderId="8" xfId="0" applyNumberFormat="1" applyFont="1" applyBorder="1" applyAlignment="1">
      <alignment horizontal="center"/>
    </xf>
    <xf numFmtId="0" fontId="12" fillId="0" borderId="7" xfId="0" applyFont="1" applyBorder="1" applyAlignment="1">
      <alignment vertical="center" wrapText="1"/>
    </xf>
    <xf numFmtId="0" fontId="36" fillId="0" borderId="2" xfId="0" applyFont="1" applyBorder="1" applyAlignment="1">
      <alignment wrapText="1"/>
    </xf>
    <xf numFmtId="0" fontId="36" fillId="0" borderId="34" xfId="0" applyFont="1" applyBorder="1" applyAlignment="1">
      <alignment wrapText="1"/>
    </xf>
    <xf numFmtId="10" fontId="29" fillId="18" borderId="0" xfId="0" applyNumberFormat="1" applyFont="1" applyFill="1" applyAlignment="1">
      <alignment horizontal="center"/>
    </xf>
    <xf numFmtId="10" fontId="29" fillId="18" borderId="6" xfId="0" applyNumberFormat="1" applyFont="1" applyFill="1" applyBorder="1" applyAlignment="1">
      <alignment horizontal="center"/>
    </xf>
    <xf numFmtId="10" fontId="1" fillId="18" borderId="1" xfId="0" applyNumberFormat="1" applyFont="1" applyFill="1" applyBorder="1"/>
    <xf numFmtId="10" fontId="29" fillId="11" borderId="0" xfId="0" applyNumberFormat="1" applyFont="1" applyFill="1" applyAlignment="1">
      <alignment horizontal="center"/>
    </xf>
    <xf numFmtId="0" fontId="3" fillId="0" borderId="0" xfId="0" applyFont="1" applyAlignment="1">
      <alignment horizontal="left"/>
    </xf>
    <xf numFmtId="10" fontId="29" fillId="7" borderId="0" xfId="0" applyNumberFormat="1" applyFont="1" applyFill="1" applyAlignment="1">
      <alignment horizontal="center"/>
    </xf>
    <xf numFmtId="0" fontId="4" fillId="0" borderId="0" xfId="0" applyFont="1" applyAlignment="1">
      <alignment vertical="top"/>
    </xf>
    <xf numFmtId="10" fontId="29" fillId="0" borderId="2" xfId="0" applyNumberFormat="1" applyFont="1" applyBorder="1" applyAlignment="1">
      <alignment horizontal="center"/>
    </xf>
    <xf numFmtId="10" fontId="29" fillId="7" borderId="8" xfId="0" applyNumberFormat="1" applyFont="1" applyFill="1" applyBorder="1" applyAlignment="1">
      <alignment horizontal="center"/>
    </xf>
    <xf numFmtId="10" fontId="29" fillId="0" borderId="33" xfId="0" applyNumberFormat="1" applyFont="1" applyBorder="1" applyAlignment="1">
      <alignment horizontal="center"/>
    </xf>
    <xf numFmtId="0" fontId="3" fillId="18" borderId="6" xfId="0" applyFont="1" applyFill="1" applyBorder="1" applyAlignment="1">
      <alignment horizontal="left"/>
    </xf>
    <xf numFmtId="0" fontId="3" fillId="18" borderId="5" xfId="0" applyFont="1" applyFill="1" applyBorder="1" applyAlignment="1">
      <alignment horizontal="left"/>
    </xf>
    <xf numFmtId="10" fontId="29" fillId="18" borderId="4" xfId="0" applyNumberFormat="1" applyFont="1" applyFill="1" applyBorder="1" applyAlignment="1">
      <alignment horizontal="center"/>
    </xf>
    <xf numFmtId="10" fontId="29" fillId="18" borderId="5" xfId="0" applyNumberFormat="1" applyFont="1" applyFill="1" applyBorder="1" applyAlignment="1">
      <alignment horizontal="center"/>
    </xf>
    <xf numFmtId="10" fontId="1" fillId="0" borderId="7" xfId="0" applyNumberFormat="1" applyFont="1" applyBorder="1"/>
    <xf numFmtId="0" fontId="3" fillId="0" borderId="2" xfId="0" applyFont="1" applyBorder="1" applyAlignment="1">
      <alignment horizontal="left"/>
    </xf>
    <xf numFmtId="0" fontId="3" fillId="0" borderId="5" xfId="0" applyFont="1" applyBorder="1" applyAlignment="1">
      <alignment horizontal="left"/>
    </xf>
    <xf numFmtId="10" fontId="29" fillId="0" borderId="46" xfId="0" applyNumberFormat="1" applyFont="1" applyBorder="1" applyAlignment="1">
      <alignment horizontal="center"/>
    </xf>
    <xf numFmtId="10" fontId="29" fillId="0" borderId="47" xfId="0" applyNumberFormat="1" applyFont="1" applyBorder="1" applyAlignment="1">
      <alignment horizontal="center"/>
    </xf>
    <xf numFmtId="10" fontId="1" fillId="0" borderId="3" xfId="0" applyNumberFormat="1" applyFont="1" applyBorder="1"/>
    <xf numFmtId="0" fontId="12" fillId="0" borderId="33" xfId="0" applyFont="1" applyBorder="1" applyAlignment="1">
      <alignment vertical="center" wrapText="1"/>
    </xf>
    <xf numFmtId="10" fontId="29" fillId="7" borderId="4" xfId="0" applyNumberFormat="1" applyFont="1" applyFill="1" applyBorder="1" applyAlignment="1">
      <alignment horizontal="center"/>
    </xf>
    <xf numFmtId="10" fontId="29" fillId="0" borderId="7" xfId="0" applyNumberFormat="1" applyFont="1" applyBorder="1" applyAlignment="1">
      <alignment horizontal="center"/>
    </xf>
    <xf numFmtId="10" fontId="29" fillId="7" borderId="33" xfId="0" applyNumberFormat="1" applyFont="1" applyFill="1" applyBorder="1" applyAlignment="1">
      <alignment horizontal="center"/>
    </xf>
    <xf numFmtId="0" fontId="36" fillId="0" borderId="0" xfId="0" applyFont="1" applyAlignment="1">
      <alignment wrapText="1"/>
    </xf>
    <xf numFmtId="0" fontId="36" fillId="0" borderId="4" xfId="0" applyFont="1" applyBorder="1" applyAlignment="1">
      <alignment wrapText="1"/>
    </xf>
    <xf numFmtId="167" fontId="2" fillId="0" borderId="0" xfId="0" applyNumberFormat="1" applyFont="1" applyAlignment="1">
      <alignment wrapText="1"/>
    </xf>
    <xf numFmtId="0" fontId="3" fillId="0" borderId="8" xfId="0" applyFont="1" applyBorder="1" applyAlignment="1">
      <alignment horizontal="left"/>
    </xf>
    <xf numFmtId="0" fontId="3" fillId="0" borderId="4" xfId="0" applyFont="1" applyBorder="1" applyAlignment="1">
      <alignment horizontal="left"/>
    </xf>
    <xf numFmtId="179" fontId="1" fillId="0" borderId="0" xfId="0" applyNumberFormat="1" applyFont="1"/>
    <xf numFmtId="10" fontId="29" fillId="0" borderId="8" xfId="0" applyNumberFormat="1" applyFont="1" applyBorder="1" applyAlignment="1">
      <alignment horizontal="center"/>
    </xf>
    <xf numFmtId="10" fontId="29" fillId="0" borderId="1" xfId="0" applyNumberFormat="1" applyFont="1" applyBorder="1" applyAlignment="1">
      <alignment horizontal="center"/>
    </xf>
    <xf numFmtId="3" fontId="4" fillId="0" borderId="8" xfId="0" applyNumberFormat="1" applyFont="1" applyBorder="1" applyAlignment="1">
      <alignment horizontal="center"/>
    </xf>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5" xfId="0" applyNumberFormat="1" applyFont="1" applyBorder="1" applyAlignment="1">
      <alignment horizontal="center"/>
    </xf>
    <xf numFmtId="0" fontId="4" fillId="8" borderId="12" xfId="0" applyFont="1" applyFill="1" applyBorder="1" applyAlignment="1">
      <alignment horizontal="center" wrapText="1"/>
    </xf>
    <xf numFmtId="0" fontId="4" fillId="7" borderId="36" xfId="0" applyFont="1" applyFill="1" applyBorder="1" applyAlignment="1">
      <alignment horizontal="center" wrapText="1"/>
    </xf>
    <xf numFmtId="0" fontId="4" fillId="7" borderId="20"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7"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3" xfId="0" applyFont="1" applyFill="1" applyBorder="1" applyAlignment="1">
      <alignment horizontal="center" wrapText="1"/>
    </xf>
    <xf numFmtId="0" fontId="4" fillId="7" borderId="4" xfId="0" applyFont="1" applyFill="1" applyBorder="1" applyAlignment="1">
      <alignment horizontal="center" wrapText="1"/>
    </xf>
    <xf numFmtId="0" fontId="1" fillId="0" borderId="0" xfId="0" applyFont="1" applyAlignment="1">
      <alignment horizontal="left" vertical="top" wrapText="1"/>
    </xf>
    <xf numFmtId="0" fontId="1" fillId="0" borderId="3" xfId="0" applyFont="1" applyBorder="1" applyAlignment="1">
      <alignment horizontal="left" indent="2"/>
    </xf>
    <xf numFmtId="0" fontId="1" fillId="7" borderId="14" xfId="0" applyFont="1" applyFill="1" applyBorder="1" applyAlignment="1">
      <alignment horizontal="center" wrapText="1"/>
    </xf>
    <xf numFmtId="0" fontId="1" fillId="3" borderId="20" xfId="0" applyFont="1" applyFill="1" applyBorder="1" applyAlignment="1">
      <alignment wrapText="1"/>
    </xf>
    <xf numFmtId="0" fontId="1" fillId="0" borderId="4" xfId="0" applyFont="1" applyBorder="1" applyAlignment="1">
      <alignment horizontal="left" indent="2"/>
    </xf>
    <xf numFmtId="0" fontId="1" fillId="0" borderId="8"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6" xfId="0" applyFont="1" applyFill="1" applyBorder="1" applyAlignment="1">
      <alignment horizontal="center"/>
    </xf>
    <xf numFmtId="165" fontId="1" fillId="11" borderId="5" xfId="0" applyNumberFormat="1" applyFont="1" applyFill="1" applyBorder="1" applyAlignment="1">
      <alignment horizontal="center"/>
    </xf>
    <xf numFmtId="0" fontId="3" fillId="0" borderId="7" xfId="0" applyFont="1" applyBorder="1" applyAlignment="1">
      <alignment horizontal="left" wrapText="1" indent="2"/>
    </xf>
    <xf numFmtId="0" fontId="1" fillId="7" borderId="4" xfId="0" applyFont="1" applyFill="1" applyBorder="1" applyAlignment="1">
      <alignment horizontal="center"/>
    </xf>
    <xf numFmtId="165" fontId="1" fillId="0" borderId="33" xfId="0" applyNumberFormat="1" applyFont="1" applyBorder="1" applyAlignment="1">
      <alignment horizontal="center"/>
    </xf>
    <xf numFmtId="165" fontId="1" fillId="7" borderId="2"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5"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7" xfId="0" applyFont="1" applyBorder="1" applyAlignment="1">
      <alignment horizontal="left" wrapText="1" indent="2"/>
    </xf>
    <xf numFmtId="0" fontId="1" fillId="0" borderId="33" xfId="0" applyFont="1" applyBorder="1" applyAlignment="1">
      <alignment horizontal="left" wrapText="1" indent="2"/>
    </xf>
    <xf numFmtId="165" fontId="1" fillId="7" borderId="6" xfId="0" applyNumberFormat="1" applyFont="1" applyFill="1" applyBorder="1" applyAlignment="1">
      <alignment horizontal="center"/>
    </xf>
    <xf numFmtId="0" fontId="1" fillId="7" borderId="5"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7" fillId="8" borderId="5" xfId="0" applyFont="1" applyFill="1" applyBorder="1" applyAlignment="1">
      <alignment horizontal="center"/>
    </xf>
    <xf numFmtId="0" fontId="1" fillId="0" borderId="12" xfId="0" applyFont="1" applyBorder="1" applyAlignment="1">
      <alignment horizontal="left"/>
    </xf>
    <xf numFmtId="0" fontId="1" fillId="7" borderId="3" xfId="0" applyFont="1" applyFill="1" applyBorder="1" applyAlignment="1">
      <alignment horizontal="center"/>
    </xf>
    <xf numFmtId="165" fontId="1" fillId="0" borderId="4" xfId="0" applyNumberFormat="1" applyFont="1" applyBorder="1" applyAlignment="1">
      <alignment horizontal="center"/>
    </xf>
    <xf numFmtId="165" fontId="1" fillId="0" borderId="5" xfId="0" applyNumberFormat="1" applyFont="1" applyBorder="1" applyAlignment="1">
      <alignment horizontal="center"/>
    </xf>
    <xf numFmtId="0" fontId="17" fillId="8" borderId="0" xfId="0" applyFont="1" applyFill="1" applyAlignment="1">
      <alignment horizontal="center"/>
    </xf>
    <xf numFmtId="0" fontId="17" fillId="8" borderId="6" xfId="0" applyFont="1" applyFill="1" applyBorder="1" applyAlignment="1">
      <alignment horizontal="center"/>
    </xf>
    <xf numFmtId="0" fontId="17" fillId="7" borderId="0" xfId="0" applyFont="1" applyFill="1" applyAlignment="1">
      <alignment horizontal="center"/>
    </xf>
    <xf numFmtId="0" fontId="17" fillId="0" borderId="5" xfId="0" applyFont="1" applyBorder="1" applyAlignment="1">
      <alignment horizontal="center"/>
    </xf>
    <xf numFmtId="0" fontId="4" fillId="8" borderId="13" xfId="0" applyFont="1" applyFill="1" applyBorder="1" applyAlignment="1">
      <alignment horizontal="center"/>
    </xf>
    <xf numFmtId="0" fontId="17" fillId="7" borderId="6" xfId="0" applyFont="1" applyFill="1" applyBorder="1" applyAlignment="1">
      <alignment horizontal="center"/>
    </xf>
    <xf numFmtId="0" fontId="1" fillId="0" borderId="1" xfId="0" applyFont="1" applyBorder="1" applyAlignment="1">
      <alignment horizontal="center"/>
    </xf>
    <xf numFmtId="0" fontId="17" fillId="8" borderId="4" xfId="0" applyFont="1" applyFill="1" applyBorder="1" applyAlignment="1">
      <alignment horizontal="center"/>
    </xf>
    <xf numFmtId="0" fontId="4" fillId="0" borderId="4" xfId="0" applyFont="1" applyBorder="1" applyAlignment="1">
      <alignment horizontal="right" vertical="center"/>
    </xf>
    <xf numFmtId="0" fontId="38"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4" xfId="0" applyNumberFormat="1" applyFont="1" applyBorder="1"/>
    <xf numFmtId="1" fontId="4" fillId="0" borderId="0" xfId="0" applyNumberFormat="1" applyFont="1" applyAlignment="1">
      <alignment horizontal="right"/>
    </xf>
    <xf numFmtId="0" fontId="4" fillId="0" borderId="4" xfId="0"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4" xfId="0" applyFont="1" applyBorder="1" applyAlignment="1">
      <alignment vertical="center"/>
    </xf>
    <xf numFmtId="3" fontId="4" fillId="0" borderId="8" xfId="0" applyNumberFormat="1" applyFont="1" applyBorder="1" applyAlignment="1">
      <alignment horizontal="right"/>
    </xf>
    <xf numFmtId="0" fontId="39" fillId="0" borderId="0" xfId="0" applyFont="1" applyAlignment="1">
      <alignment horizontal="left"/>
    </xf>
    <xf numFmtId="0" fontId="39" fillId="0" borderId="0" xfId="0" applyFont="1" applyAlignment="1">
      <alignment horizontal="center" wrapText="1"/>
    </xf>
    <xf numFmtId="1" fontId="40" fillId="0" borderId="48" xfId="0" applyNumberFormat="1" applyFont="1" applyBorder="1" applyAlignment="1">
      <alignment horizontal="center" vertical="top"/>
    </xf>
    <xf numFmtId="0" fontId="39" fillId="29" borderId="48" xfId="0" applyFont="1" applyFill="1" applyBorder="1" applyAlignment="1">
      <alignment horizontal="center" vertical="top"/>
    </xf>
    <xf numFmtId="0" fontId="39" fillId="0" borderId="0" xfId="0" applyFont="1" applyAlignment="1">
      <alignment horizontal="center"/>
    </xf>
    <xf numFmtId="0" fontId="39" fillId="0" borderId="0" xfId="0" applyFont="1" applyAlignment="1">
      <alignment horizontal="left" wrapText="1"/>
    </xf>
    <xf numFmtId="0" fontId="40" fillId="0" borderId="0" xfId="0" applyFont="1" applyAlignment="1">
      <alignment horizontal="left" vertical="top"/>
    </xf>
    <xf numFmtId="0" fontId="40" fillId="0" borderId="0" xfId="0" applyFont="1" applyAlignment="1">
      <alignment horizontal="center" vertical="top" wrapText="1"/>
    </xf>
    <xf numFmtId="1" fontId="40" fillId="15" borderId="0" xfId="0" applyNumberFormat="1" applyFont="1" applyFill="1" applyAlignment="1">
      <alignment horizontal="center" vertical="top"/>
    </xf>
    <xf numFmtId="0" fontId="39" fillId="15" borderId="0" xfId="0" applyFont="1" applyFill="1" applyAlignment="1">
      <alignment horizontal="center" vertical="top"/>
    </xf>
    <xf numFmtId="0" fontId="39" fillId="15" borderId="0" xfId="0" applyFont="1" applyFill="1" applyAlignment="1">
      <alignment horizontal="left" vertical="top" wrapText="1"/>
    </xf>
    <xf numFmtId="0" fontId="39" fillId="0" borderId="0" xfId="0" applyFont="1" applyAlignment="1">
      <alignment horizontal="left" vertical="top" wrapText="1"/>
    </xf>
    <xf numFmtId="0" fontId="40" fillId="0" borderId="34" xfId="0" applyFont="1" applyBorder="1" applyAlignment="1">
      <alignment horizontal="left" vertical="top"/>
    </xf>
    <xf numFmtId="0" fontId="40" fillId="0" borderId="34" xfId="0" applyFont="1" applyBorder="1" applyAlignment="1">
      <alignment horizontal="center" vertical="top" wrapText="1"/>
    </xf>
    <xf numFmtId="1" fontId="40" fillId="3" borderId="34" xfId="0" applyNumberFormat="1" applyFont="1" applyFill="1" applyBorder="1" applyAlignment="1">
      <alignment horizontal="center" vertical="top"/>
    </xf>
    <xf numFmtId="3" fontId="40" fillId="3" borderId="34" xfId="0" applyNumberFormat="1" applyFont="1" applyFill="1" applyBorder="1" applyAlignment="1">
      <alignment horizontal="center" vertical="top"/>
    </xf>
    <xf numFmtId="0" fontId="39" fillId="3" borderId="34" xfId="0" applyFont="1" applyFill="1" applyBorder="1" applyAlignment="1">
      <alignment horizontal="center" vertical="top"/>
    </xf>
    <xf numFmtId="0" fontId="39" fillId="0" borderId="34" xfId="0" applyFont="1" applyBorder="1" applyAlignment="1">
      <alignment horizontal="left" vertical="top" wrapText="1"/>
    </xf>
    <xf numFmtId="0" fontId="40" fillId="0" borderId="8" xfId="0" applyFont="1" applyBorder="1" applyAlignment="1">
      <alignment horizontal="left" vertical="top"/>
    </xf>
    <xf numFmtId="0" fontId="40" fillId="0" borderId="8" xfId="0" applyFont="1" applyBorder="1" applyAlignment="1">
      <alignment horizontal="center" vertical="top" wrapText="1"/>
    </xf>
    <xf numFmtId="3" fontId="41" fillId="0" borderId="0" xfId="0" applyNumberFormat="1" applyFont="1" applyAlignment="1">
      <alignment vertical="top"/>
    </xf>
    <xf numFmtId="0" fontId="40" fillId="15" borderId="8" xfId="0" applyFont="1" applyFill="1" applyBorder="1" applyAlignment="1">
      <alignment horizontal="center" vertical="top"/>
    </xf>
    <xf numFmtId="0" fontId="39" fillId="0" borderId="8" xfId="0" applyFont="1" applyBorder="1" applyAlignment="1">
      <alignment horizontal="left" vertical="top" wrapText="1"/>
    </xf>
    <xf numFmtId="0" fontId="39" fillId="0" borderId="0" xfId="0" applyFont="1" applyAlignment="1">
      <alignment horizontal="left" vertical="top"/>
    </xf>
    <xf numFmtId="0" fontId="39" fillId="0" borderId="0" xfId="0" applyFont="1" applyAlignment="1">
      <alignment horizontal="center" vertical="top" wrapText="1"/>
    </xf>
    <xf numFmtId="3" fontId="40" fillId="15" borderId="0" xfId="0" applyNumberFormat="1" applyFont="1" applyFill="1" applyAlignment="1">
      <alignment horizontal="center" vertical="top"/>
    </xf>
    <xf numFmtId="0" fontId="40" fillId="15" borderId="0" xfId="0" applyFont="1" applyFill="1" applyAlignment="1">
      <alignment horizontal="center" vertical="top"/>
    </xf>
    <xf numFmtId="1" fontId="39" fillId="15" borderId="0" xfId="0" applyNumberFormat="1" applyFont="1" applyFill="1" applyAlignment="1">
      <alignment horizontal="center" vertical="top"/>
    </xf>
    <xf numFmtId="0" fontId="39" fillId="0" borderId="0" xfId="0" applyFont="1" applyAlignment="1">
      <alignment horizontal="center" vertical="top"/>
    </xf>
    <xf numFmtId="1" fontId="39" fillId="15" borderId="0" xfId="0" applyNumberFormat="1" applyFont="1" applyFill="1" applyAlignment="1">
      <alignment horizontal="center"/>
    </xf>
    <xf numFmtId="1" fontId="39" fillId="15" borderId="0" xfId="0" applyNumberFormat="1" applyFont="1" applyFill="1" applyAlignment="1">
      <alignment horizontal="center" vertical="center"/>
    </xf>
    <xf numFmtId="1" fontId="40" fillId="15" borderId="0" xfId="0" applyNumberFormat="1" applyFont="1" applyFill="1" applyAlignment="1">
      <alignment horizontal="center" vertical="center"/>
    </xf>
    <xf numFmtId="0" fontId="39" fillId="0" borderId="0" xfId="0" applyFont="1" applyAlignment="1">
      <alignment horizontal="left" vertical="center"/>
    </xf>
    <xf numFmtId="0" fontId="39" fillId="0" borderId="0" xfId="0" applyFont="1" applyAlignment="1">
      <alignment horizontal="center" vertical="center" wrapText="1"/>
    </xf>
    <xf numFmtId="0" fontId="40" fillId="0" borderId="0" xfId="0" applyFont="1" applyAlignment="1">
      <alignment horizontal="left" vertical="top" wrapText="1"/>
    </xf>
    <xf numFmtId="1" fontId="40" fillId="15" borderId="8" xfId="0" applyNumberFormat="1" applyFont="1" applyFill="1" applyBorder="1" applyAlignment="1">
      <alignment horizontal="center" vertical="top"/>
    </xf>
    <xf numFmtId="3" fontId="40" fillId="15" borderId="8" xfId="0" applyNumberFormat="1" applyFont="1" applyFill="1" applyBorder="1" applyAlignment="1">
      <alignment horizontal="center" vertical="top"/>
    </xf>
    <xf numFmtId="0" fontId="39" fillId="15" borderId="8" xfId="0" applyFont="1" applyFill="1" applyBorder="1" applyAlignment="1">
      <alignment horizontal="center" vertical="top"/>
    </xf>
    <xf numFmtId="0" fontId="14" fillId="15" borderId="8" xfId="0" applyFont="1" applyFill="1" applyBorder="1" applyAlignment="1">
      <alignment horizontal="left" vertical="top" wrapText="1"/>
    </xf>
    <xf numFmtId="0" fontId="40" fillId="29" borderId="0" xfId="0" applyFont="1" applyFill="1" applyAlignment="1">
      <alignment horizontal="center"/>
    </xf>
    <xf numFmtId="0" fontId="39" fillId="29" borderId="0" xfId="0" applyFont="1" applyFill="1" applyAlignment="1">
      <alignment horizontal="left" wrapText="1"/>
    </xf>
    <xf numFmtId="1" fontId="40" fillId="30" borderId="0" xfId="0" applyNumberFormat="1" applyFont="1" applyFill="1" applyAlignment="1">
      <alignment horizontal="center" vertical="top"/>
    </xf>
    <xf numFmtId="3" fontId="40" fillId="30" borderId="0" xfId="0" applyNumberFormat="1" applyFont="1" applyFill="1" applyAlignment="1">
      <alignment horizontal="center" vertical="top"/>
    </xf>
    <xf numFmtId="0" fontId="39" fillId="30" borderId="0" xfId="0" applyFont="1" applyFill="1" applyAlignment="1">
      <alignment horizontal="center" vertical="top"/>
    </xf>
    <xf numFmtId="0" fontId="39" fillId="30" borderId="0" xfId="0" applyFont="1" applyFill="1" applyAlignment="1">
      <alignment horizontal="left" vertical="top" wrapText="1"/>
    </xf>
    <xf numFmtId="1" fontId="39" fillId="31" borderId="0" xfId="0" applyNumberFormat="1" applyFont="1" applyFill="1" applyAlignment="1">
      <alignment horizontal="center" vertical="top"/>
    </xf>
    <xf numFmtId="0" fontId="39" fillId="31" borderId="0" xfId="0" applyFont="1" applyFill="1" applyAlignment="1">
      <alignment horizontal="center" vertical="top"/>
    </xf>
    <xf numFmtId="0" fontId="39" fillId="31" borderId="0" xfId="0" applyFont="1" applyFill="1" applyAlignment="1">
      <alignment horizontal="left" vertical="top" wrapText="1"/>
    </xf>
    <xf numFmtId="1" fontId="39" fillId="31" borderId="0" xfId="0" applyNumberFormat="1" applyFont="1" applyFill="1" applyAlignment="1">
      <alignment horizontal="center"/>
    </xf>
    <xf numFmtId="1" fontId="40" fillId="31" borderId="0" xfId="0" applyNumberFormat="1" applyFont="1" applyFill="1" applyAlignment="1">
      <alignment horizontal="center" vertical="top"/>
    </xf>
    <xf numFmtId="3" fontId="40" fillId="31" borderId="0" xfId="0" applyNumberFormat="1" applyFont="1" applyFill="1" applyAlignment="1">
      <alignment horizontal="center" vertical="top"/>
    </xf>
    <xf numFmtId="1" fontId="40" fillId="32" borderId="0" xfId="0" applyNumberFormat="1" applyFont="1" applyFill="1" applyAlignment="1">
      <alignment horizontal="center" vertical="top"/>
    </xf>
    <xf numFmtId="0" fontId="39" fillId="32" borderId="0" xfId="0" applyFont="1" applyFill="1" applyAlignment="1">
      <alignment horizontal="center" vertical="top"/>
    </xf>
    <xf numFmtId="3" fontId="40" fillId="32" borderId="0" xfId="0" applyNumberFormat="1" applyFont="1" applyFill="1" applyAlignment="1">
      <alignment horizontal="center" vertical="top"/>
    </xf>
    <xf numFmtId="0" fontId="40" fillId="32" borderId="0" xfId="0" applyFont="1" applyFill="1" applyAlignment="1">
      <alignment horizontal="center" vertical="top"/>
    </xf>
    <xf numFmtId="0" fontId="40" fillId="33" borderId="0" xfId="0" applyFont="1" applyFill="1" applyAlignment="1">
      <alignment horizontal="left" vertical="top"/>
    </xf>
    <xf numFmtId="0" fontId="40" fillId="33" borderId="0" xfId="0" applyFont="1" applyFill="1" applyAlignment="1">
      <alignment horizontal="center" vertical="top" wrapText="1"/>
    </xf>
    <xf numFmtId="0" fontId="39" fillId="33" borderId="0" xfId="0" applyFont="1" applyFill="1" applyAlignment="1">
      <alignment horizontal="left" vertical="top" wrapText="1"/>
    </xf>
    <xf numFmtId="1" fontId="40" fillId="32" borderId="40" xfId="0" applyNumberFormat="1" applyFont="1" applyFill="1" applyBorder="1" applyAlignment="1">
      <alignment horizontal="center" vertical="top"/>
    </xf>
    <xf numFmtId="1" fontId="40" fillId="32" borderId="34" xfId="0" applyNumberFormat="1" applyFont="1" applyFill="1" applyBorder="1" applyAlignment="1">
      <alignment horizontal="center" vertical="top"/>
    </xf>
    <xf numFmtId="3" fontId="40" fillId="32" borderId="34" xfId="0" applyNumberFormat="1" applyFont="1" applyFill="1" applyBorder="1" applyAlignment="1">
      <alignment horizontal="center" vertical="top"/>
    </xf>
    <xf numFmtId="0" fontId="39" fillId="32" borderId="20" xfId="0" applyFont="1" applyFill="1" applyBorder="1" applyAlignment="1">
      <alignment horizontal="center" vertical="top" wrapText="1"/>
    </xf>
    <xf numFmtId="1" fontId="40" fillId="7" borderId="0" xfId="0" applyNumberFormat="1" applyFont="1" applyFill="1" applyAlignment="1">
      <alignment horizontal="center" vertical="top"/>
    </xf>
    <xf numFmtId="1" fontId="39" fillId="7" borderId="0" xfId="0" applyNumberFormat="1" applyFont="1" applyFill="1" applyAlignment="1">
      <alignment horizontal="center" vertical="top"/>
    </xf>
    <xf numFmtId="1" fontId="41" fillId="0" borderId="0" xfId="0" applyNumberFormat="1" applyFont="1" applyAlignment="1">
      <alignment horizontal="center" vertical="top"/>
    </xf>
    <xf numFmtId="0" fontId="42" fillId="29" borderId="0" xfId="0" applyFont="1" applyFill="1" applyAlignment="1">
      <alignment vertical="top"/>
    </xf>
    <xf numFmtId="0" fontId="40" fillId="15" borderId="33" xfId="0" applyFont="1" applyFill="1" applyBorder="1" applyAlignment="1">
      <alignment horizontal="center" vertical="top"/>
    </xf>
    <xf numFmtId="0" fontId="39" fillId="15" borderId="33" xfId="0" applyFont="1" applyFill="1" applyBorder="1" applyAlignment="1">
      <alignment horizontal="center" vertical="top"/>
    </xf>
    <xf numFmtId="0" fontId="39" fillId="32" borderId="0" xfId="0" applyFont="1" applyFill="1" applyAlignment="1">
      <alignment horizontal="center" vertical="top" wrapText="1"/>
    </xf>
    <xf numFmtId="0" fontId="40" fillId="7" borderId="0" xfId="0" applyFont="1" applyFill="1" applyAlignment="1">
      <alignment horizontal="center" vertical="top"/>
    </xf>
    <xf numFmtId="0" fontId="14" fillId="0" borderId="0" xfId="0" applyFont="1" applyAlignment="1">
      <alignment horizontal="left" vertical="top" wrapText="1"/>
    </xf>
    <xf numFmtId="1" fontId="40" fillId="16" borderId="0" xfId="0" applyNumberFormat="1" applyFont="1" applyFill="1" applyAlignment="1">
      <alignment horizontal="center" vertical="top"/>
    </xf>
    <xf numFmtId="3" fontId="40" fillId="16" borderId="0" xfId="0" applyNumberFormat="1" applyFont="1" applyFill="1" applyAlignment="1">
      <alignment horizontal="center" vertical="top"/>
    </xf>
    <xf numFmtId="0" fontId="40" fillId="0" borderId="0" xfId="0" applyFont="1" applyAlignment="1">
      <alignment horizontal="center" vertical="top"/>
    </xf>
    <xf numFmtId="0" fontId="39" fillId="16" borderId="0" xfId="0" applyFont="1" applyFill="1" applyAlignment="1">
      <alignment horizontal="left" vertical="top" wrapText="1"/>
    </xf>
    <xf numFmtId="0" fontId="39" fillId="16" borderId="0" xfId="0" applyFont="1" applyFill="1" applyAlignment="1">
      <alignment horizontal="center" vertical="top"/>
    </xf>
    <xf numFmtId="0" fontId="40" fillId="16" borderId="0" xfId="0" applyFont="1" applyFill="1" applyAlignment="1">
      <alignment horizontal="center" vertical="top"/>
    </xf>
    <xf numFmtId="0" fontId="43" fillId="16" borderId="0" xfId="0" applyFont="1" applyFill="1" applyAlignment="1">
      <alignment horizontal="left" vertical="top" wrapText="1"/>
    </xf>
    <xf numFmtId="1" fontId="41" fillId="0" borderId="48" xfId="0" applyNumberFormat="1" applyFont="1" applyBorder="1" applyAlignment="1">
      <alignment vertical="top"/>
    </xf>
    <xf numFmtId="1" fontId="41" fillId="0" borderId="48" xfId="0" applyNumberFormat="1" applyFont="1" applyBorder="1" applyAlignment="1">
      <alignment horizontal="right" vertical="top"/>
    </xf>
    <xf numFmtId="0" fontId="42" fillId="29" borderId="48" xfId="0" applyFont="1" applyFill="1" applyBorder="1" applyAlignment="1">
      <alignment vertical="top"/>
    </xf>
    <xf numFmtId="0" fontId="1" fillId="0" borderId="40" xfId="0" applyFont="1" applyBorder="1"/>
    <xf numFmtId="0" fontId="1" fillId="0" borderId="34" xfId="0" applyFont="1" applyBorder="1"/>
    <xf numFmtId="3" fontId="1" fillId="0" borderId="34" xfId="0" applyNumberFormat="1" applyFont="1" applyBorder="1"/>
    <xf numFmtId="3" fontId="1" fillId="0" borderId="20" xfId="0" applyNumberFormat="1" applyFont="1" applyBorder="1"/>
    <xf numFmtId="1" fontId="41" fillId="0" borderId="0" xfId="0" applyNumberFormat="1" applyFont="1" applyAlignment="1">
      <alignment vertical="top"/>
    </xf>
    <xf numFmtId="1" fontId="41" fillId="0" borderId="0" xfId="0" applyNumberFormat="1" applyFont="1" applyAlignment="1">
      <alignment horizontal="right" vertical="top"/>
    </xf>
    <xf numFmtId="0" fontId="42" fillId="29" borderId="4" xfId="0" applyFont="1" applyFill="1" applyBorder="1" applyAlignment="1">
      <alignment vertical="top"/>
    </xf>
    <xf numFmtId="1" fontId="44" fillId="0" borderId="0" xfId="0" applyNumberFormat="1" applyFont="1"/>
    <xf numFmtId="1" fontId="39" fillId="16" borderId="0" xfId="0" applyNumberFormat="1" applyFont="1" applyFill="1" applyAlignment="1">
      <alignment horizontal="center"/>
    </xf>
    <xf numFmtId="0" fontId="40" fillId="29" borderId="0" xfId="0" applyFont="1" applyFill="1" applyAlignment="1">
      <alignment horizontal="center" vertical="center"/>
    </xf>
    <xf numFmtId="0" fontId="39" fillId="29" borderId="0" xfId="0" applyFont="1" applyFill="1" applyAlignment="1">
      <alignment horizontal="left" vertical="center" wrapText="1"/>
    </xf>
    <xf numFmtId="1" fontId="40" fillId="6" borderId="0" xfId="0" applyNumberFormat="1" applyFont="1" applyFill="1" applyAlignment="1">
      <alignment horizontal="center" vertical="top"/>
    </xf>
    <xf numFmtId="0" fontId="39" fillId="6" borderId="0" xfId="0" applyFont="1" applyFill="1" applyAlignment="1">
      <alignment horizontal="center" vertical="top"/>
    </xf>
    <xf numFmtId="0" fontId="44" fillId="0" borderId="0" xfId="0" applyFont="1"/>
    <xf numFmtId="0" fontId="2" fillId="15"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4" borderId="0" xfId="0" applyFont="1" applyFill="1" applyAlignment="1">
      <alignment horizontal="left"/>
    </xf>
    <xf numFmtId="0" fontId="2" fillId="32" borderId="0" xfId="0" applyFont="1" applyFill="1" applyAlignment="1">
      <alignment horizontal="left"/>
    </xf>
    <xf numFmtId="0" fontId="2" fillId="3" borderId="0" xfId="0" applyFont="1" applyFill="1" applyAlignment="1">
      <alignment horizontal="left"/>
    </xf>
    <xf numFmtId="169" fontId="44" fillId="0" borderId="0" xfId="0" applyNumberFormat="1" applyFont="1"/>
    <xf numFmtId="2" fontId="44" fillId="0" borderId="0" xfId="0" applyNumberFormat="1" applyFont="1"/>
    <xf numFmtId="0" fontId="45"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46" fillId="0" borderId="0" xfId="0" applyFont="1" applyAlignment="1">
      <alignment horizontal="left" vertical="top"/>
    </xf>
    <xf numFmtId="0" fontId="12" fillId="0" borderId="0" xfId="0" applyFont="1" applyAlignment="1">
      <alignment horizontal="left"/>
    </xf>
    <xf numFmtId="0" fontId="47" fillId="0" borderId="0" xfId="0" applyFont="1"/>
    <xf numFmtId="0" fontId="12" fillId="35" borderId="0" xfId="0" applyFont="1" applyFill="1"/>
    <xf numFmtId="0" fontId="12" fillId="35" borderId="0" xfId="0" applyFont="1" applyFill="1" applyAlignment="1">
      <alignment horizontal="left"/>
    </xf>
    <xf numFmtId="0" fontId="4" fillId="35" borderId="0" xfId="0" applyFont="1" applyFill="1" applyAlignment="1">
      <alignment horizontal="left" indent="2"/>
    </xf>
    <xf numFmtId="0" fontId="4" fillId="35" borderId="0" xfId="0" applyFont="1" applyFill="1" applyAlignment="1">
      <alignment horizontal="right"/>
    </xf>
    <xf numFmtId="0" fontId="48" fillId="0" borderId="0" xfId="0" applyFont="1" applyAlignment="1">
      <alignment horizontal="right" vertical="top"/>
    </xf>
    <xf numFmtId="3" fontId="29" fillId="0" borderId="0" xfId="0" applyNumberFormat="1" applyFont="1"/>
    <xf numFmtId="3" fontId="49" fillId="0" borderId="0" xfId="0" applyNumberFormat="1" applyFont="1" applyAlignment="1">
      <alignment horizontal="right" vertical="top"/>
    </xf>
    <xf numFmtId="0" fontId="50" fillId="37" borderId="0" xfId="0" applyFont="1" applyFill="1" applyAlignment="1">
      <alignment horizontal="right"/>
    </xf>
    <xf numFmtId="0" fontId="51" fillId="0" borderId="0" xfId="0" applyFont="1"/>
    <xf numFmtId="0" fontId="40" fillId="0" borderId="0" xfId="0" applyFont="1" applyAlignment="1">
      <alignment horizontal="right"/>
    </xf>
    <xf numFmtId="165" fontId="52" fillId="0" borderId="0" xfId="0" applyNumberFormat="1" applyFont="1" applyAlignment="1">
      <alignment horizontal="right" vertical="top"/>
    </xf>
    <xf numFmtId="165" fontId="50" fillId="37" borderId="0" xfId="0" applyNumberFormat="1" applyFont="1" applyFill="1" applyAlignment="1">
      <alignment horizontal="right"/>
    </xf>
    <xf numFmtId="3" fontId="7" fillId="0" borderId="0" xfId="0" applyNumberFormat="1" applyFont="1"/>
    <xf numFmtId="165" fontId="40" fillId="0" borderId="0" xfId="0" applyNumberFormat="1" applyFont="1" applyAlignment="1">
      <alignment horizontal="right"/>
    </xf>
    <xf numFmtId="3" fontId="40" fillId="0" borderId="0" xfId="0" applyNumberFormat="1" applyFont="1" applyAlignment="1">
      <alignment horizontal="right"/>
    </xf>
    <xf numFmtId="0" fontId="7" fillId="38" borderId="0" xfId="0" applyFont="1" applyFill="1" applyAlignment="1">
      <alignment wrapText="1"/>
    </xf>
    <xf numFmtId="0" fontId="8" fillId="38" borderId="0" xfId="0" applyFont="1" applyFill="1" applyAlignment="1">
      <alignment vertical="top"/>
    </xf>
    <xf numFmtId="0" fontId="7" fillId="38" borderId="0" xfId="0" applyFont="1" applyFill="1" applyAlignment="1">
      <alignment horizontal="right"/>
    </xf>
    <xf numFmtId="0" fontId="7" fillId="38" borderId="0" xfId="0" applyFont="1" applyFill="1"/>
    <xf numFmtId="168" fontId="7" fillId="38" borderId="0" xfId="0" applyNumberFormat="1" applyFont="1" applyFill="1" applyAlignment="1">
      <alignment horizontal="center"/>
    </xf>
    <xf numFmtId="0" fontId="1" fillId="38" borderId="0" xfId="0" applyFont="1" applyFill="1" applyAlignment="1">
      <alignment wrapText="1"/>
    </xf>
    <xf numFmtId="171" fontId="7" fillId="0" borderId="0" xfId="0" applyNumberFormat="1" applyFont="1" applyAlignment="1">
      <alignment horizontal="right"/>
    </xf>
    <xf numFmtId="0" fontId="35" fillId="38" borderId="0" xfId="0" applyFont="1" applyFill="1" applyAlignment="1">
      <alignment horizontal="center" wrapText="1"/>
    </xf>
    <xf numFmtId="0" fontId="7" fillId="38"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9" borderId="0" xfId="0" applyFont="1" applyFill="1" applyAlignment="1">
      <alignment horizontal="center" wrapText="1"/>
    </xf>
    <xf numFmtId="0" fontId="8" fillId="40" borderId="0" xfId="0" applyFont="1" applyFill="1" applyAlignment="1">
      <alignment vertical="top"/>
    </xf>
    <xf numFmtId="0" fontId="29" fillId="40" borderId="0" xfId="0" applyFont="1" applyFill="1"/>
    <xf numFmtId="0" fontId="7" fillId="40" borderId="0" xfId="0" applyFont="1" applyFill="1"/>
    <xf numFmtId="0" fontId="53" fillId="40" borderId="0" xfId="0" applyFont="1" applyFill="1"/>
    <xf numFmtId="0" fontId="7" fillId="40" borderId="0" xfId="0" applyFont="1" applyFill="1" applyAlignment="1">
      <alignment horizontal="right"/>
    </xf>
    <xf numFmtId="0" fontId="1" fillId="40"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40" borderId="0" xfId="0" applyFont="1" applyFill="1" applyAlignment="1">
      <alignment vertical="top" wrapText="1"/>
    </xf>
    <xf numFmtId="0" fontId="8" fillId="38" borderId="0" xfId="0" applyFont="1" applyFill="1" applyAlignment="1">
      <alignment wrapText="1"/>
    </xf>
    <xf numFmtId="0" fontId="53" fillId="0" borderId="0" xfId="0" applyFont="1"/>
    <xf numFmtId="1" fontId="8" fillId="0" borderId="0" xfId="0" applyNumberFormat="1" applyFont="1" applyAlignment="1">
      <alignment vertical="top"/>
    </xf>
    <xf numFmtId="0" fontId="7" fillId="0" borderId="0" xfId="0" applyFont="1" applyAlignment="1">
      <alignment horizontal="right"/>
    </xf>
    <xf numFmtId="0" fontId="29"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1" borderId="0" xfId="0" applyFont="1" applyFill="1" applyAlignment="1">
      <alignment wrapText="1"/>
    </xf>
    <xf numFmtId="0" fontId="7" fillId="42" borderId="0" xfId="0" applyFont="1" applyFill="1" applyAlignment="1">
      <alignment horizontal="center" wrapText="1"/>
    </xf>
    <xf numFmtId="0" fontId="29" fillId="11" borderId="0" xfId="0" applyFont="1" applyFill="1" applyAlignment="1">
      <alignment horizontal="right"/>
    </xf>
    <xf numFmtId="0" fontId="7" fillId="11" borderId="0" xfId="0" applyFont="1" applyFill="1" applyAlignment="1">
      <alignment horizontal="right"/>
    </xf>
    <xf numFmtId="0" fontId="50" fillId="0" borderId="0" xfId="0" applyFont="1"/>
    <xf numFmtId="171" fontId="48" fillId="0" borderId="0" xfId="0" applyNumberFormat="1" applyFont="1" applyAlignment="1">
      <alignment horizontal="right" vertical="top"/>
    </xf>
    <xf numFmtId="1" fontId="7" fillId="0" borderId="0" xfId="0" applyNumberFormat="1" applyFont="1"/>
    <xf numFmtId="0" fontId="29" fillId="0" borderId="0" xfId="0" applyFont="1" applyAlignment="1">
      <alignment wrapText="1"/>
    </xf>
    <xf numFmtId="0" fontId="29" fillId="45" borderId="0" xfId="0" applyFont="1" applyFill="1" applyAlignment="1">
      <alignment wrapText="1"/>
    </xf>
    <xf numFmtId="0" fontId="1" fillId="45"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5"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5" fillId="0" borderId="0" xfId="0" applyFont="1" applyAlignment="1">
      <alignment horizontal="center" wrapText="1"/>
    </xf>
    <xf numFmtId="0" fontId="7" fillId="13" borderId="0" xfId="0" applyFont="1" applyFill="1"/>
    <xf numFmtId="0" fontId="20" fillId="15" borderId="1" xfId="0" applyFont="1" applyFill="1" applyBorder="1" applyAlignment="1">
      <alignment horizontal="left" indent="2"/>
    </xf>
    <xf numFmtId="167" fontId="0" fillId="0" borderId="0" xfId="1" applyNumberFormat="1" applyFont="1"/>
    <xf numFmtId="0" fontId="20" fillId="0" borderId="1" xfId="0" applyFont="1" applyBorder="1" applyAlignment="1">
      <alignment wrapText="1"/>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6" xfId="0" applyFont="1" applyFill="1" applyBorder="1" applyAlignment="1">
      <alignment horizontal="left" vertical="top" wrapText="1"/>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2" borderId="0" xfId="0" applyFont="1" applyFill="1" applyAlignment="1">
      <alignment horizontal="left" vertical="top"/>
    </xf>
    <xf numFmtId="0" fontId="1" fillId="2" borderId="6"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5" fillId="0" borderId="3" xfId="0" applyFont="1" applyBorder="1" applyAlignment="1">
      <alignment horizontal="center"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7" fillId="0" borderId="8" xfId="0" applyFont="1" applyBorder="1" applyAlignment="1">
      <alignment horizontal="left" wrapText="1"/>
    </xf>
    <xf numFmtId="0" fontId="7" fillId="0" borderId="2"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2" fillId="0" borderId="24"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22" xfId="0" applyNumberFormat="1" applyFont="1" applyBorder="1" applyAlignment="1">
      <alignment horizontal="left" indent="1"/>
    </xf>
    <xf numFmtId="0" fontId="1" fillId="0" borderId="0" xfId="0" applyFont="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5"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35"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12" fillId="7" borderId="1" xfId="0" applyFont="1" applyFill="1" applyBorder="1" applyAlignment="1">
      <alignment horizontal="center"/>
    </xf>
    <xf numFmtId="0" fontId="12" fillId="7" borderId="6" xfId="0" applyFont="1" applyFill="1" applyBorder="1" applyAlignment="1">
      <alignment horizontal="center"/>
    </xf>
    <xf numFmtId="0" fontId="12" fillId="7" borderId="3" xfId="0" applyFont="1" applyFill="1" applyBorder="1" applyAlignment="1">
      <alignment horizontal="center"/>
    </xf>
    <xf numFmtId="0" fontId="12" fillId="7" borderId="5" xfId="0" applyFont="1" applyFill="1" applyBorder="1" applyAlignment="1">
      <alignment horizontal="center"/>
    </xf>
    <xf numFmtId="0" fontId="4" fillId="8" borderId="7" xfId="0" applyFont="1" applyFill="1" applyBorder="1" applyAlignment="1">
      <alignment horizontal="center"/>
    </xf>
    <xf numFmtId="0" fontId="4" fillId="8" borderId="33" xfId="0" applyFont="1" applyFill="1" applyBorder="1" applyAlignment="1">
      <alignment horizontal="center"/>
    </xf>
    <xf numFmtId="0" fontId="12" fillId="8" borderId="34" xfId="0" applyFont="1" applyFill="1" applyBorder="1" applyAlignment="1">
      <alignment horizontal="center"/>
    </xf>
    <xf numFmtId="0" fontId="12" fillId="8" borderId="20" xfId="0" applyFont="1" applyFill="1" applyBorder="1" applyAlignment="1">
      <alignment horizontal="center"/>
    </xf>
    <xf numFmtId="0" fontId="12" fillId="7" borderId="36" xfId="0" applyFont="1" applyFill="1" applyBorder="1" applyAlignment="1">
      <alignment horizontal="center"/>
    </xf>
    <xf numFmtId="0" fontId="4" fillId="8" borderId="2" xfId="0" applyFont="1" applyFill="1" applyBorder="1" applyAlignment="1">
      <alignment horizontal="center"/>
    </xf>
    <xf numFmtId="0" fontId="4" fillId="8" borderId="8"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2" xfId="0" applyFont="1" applyFill="1" applyBorder="1" applyAlignment="1">
      <alignment horizontal="center"/>
    </xf>
    <xf numFmtId="0" fontId="4" fillId="7" borderId="7" xfId="0" applyFont="1" applyFill="1" applyBorder="1" applyAlignment="1">
      <alignment horizontal="right"/>
    </xf>
    <xf numFmtId="0" fontId="4" fillId="7" borderId="33" xfId="0" applyFont="1" applyFill="1" applyBorder="1" applyAlignment="1">
      <alignment horizontal="right"/>
    </xf>
    <xf numFmtId="0" fontId="12" fillId="7" borderId="40" xfId="0" applyFont="1" applyFill="1" applyBorder="1" applyAlignment="1">
      <alignment horizontal="center"/>
    </xf>
    <xf numFmtId="0" fontId="12" fillId="7" borderId="34" xfId="0" applyFont="1" applyFill="1" applyBorder="1" applyAlignment="1">
      <alignment horizontal="center"/>
    </xf>
    <xf numFmtId="0" fontId="12" fillId="7" borderId="20" xfId="0" applyFont="1" applyFill="1" applyBorder="1" applyAlignment="1">
      <alignment horizontal="center"/>
    </xf>
    <xf numFmtId="0" fontId="4" fillId="7" borderId="33" xfId="0" applyFont="1" applyFill="1" applyBorder="1" applyAlignment="1">
      <alignment horizontal="center"/>
    </xf>
    <xf numFmtId="0" fontId="12" fillId="8" borderId="40"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2" xfId="0" applyFont="1" applyFill="1" applyBorder="1" applyAlignment="1">
      <alignment horizontal="center" wrapText="1"/>
    </xf>
    <xf numFmtId="0" fontId="4" fillId="3" borderId="6" xfId="0" applyFont="1" applyFill="1" applyBorder="1" applyAlignment="1">
      <alignment horizontal="center" wrapText="1"/>
    </xf>
    <xf numFmtId="0" fontId="4" fillId="3" borderId="5" xfId="0" applyFont="1" applyFill="1" applyBorder="1" applyAlignment="1">
      <alignment horizontal="center" wrapText="1"/>
    </xf>
    <xf numFmtId="0" fontId="12" fillId="10" borderId="40" xfId="0" applyFont="1" applyFill="1" applyBorder="1" applyAlignment="1">
      <alignment horizontal="center" vertical="center" wrapText="1"/>
    </xf>
    <xf numFmtId="0" fontId="12" fillId="10" borderId="34"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6" xfId="0" applyFont="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12" fillId="7" borderId="36" xfId="0" applyFont="1" applyFill="1" applyBorder="1" applyAlignment="1">
      <alignment horizontal="center" vertical="center"/>
    </xf>
    <xf numFmtId="0" fontId="12" fillId="7" borderId="7" xfId="0" applyFont="1" applyFill="1" applyBorder="1" applyAlignment="1">
      <alignment horizontal="center" vertical="center"/>
    </xf>
    <xf numFmtId="0" fontId="12" fillId="7" borderId="2"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0" xfId="0" applyFont="1" applyFill="1" applyAlignment="1">
      <alignment horizontal="center" vertical="center"/>
    </xf>
    <xf numFmtId="0" fontId="4" fillId="7" borderId="35" xfId="0" applyFont="1" applyFill="1" applyBorder="1" applyAlignment="1">
      <alignment horizontal="center" vertical="center"/>
    </xf>
    <xf numFmtId="0" fontId="12" fillId="7" borderId="33" xfId="0" applyFont="1" applyFill="1" applyBorder="1" applyAlignment="1">
      <alignment horizontal="center"/>
    </xf>
    <xf numFmtId="0" fontId="12" fillId="0" borderId="0" xfId="0" applyFont="1" applyAlignment="1">
      <alignment horizontal="left" wrapText="1"/>
    </xf>
    <xf numFmtId="0" fontId="12" fillId="15" borderId="0" xfId="0" applyFont="1" applyFill="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12" fillId="7" borderId="4" xfId="0" applyFont="1" applyFill="1" applyBorder="1" applyAlignment="1">
      <alignment horizontal="center"/>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7" xfId="0" applyFont="1" applyBorder="1" applyAlignment="1">
      <alignment horizontal="center" wrapText="1"/>
    </xf>
    <xf numFmtId="0" fontId="12" fillId="0" borderId="0" xfId="0" applyFont="1" applyAlignment="1">
      <alignment horizontal="center" wrapText="1"/>
    </xf>
    <xf numFmtId="0" fontId="4" fillId="7" borderId="6" xfId="0" applyFont="1" applyFill="1" applyBorder="1" applyAlignment="1">
      <alignment horizontal="center"/>
    </xf>
    <xf numFmtId="0" fontId="23" fillId="0" borderId="0" xfId="0" applyFont="1" applyAlignment="1">
      <alignment horizontal="left" vertical="top" wrapText="1"/>
    </xf>
    <xf numFmtId="0" fontId="12" fillId="0" borderId="0" xfId="0" applyFont="1" applyAlignment="1">
      <alignment horizontal="center" vertical="top" wrapText="1"/>
    </xf>
    <xf numFmtId="0" fontId="4" fillId="10" borderId="1" xfId="0" applyFont="1" applyFill="1" applyBorder="1" applyAlignment="1">
      <alignment horizontal="left" vertical="top" wrapText="1" indent="3"/>
    </xf>
    <xf numFmtId="0" fontId="4" fillId="10" borderId="0" xfId="0" applyFont="1" applyFill="1" applyAlignment="1">
      <alignment horizontal="left" vertical="top" wrapText="1" indent="3"/>
    </xf>
    <xf numFmtId="0" fontId="4" fillId="10" borderId="6"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indent="3"/>
    </xf>
    <xf numFmtId="0" fontId="4" fillId="0" borderId="8" xfId="0" applyFont="1" applyBorder="1" applyAlignment="1">
      <alignment horizontal="left" wrapText="1" indent="3"/>
    </xf>
    <xf numFmtId="0" fontId="4" fillId="0" borderId="2" xfId="0" applyFont="1" applyBorder="1" applyAlignment="1">
      <alignment horizontal="left" wrapText="1" indent="3"/>
    </xf>
    <xf numFmtId="0" fontId="4" fillId="0" borderId="3" xfId="0" applyFont="1" applyBorder="1" applyAlignment="1">
      <alignment horizontal="left" wrapText="1"/>
    </xf>
    <xf numFmtId="0" fontId="4" fillId="0" borderId="4" xfId="0" applyFont="1" applyBorder="1" applyAlignment="1">
      <alignment horizontal="left" wrapText="1"/>
    </xf>
    <xf numFmtId="0" fontId="4" fillId="0" borderId="5" xfId="0" applyFont="1" applyBorder="1" applyAlignment="1">
      <alignment horizontal="left" wrapText="1"/>
    </xf>
    <xf numFmtId="0" fontId="4" fillId="10" borderId="1" xfId="0" applyFont="1" applyFill="1" applyBorder="1" applyAlignment="1">
      <alignment horizontal="left" wrapText="1" indent="3"/>
    </xf>
    <xf numFmtId="0" fontId="4" fillId="10" borderId="0" xfId="0" applyFont="1" applyFill="1" applyAlignment="1">
      <alignment horizontal="left" wrapText="1" indent="3"/>
    </xf>
    <xf numFmtId="0" fontId="4" fillId="10" borderId="6"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6" xfId="0" applyFont="1" applyBorder="1" applyAlignment="1">
      <alignment horizontal="left" wrapText="1"/>
    </xf>
    <xf numFmtId="0" fontId="25" fillId="0" borderId="0" xfId="0" applyFont="1" applyAlignment="1">
      <alignment horizontal="left" vertical="top" wrapText="1"/>
    </xf>
    <xf numFmtId="0" fontId="12" fillId="8" borderId="3" xfId="0" applyFont="1" applyFill="1" applyBorder="1" applyAlignment="1">
      <alignment horizontal="center"/>
    </xf>
    <xf numFmtId="0" fontId="12" fillId="8" borderId="4" xfId="0" applyFont="1" applyFill="1" applyBorder="1" applyAlignment="1">
      <alignment horizontal="center"/>
    </xf>
    <xf numFmtId="0" fontId="12" fillId="8" borderId="0" xfId="0" applyFont="1" applyFill="1" applyAlignment="1">
      <alignment horizontal="center"/>
    </xf>
    <xf numFmtId="0" fontId="4" fillId="7" borderId="8" xfId="0" applyFont="1" applyFill="1" applyBorder="1" applyAlignment="1">
      <alignment horizontal="right"/>
    </xf>
    <xf numFmtId="0" fontId="12" fillId="10" borderId="0" xfId="0" applyFont="1" applyFill="1" applyAlignment="1">
      <alignment horizontal="center"/>
    </xf>
    <xf numFmtId="0" fontId="12" fillId="0" borderId="7" xfId="0" applyFont="1" applyBorder="1" applyAlignment="1">
      <alignment horizontal="center"/>
    </xf>
    <xf numFmtId="0" fontId="12" fillId="0" borderId="8" xfId="0" applyFont="1" applyBorder="1" applyAlignment="1">
      <alignment horizontal="center"/>
    </xf>
    <xf numFmtId="0" fontId="4" fillId="0" borderId="4" xfId="0" applyFont="1" applyBorder="1" applyAlignment="1">
      <alignment horizontal="left" vertical="top" wrapText="1"/>
    </xf>
    <xf numFmtId="0" fontId="12" fillId="7" borderId="7" xfId="0" applyFont="1" applyFill="1" applyBorder="1" applyAlignment="1">
      <alignment horizontal="center" wrapText="1"/>
    </xf>
    <xf numFmtId="0" fontId="12" fillId="7" borderId="2"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 fillId="0" borderId="0" xfId="0" applyFont="1" applyAlignment="1">
      <alignment horizontal="center" wrapText="1"/>
    </xf>
    <xf numFmtId="0" fontId="1" fillId="0" borderId="0" xfId="0" applyFont="1" applyAlignment="1">
      <alignment horizontal="center"/>
    </xf>
    <xf numFmtId="0" fontId="4" fillId="8" borderId="6" xfId="0" applyFont="1" applyFill="1" applyBorder="1" applyAlignment="1">
      <alignment horizontal="center"/>
    </xf>
    <xf numFmtId="0" fontId="12" fillId="0" borderId="40" xfId="0" applyFont="1" applyBorder="1" applyAlignment="1">
      <alignment horizontal="center"/>
    </xf>
    <xf numFmtId="0" fontId="12" fillId="0" borderId="34" xfId="0" applyFont="1" applyBorder="1" applyAlignment="1">
      <alignment horizontal="center"/>
    </xf>
    <xf numFmtId="0" fontId="12" fillId="0" borderId="20" xfId="0" applyFont="1" applyBorder="1" applyAlignment="1">
      <alignment horizontal="center"/>
    </xf>
    <xf numFmtId="0" fontId="12" fillId="7" borderId="40" xfId="0" applyFont="1" applyFill="1" applyBorder="1" applyAlignment="1">
      <alignment horizontal="center" wrapText="1"/>
    </xf>
    <xf numFmtId="0" fontId="12" fillId="7" borderId="34" xfId="0" applyFont="1" applyFill="1" applyBorder="1" applyAlignment="1">
      <alignment horizontal="center" wrapText="1"/>
    </xf>
    <xf numFmtId="0" fontId="12" fillId="7" borderId="20" xfId="0" applyFont="1" applyFill="1" applyBorder="1" applyAlignment="1">
      <alignment horizontal="center" wrapText="1"/>
    </xf>
    <xf numFmtId="0" fontId="5" fillId="0" borderId="4" xfId="0" applyFont="1" applyBorder="1" applyAlignment="1">
      <alignment horizontal="center"/>
    </xf>
    <xf numFmtId="0" fontId="12" fillId="0" borderId="7" xfId="0" applyFont="1" applyBorder="1" applyAlignment="1">
      <alignment horizontal="left"/>
    </xf>
    <xf numFmtId="0" fontId="12" fillId="0" borderId="8" xfId="0" applyFont="1" applyBorder="1" applyAlignment="1">
      <alignment horizontal="left"/>
    </xf>
    <xf numFmtId="0" fontId="12" fillId="0" borderId="2" xfId="0" applyFont="1" applyBorder="1" applyAlignment="1">
      <alignment horizontal="center"/>
    </xf>
    <xf numFmtId="0" fontId="12" fillId="0" borderId="1" xfId="0" applyFont="1" applyBorder="1" applyAlignment="1">
      <alignment horizontal="center"/>
    </xf>
    <xf numFmtId="0" fontId="12" fillId="0" borderId="6" xfId="0" applyFont="1" applyBorder="1" applyAlignment="1">
      <alignment horizontal="center"/>
    </xf>
    <xf numFmtId="0" fontId="17" fillId="0" borderId="4" xfId="0" applyFont="1" applyBorder="1" applyAlignment="1">
      <alignment horizontal="left" vertical="top" wrapText="1"/>
    </xf>
    <xf numFmtId="0" fontId="17" fillId="0" borderId="0" xfId="0" applyFont="1" applyAlignment="1">
      <alignment horizontal="left" vertical="top" wrapText="1"/>
    </xf>
    <xf numFmtId="0" fontId="5" fillId="18" borderId="40" xfId="0" applyFont="1" applyFill="1" applyBorder="1" applyAlignment="1">
      <alignment horizontal="center"/>
    </xf>
    <xf numFmtId="0" fontId="5" fillId="18" borderId="34" xfId="0" applyFont="1" applyFill="1" applyBorder="1" applyAlignment="1">
      <alignment horizontal="center"/>
    </xf>
    <xf numFmtId="0" fontId="5" fillId="18" borderId="20" xfId="0" applyFont="1" applyFill="1" applyBorder="1" applyAlignment="1">
      <alignment horizontal="center"/>
    </xf>
    <xf numFmtId="0" fontId="21" fillId="28" borderId="40" xfId="0" applyFont="1" applyFill="1" applyBorder="1" applyAlignment="1">
      <alignment horizontal="center"/>
    </xf>
    <xf numFmtId="0" fontId="21" fillId="28" borderId="34" xfId="0" applyFont="1" applyFill="1" applyBorder="1" applyAlignment="1">
      <alignment horizontal="center"/>
    </xf>
    <xf numFmtId="0" fontId="21" fillId="28" borderId="20" xfId="0" applyFont="1" applyFill="1" applyBorder="1" applyAlignment="1">
      <alignment horizontal="center"/>
    </xf>
    <xf numFmtId="0" fontId="12" fillId="7" borderId="3" xfId="0" applyFont="1" applyFill="1" applyBorder="1" applyAlignment="1">
      <alignment horizontal="center" wrapText="1"/>
    </xf>
    <xf numFmtId="0" fontId="12" fillId="7" borderId="4" xfId="0" applyFont="1" applyFill="1" applyBorder="1" applyAlignment="1">
      <alignment horizontal="center" wrapText="1"/>
    </xf>
    <xf numFmtId="0" fontId="1" fillId="0" borderId="0" xfId="0" applyFont="1" applyAlignment="1">
      <alignment horizontal="left" vertical="top" wrapText="1"/>
    </xf>
    <xf numFmtId="0" fontId="2" fillId="7" borderId="7" xfId="0" applyFont="1" applyFill="1" applyBorder="1" applyAlignment="1">
      <alignment horizontal="center" wrapText="1"/>
    </xf>
    <xf numFmtId="0" fontId="2" fillId="7" borderId="8"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7" xfId="0" applyFont="1" applyFill="1" applyBorder="1" applyAlignment="1">
      <alignment horizontal="center"/>
    </xf>
    <xf numFmtId="0" fontId="1" fillId="7" borderId="8" xfId="0" applyFont="1" applyFill="1" applyBorder="1" applyAlignment="1">
      <alignment horizontal="center"/>
    </xf>
    <xf numFmtId="0" fontId="1" fillId="7" borderId="7" xfId="0" applyFont="1" applyFill="1" applyBorder="1" applyAlignment="1">
      <alignment horizontal="center" wrapText="1"/>
    </xf>
    <xf numFmtId="0" fontId="1" fillId="7" borderId="8" xfId="0" applyFont="1" applyFill="1" applyBorder="1" applyAlignment="1">
      <alignment horizontal="center" wrapText="1"/>
    </xf>
    <xf numFmtId="0" fontId="1" fillId="7" borderId="2" xfId="0" applyFont="1" applyFill="1" applyBorder="1" applyAlignment="1">
      <alignment horizontal="center" wrapText="1"/>
    </xf>
    <xf numFmtId="0" fontId="37" fillId="7" borderId="7" xfId="0" applyFont="1" applyFill="1" applyBorder="1" applyAlignment="1">
      <alignment horizontal="center"/>
    </xf>
    <xf numFmtId="0" fontId="37" fillId="7" borderId="8" xfId="0" applyFont="1" applyFill="1" applyBorder="1" applyAlignment="1">
      <alignment horizontal="center"/>
    </xf>
    <xf numFmtId="0" fontId="37" fillId="7" borderId="2" xfId="0" applyFont="1" applyFill="1" applyBorder="1" applyAlignment="1">
      <alignment horizontal="center"/>
    </xf>
    <xf numFmtId="0" fontId="1" fillId="7" borderId="33" xfId="0" applyFont="1" applyFill="1" applyBorder="1" applyAlignment="1">
      <alignment horizontal="center"/>
    </xf>
    <xf numFmtId="0" fontId="1" fillId="7" borderId="2"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4"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1" fillId="0" borderId="49" xfId="0" applyNumberFormat="1" applyFont="1" applyBorder="1" applyAlignment="1">
      <alignment horizontal="center" vertical="top"/>
    </xf>
    <xf numFmtId="1" fontId="41" fillId="0" borderId="0" xfId="0" applyNumberFormat="1" applyFont="1" applyAlignment="1">
      <alignment horizontal="center" vertical="top"/>
    </xf>
    <xf numFmtId="1" fontId="41" fillId="0" borderId="40" xfId="0" applyNumberFormat="1" applyFont="1" applyBorder="1" applyAlignment="1">
      <alignment horizontal="center" vertical="top"/>
    </xf>
    <xf numFmtId="1" fontId="41" fillId="0" borderId="34" xfId="0" applyNumberFormat="1" applyFont="1" applyBorder="1" applyAlignment="1">
      <alignment horizontal="center" vertical="top"/>
    </xf>
    <xf numFmtId="1" fontId="41" fillId="0" borderId="20" xfId="0" applyNumberFormat="1" applyFont="1" applyBorder="1" applyAlignment="1">
      <alignment horizontal="center" vertical="top"/>
    </xf>
    <xf numFmtId="0" fontId="12" fillId="36" borderId="0" xfId="0" applyFont="1" applyFill="1" applyAlignment="1">
      <alignment horizontal="center"/>
    </xf>
    <xf numFmtId="0" fontId="7" fillId="0" borderId="0" xfId="0" applyFont="1" applyAlignment="1">
      <alignment horizontal="center" wrapText="1"/>
    </xf>
    <xf numFmtId="0" fontId="7" fillId="41" borderId="0" xfId="0" applyFont="1" applyFill="1" applyAlignment="1">
      <alignment wrapText="1"/>
    </xf>
    <xf numFmtId="0" fontId="1" fillId="0" borderId="0" xfId="0" applyFont="1" applyAlignment="1">
      <alignment wrapText="1"/>
    </xf>
    <xf numFmtId="0" fontId="7" fillId="43" borderId="0" xfId="0" applyFont="1" applyFill="1" applyAlignment="1">
      <alignment horizontal="center" wrapText="1"/>
    </xf>
    <xf numFmtId="0" fontId="1" fillId="11" borderId="0" xfId="0" applyFont="1" applyFill="1" applyAlignment="1">
      <alignment horizontal="center" wrapText="1"/>
    </xf>
    <xf numFmtId="0" fontId="7" fillId="42" borderId="0" xfId="0" applyFont="1" applyFill="1" applyAlignment="1">
      <alignment horizontal="center" wrapText="1"/>
    </xf>
    <xf numFmtId="0" fontId="7" fillId="44" borderId="0" xfId="0" applyFont="1" applyFill="1" applyAlignment="1">
      <alignment horizontal="center" wrapText="1"/>
    </xf>
  </cellXfs>
  <cellStyles count="2">
    <cellStyle name="Normal" xfId="0" builtinId="0"/>
    <cellStyle name="Percent" xfId="1" builtinId="5"/>
  </cellStyles>
  <dxfs count="81">
    <dxf>
      <fill>
        <patternFill>
          <bgColor theme="9" tint="0.79998168889431442"/>
        </patternFill>
      </fill>
    </dxf>
    <dxf>
      <fill>
        <patternFill>
          <bgColor theme="5" tint="0.39994506668294322"/>
        </patternFill>
      </fill>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Taxes!$Y$10:$AJ$10</c:f>
              <c:numCache>
                <c:formatCode>0.0</c:formatCode>
                <c:ptCount val="12"/>
                <c:pt idx="0">
                  <c:v>2356.1</c:v>
                </c:pt>
                <c:pt idx="1">
                  <c:v>2375.4</c:v>
                </c:pt>
                <c:pt idx="2">
                  <c:v>2400.1</c:v>
                </c:pt>
                <c:pt idx="3">
                  <c:v>2436.5</c:v>
                </c:pt>
                <c:pt idx="4" formatCode="0">
                  <c:v>2498.6213311610932</c:v>
                </c:pt>
                <c:pt idx="5" formatCode="0">
                  <c:v>2511.0218178549931</c:v>
                </c:pt>
                <c:pt idx="6" formatCode="0">
                  <c:v>2523.4838473158293</c:v>
                </c:pt>
                <c:pt idx="7" formatCode="0">
                  <c:v>2536.007724976143</c:v>
                </c:pt>
                <c:pt idx="8" formatCode="0">
                  <c:v>2635.7507512774041</c:v>
                </c:pt>
                <c:pt idx="9" formatCode="0">
                  <c:v>2648.8318019000144</c:v>
                </c:pt>
                <c:pt idx="10" formatCode="0">
                  <c:v>2661.9777728817703</c:v>
                </c:pt>
                <c:pt idx="11" formatCode="0">
                  <c:v>2675.188986417972</c:v>
                </c:pt>
              </c:numCache>
            </c:numRef>
          </c:val>
          <c:smooth val="0"/>
          <c:extLst>
            <c:ext xmlns:c16="http://schemas.microsoft.com/office/drawing/2014/chart" uri="{C3380CC4-5D6E-409C-BE32-E72D297353CC}">
              <c16:uniqueId val="{00000000-6D66-4333-A649-7FC3203951B2}"/>
            </c:ext>
          </c:extLst>
        </c:ser>
        <c:dLbls>
          <c:showLegendKey val="0"/>
          <c:showVal val="0"/>
          <c:showCatName val="0"/>
          <c:showSerName val="0"/>
          <c:showPercent val="0"/>
          <c:showBubbleSize val="0"/>
        </c:dLbls>
        <c:smooth val="0"/>
        <c:axId val="369077231"/>
        <c:axId val="369105551"/>
      </c:lineChart>
      <c:catAx>
        <c:axId val="3690772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105551"/>
        <c:crosses val="autoZero"/>
        <c:auto val="1"/>
        <c:lblAlgn val="ctr"/>
        <c:lblOffset val="100"/>
        <c:noMultiLvlLbl val="0"/>
      </c:catAx>
      <c:valAx>
        <c:axId val="36910555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07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95250</xdr:colOff>
      <xdr:row>0</xdr:row>
      <xdr:rowOff>114300</xdr:rowOff>
    </xdr:from>
    <xdr:to>
      <xdr:col>11</xdr:col>
      <xdr:colOff>609600</xdr:colOff>
      <xdr:row>4</xdr:row>
      <xdr:rowOff>76200</xdr:rowOff>
    </xdr:to>
    <xdr:sp macro="" textlink="">
      <xdr:nvSpPr>
        <xdr:cNvPr id="407554" name="Text Box 1026" hidden="1">
          <a:extLst>
            <a:ext uri="{FF2B5EF4-FFF2-40B4-BE49-F238E27FC236}">
              <a16:creationId xmlns:a16="http://schemas.microsoft.com/office/drawing/2014/main" id="{E75DD7C3-CC01-832D-42F9-7E53ECBBB2AA}"/>
            </a:ext>
          </a:extLst>
        </xdr:cNvPr>
        <xdr:cNvSpPr txBox="1">
          <a:spLocks noChangeArrowheads="1"/>
        </xdr:cNvSpPr>
      </xdr:nvSpPr>
      <xdr:spPr bwMode="auto">
        <a:xfrm>
          <a:off x="11715750" y="114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0</xdr:row>
      <xdr:rowOff>114300</xdr:rowOff>
    </xdr:from>
    <xdr:to>
      <xdr:col>11</xdr:col>
      <xdr:colOff>609600</xdr:colOff>
      <xdr:row>4</xdr:row>
      <xdr:rowOff>76200</xdr:rowOff>
    </xdr:to>
    <xdr:sp macro="" textlink="">
      <xdr:nvSpPr>
        <xdr:cNvPr id="407553" name="Text Box 1025" hidden="1">
          <a:extLst>
            <a:ext uri="{FF2B5EF4-FFF2-40B4-BE49-F238E27FC236}">
              <a16:creationId xmlns:a16="http://schemas.microsoft.com/office/drawing/2014/main" id="{255C547B-00CB-49BB-98B9-C264A1624B1F}"/>
            </a:ext>
          </a:extLst>
        </xdr:cNvPr>
        <xdr:cNvSpPr txBox="1">
          <a:spLocks noChangeArrowheads="1"/>
        </xdr:cNvSpPr>
      </xdr:nvSpPr>
      <xdr:spPr bwMode="auto">
        <a:xfrm>
          <a:off x="11715750" y="114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409602" name="Text Box 2" hidden="1">
          <a:extLst>
            <a:ext uri="{FF2B5EF4-FFF2-40B4-BE49-F238E27FC236}">
              <a16:creationId xmlns:a16="http://schemas.microsoft.com/office/drawing/2014/main" id="{9EAE56D1-AB87-5C65-6CC9-1E198830EED8}"/>
            </a:ext>
          </a:extLst>
        </xdr:cNvPr>
        <xdr:cNvSpPr txBox="1">
          <a:spLocks noChangeArrowheads="1"/>
        </xdr:cNvSpPr>
      </xdr:nvSpPr>
      <xdr:spPr bwMode="auto">
        <a:xfrm>
          <a:off x="17589500" y="1885950"/>
          <a:ext cx="434340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409601" name="Text Box 1" hidden="1">
          <a:extLst>
            <a:ext uri="{FF2B5EF4-FFF2-40B4-BE49-F238E27FC236}">
              <a16:creationId xmlns:a16="http://schemas.microsoft.com/office/drawing/2014/main" id="{9C22E836-B6B9-2B4C-AF89-33D885AFB949}"/>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164042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410628" name="Text Box 1028" hidden="1">
          <a:extLst>
            <a:ext uri="{FF2B5EF4-FFF2-40B4-BE49-F238E27FC236}">
              <a16:creationId xmlns:a16="http://schemas.microsoft.com/office/drawing/2014/main" id="{56543E08-D962-ABE6-F421-886523FB4531}"/>
            </a:ext>
          </a:extLst>
        </xdr:cNvPr>
        <xdr:cNvSpPr txBox="1">
          <a:spLocks noChangeArrowheads="1"/>
        </xdr:cNvSpPr>
      </xdr:nvSpPr>
      <xdr:spPr bwMode="auto">
        <a:xfrm>
          <a:off x="19691350" y="3841750"/>
          <a:ext cx="3536950" cy="412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410627" name="Text Box 1027" hidden="1">
          <a:extLst>
            <a:ext uri="{FF2B5EF4-FFF2-40B4-BE49-F238E27FC236}">
              <a16:creationId xmlns:a16="http://schemas.microsoft.com/office/drawing/2014/main" id="{C256D319-D1AF-07D3-592F-DCEA43B5C17D}"/>
            </a:ext>
          </a:extLst>
        </xdr:cNvPr>
        <xdr:cNvSpPr txBox="1">
          <a:spLocks noChangeArrowheads="1"/>
        </xdr:cNvSpPr>
      </xdr:nvSpPr>
      <xdr:spPr bwMode="auto">
        <a:xfrm>
          <a:off x="4578350" y="4394200"/>
          <a:ext cx="3848100" cy="404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410626" name="Text Box 1026" hidden="1">
          <a:extLst>
            <a:ext uri="{FF2B5EF4-FFF2-40B4-BE49-F238E27FC236}">
              <a16:creationId xmlns:a16="http://schemas.microsoft.com/office/drawing/2014/main" id="{95A3FA66-9E2E-3CC4-7E57-DD50B5E95BC1}"/>
            </a:ext>
          </a:extLst>
        </xdr:cNvPr>
        <xdr:cNvSpPr txBox="1">
          <a:spLocks noChangeArrowheads="1"/>
        </xdr:cNvSpPr>
      </xdr:nvSpPr>
      <xdr:spPr bwMode="auto">
        <a:xfrm>
          <a:off x="16764000" y="4578350"/>
          <a:ext cx="3683000" cy="408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410625" name="Text Box 1025" hidden="1">
          <a:extLst>
            <a:ext uri="{FF2B5EF4-FFF2-40B4-BE49-F238E27FC236}">
              <a16:creationId xmlns:a16="http://schemas.microsoft.com/office/drawing/2014/main" id="{86F33D4B-00B1-24DC-730C-7159C45B92A9}"/>
            </a:ext>
          </a:extLst>
        </xdr:cNvPr>
        <xdr:cNvSpPr txBox="1">
          <a:spLocks noChangeArrowheads="1"/>
        </xdr:cNvSpPr>
      </xdr:nvSpPr>
      <xdr:spPr bwMode="auto">
        <a:xfrm>
          <a:off x="26587450" y="4413250"/>
          <a:ext cx="3346450" cy="402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8" name="Text Box 36" hidden="1">
          <a:extLst>
            <a:ext uri="{FF2B5EF4-FFF2-40B4-BE49-F238E27FC236}">
              <a16:creationId xmlns:a16="http://schemas.microsoft.com/office/drawing/2014/main" id="{BA5A4131-FD1E-452D-748B-084DC7CE0B18}"/>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7" name="Text Box 35" hidden="1">
          <a:extLst>
            <a:ext uri="{FF2B5EF4-FFF2-40B4-BE49-F238E27FC236}">
              <a16:creationId xmlns:a16="http://schemas.microsoft.com/office/drawing/2014/main" id="{4DFF0166-6CCF-DA64-4BC4-F004F638FB87}"/>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6" name="Text Box 34" hidden="1">
          <a:extLst>
            <a:ext uri="{FF2B5EF4-FFF2-40B4-BE49-F238E27FC236}">
              <a16:creationId xmlns:a16="http://schemas.microsoft.com/office/drawing/2014/main" id="{0B244F46-7A72-C17D-D68E-52870846E5BC}"/>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5" name="Text Box 33" hidden="1">
          <a:extLst>
            <a:ext uri="{FF2B5EF4-FFF2-40B4-BE49-F238E27FC236}">
              <a16:creationId xmlns:a16="http://schemas.microsoft.com/office/drawing/2014/main" id="{360645C6-79F0-303B-5FCC-430681DAFCF7}"/>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411651" name="Text Box 1027" hidden="1">
          <a:extLst>
            <a:ext uri="{FF2B5EF4-FFF2-40B4-BE49-F238E27FC236}">
              <a16:creationId xmlns:a16="http://schemas.microsoft.com/office/drawing/2014/main" id="{CE45C573-1D9D-EE4F-7925-1D982E544C24}"/>
            </a:ext>
          </a:extLst>
        </xdr:cNvPr>
        <xdr:cNvSpPr txBox="1">
          <a:spLocks noChangeArrowheads="1"/>
        </xdr:cNvSpPr>
      </xdr:nvSpPr>
      <xdr:spPr bwMode="auto">
        <a:xfrm>
          <a:off x="19627850" y="3695700"/>
          <a:ext cx="3613150" cy="394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411650" name="Text Box 1026" hidden="1">
          <a:extLst>
            <a:ext uri="{FF2B5EF4-FFF2-40B4-BE49-F238E27FC236}">
              <a16:creationId xmlns:a16="http://schemas.microsoft.com/office/drawing/2014/main" id="{B6BEB898-0FF8-BD7E-FF9E-DE87A4B52C6F}"/>
            </a:ext>
          </a:extLst>
        </xdr:cNvPr>
        <xdr:cNvSpPr txBox="1">
          <a:spLocks noChangeArrowheads="1"/>
        </xdr:cNvSpPr>
      </xdr:nvSpPr>
      <xdr:spPr bwMode="auto">
        <a:xfrm>
          <a:off x="4502150" y="4248150"/>
          <a:ext cx="458470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411649" name="Text Box 1025" hidden="1">
          <a:extLst>
            <a:ext uri="{FF2B5EF4-FFF2-40B4-BE49-F238E27FC236}">
              <a16:creationId xmlns:a16="http://schemas.microsoft.com/office/drawing/2014/main" id="{38455516-57CA-26A1-5665-3508EDA71739}"/>
            </a:ext>
          </a:extLst>
        </xdr:cNvPr>
        <xdr:cNvSpPr txBox="1">
          <a:spLocks noChangeArrowheads="1"/>
        </xdr:cNvSpPr>
      </xdr:nvSpPr>
      <xdr:spPr bwMode="auto">
        <a:xfrm>
          <a:off x="16700500" y="4432300"/>
          <a:ext cx="349250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3" name="Text Box 27" hidden="1">
          <a:extLst>
            <a:ext uri="{FF2B5EF4-FFF2-40B4-BE49-F238E27FC236}">
              <a16:creationId xmlns:a16="http://schemas.microsoft.com/office/drawing/2014/main" id="{2E961025-9321-911E-8A5B-2C28AA77EBC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42" name="Text Box 26" hidden="1">
          <a:extLst>
            <a:ext uri="{FF2B5EF4-FFF2-40B4-BE49-F238E27FC236}">
              <a16:creationId xmlns:a16="http://schemas.microsoft.com/office/drawing/2014/main" id="{9CAA8B24-4194-31FD-1DF5-1D4BEFC87848}"/>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41" name="Text Box 25" hidden="1">
          <a:extLst>
            <a:ext uri="{FF2B5EF4-FFF2-40B4-BE49-F238E27FC236}">
              <a16:creationId xmlns:a16="http://schemas.microsoft.com/office/drawing/2014/main" id="{DA814AC8-8F44-8639-9AAA-FB41E96C0A98}"/>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35</xdr:col>
      <xdr:colOff>266700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35</xdr:col>
      <xdr:colOff>266700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35</xdr:col>
      <xdr:colOff>266700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98</xdr:row>
      <xdr:rowOff>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723900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412686" name="Text Box 1038" hidden="1">
          <a:extLst>
            <a:ext uri="{FF2B5EF4-FFF2-40B4-BE49-F238E27FC236}">
              <a16:creationId xmlns:a16="http://schemas.microsoft.com/office/drawing/2014/main" id="{5795B708-032D-0203-98A5-ACA814D13F3C}"/>
            </a:ext>
          </a:extLst>
        </xdr:cNvPr>
        <xdr:cNvSpPr txBox="1">
          <a:spLocks noChangeArrowheads="1"/>
        </xdr:cNvSpPr>
      </xdr:nvSpPr>
      <xdr:spPr bwMode="auto">
        <a:xfrm>
          <a:off x="4229100" y="12376150"/>
          <a:ext cx="307340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95250</xdr:rowOff>
    </xdr:to>
    <xdr:sp macro="" textlink="">
      <xdr:nvSpPr>
        <xdr:cNvPr id="412685" name="Text Box 1037" hidden="1">
          <a:extLst>
            <a:ext uri="{FF2B5EF4-FFF2-40B4-BE49-F238E27FC236}">
              <a16:creationId xmlns:a16="http://schemas.microsoft.com/office/drawing/2014/main" id="{6090B97B-BDE9-A785-602C-A4FF9FC8D6D4}"/>
            </a:ext>
          </a:extLst>
        </xdr:cNvPr>
        <xdr:cNvSpPr txBox="1">
          <a:spLocks noChangeArrowheads="1"/>
        </xdr:cNvSpPr>
      </xdr:nvSpPr>
      <xdr:spPr bwMode="auto">
        <a:xfrm>
          <a:off x="4229100" y="12376150"/>
          <a:ext cx="3073400" cy="421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412684" name="Text Box 1036" hidden="1">
          <a:extLst>
            <a:ext uri="{FF2B5EF4-FFF2-40B4-BE49-F238E27FC236}">
              <a16:creationId xmlns:a16="http://schemas.microsoft.com/office/drawing/2014/main" id="{5B88AD1D-733E-488D-89D8-79C2D99EE3AA}"/>
            </a:ext>
          </a:extLst>
        </xdr:cNvPr>
        <xdr:cNvSpPr txBox="1">
          <a:spLocks noChangeArrowheads="1"/>
        </xdr:cNvSpPr>
      </xdr:nvSpPr>
      <xdr:spPr bwMode="auto">
        <a:xfrm>
          <a:off x="4229100" y="12376150"/>
          <a:ext cx="307340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107</xdr:row>
      <xdr:rowOff>120650</xdr:rowOff>
    </xdr:from>
    <xdr:to>
      <xdr:col>23</xdr:col>
      <xdr:colOff>381000</xdr:colOff>
      <xdr:row>127</xdr:row>
      <xdr:rowOff>38100</xdr:rowOff>
    </xdr:to>
    <xdr:sp macro="" textlink="">
      <xdr:nvSpPr>
        <xdr:cNvPr id="412683" name="Text Box 1035" hidden="1">
          <a:extLst>
            <a:ext uri="{FF2B5EF4-FFF2-40B4-BE49-F238E27FC236}">
              <a16:creationId xmlns:a16="http://schemas.microsoft.com/office/drawing/2014/main" id="{214E2C26-945E-1D0B-51A3-811386E90F25}"/>
            </a:ext>
          </a:extLst>
        </xdr:cNvPr>
        <xdr:cNvSpPr txBox="1">
          <a:spLocks noChangeArrowheads="1"/>
        </xdr:cNvSpPr>
      </xdr:nvSpPr>
      <xdr:spPr bwMode="auto">
        <a:xfrm>
          <a:off x="13163550" y="24333200"/>
          <a:ext cx="3162300" cy="3600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11</xdr:row>
      <xdr:rowOff>76200</xdr:rowOff>
    </xdr:from>
    <xdr:to>
      <xdr:col>24</xdr:col>
      <xdr:colOff>419100</xdr:colOff>
      <xdr:row>31</xdr:row>
      <xdr:rowOff>133350</xdr:rowOff>
    </xdr:to>
    <xdr:sp macro="" textlink="">
      <xdr:nvSpPr>
        <xdr:cNvPr id="412682" name="Text Box 1034" hidden="1">
          <a:extLst>
            <a:ext uri="{FF2B5EF4-FFF2-40B4-BE49-F238E27FC236}">
              <a16:creationId xmlns:a16="http://schemas.microsoft.com/office/drawing/2014/main" id="{2638B723-D741-C9EE-7C2C-B89B47EEFBD1}"/>
            </a:ext>
          </a:extLst>
        </xdr:cNvPr>
        <xdr:cNvSpPr txBox="1">
          <a:spLocks noChangeArrowheads="1"/>
        </xdr:cNvSpPr>
      </xdr:nvSpPr>
      <xdr:spPr bwMode="auto">
        <a:xfrm>
          <a:off x="13779500" y="2857500"/>
          <a:ext cx="3155950" cy="507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71</xdr:row>
      <xdr:rowOff>0</xdr:rowOff>
    </xdr:from>
    <xdr:to>
      <xdr:col>15</xdr:col>
      <xdr:colOff>0</xdr:colOff>
      <xdr:row>91</xdr:row>
      <xdr:rowOff>152400</xdr:rowOff>
    </xdr:to>
    <xdr:sp macro="" textlink="">
      <xdr:nvSpPr>
        <xdr:cNvPr id="412681" name="Text Box 1033" hidden="1">
          <a:extLst>
            <a:ext uri="{FF2B5EF4-FFF2-40B4-BE49-F238E27FC236}">
              <a16:creationId xmlns:a16="http://schemas.microsoft.com/office/drawing/2014/main" id="{CE9C7600-75B1-F06A-194F-E76B3B223AA8}"/>
            </a:ext>
          </a:extLst>
        </xdr:cNvPr>
        <xdr:cNvSpPr txBox="1">
          <a:spLocks noChangeArrowheads="1"/>
        </xdr:cNvSpPr>
      </xdr:nvSpPr>
      <xdr:spPr bwMode="auto">
        <a:xfrm>
          <a:off x="8743950" y="16490950"/>
          <a:ext cx="2584450" cy="478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120650</xdr:rowOff>
    </xdr:from>
    <xdr:to>
      <xdr:col>24</xdr:col>
      <xdr:colOff>266700</xdr:colOff>
      <xdr:row>127</xdr:row>
      <xdr:rowOff>76200</xdr:rowOff>
    </xdr:to>
    <xdr:sp macro="" textlink="">
      <xdr:nvSpPr>
        <xdr:cNvPr id="412680" name="Text Box 1032" hidden="1">
          <a:extLst>
            <a:ext uri="{FF2B5EF4-FFF2-40B4-BE49-F238E27FC236}">
              <a16:creationId xmlns:a16="http://schemas.microsoft.com/office/drawing/2014/main" id="{AC7B5B6B-2BBB-1C93-5553-9FCCD1026E0B}"/>
            </a:ext>
          </a:extLst>
        </xdr:cNvPr>
        <xdr:cNvSpPr txBox="1">
          <a:spLocks noChangeArrowheads="1"/>
        </xdr:cNvSpPr>
      </xdr:nvSpPr>
      <xdr:spPr bwMode="auto">
        <a:xfrm>
          <a:off x="13735050" y="24333200"/>
          <a:ext cx="3048000" cy="363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412679" name="Text Box 1031" hidden="1">
          <a:extLst>
            <a:ext uri="{FF2B5EF4-FFF2-40B4-BE49-F238E27FC236}">
              <a16:creationId xmlns:a16="http://schemas.microsoft.com/office/drawing/2014/main" id="{41898241-EAB3-4F3B-150A-C505D169789F}"/>
            </a:ext>
          </a:extLst>
        </xdr:cNvPr>
        <xdr:cNvSpPr txBox="1">
          <a:spLocks noChangeArrowheads="1"/>
        </xdr:cNvSpPr>
      </xdr:nvSpPr>
      <xdr:spPr bwMode="auto">
        <a:xfrm>
          <a:off x="8699500" y="2717800"/>
          <a:ext cx="2971800" cy="506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120650</xdr:colOff>
      <xdr:row>98</xdr:row>
      <xdr:rowOff>0</xdr:rowOff>
    </xdr:to>
    <xdr:sp macro="" textlink="">
      <xdr:nvSpPr>
        <xdr:cNvPr id="412678" name="Text Box 1030" hidden="1">
          <a:extLst>
            <a:ext uri="{FF2B5EF4-FFF2-40B4-BE49-F238E27FC236}">
              <a16:creationId xmlns:a16="http://schemas.microsoft.com/office/drawing/2014/main" id="{1F16A44A-FBC0-0715-34C7-FBF713E0173F}"/>
            </a:ext>
          </a:extLst>
        </xdr:cNvPr>
        <xdr:cNvSpPr txBox="1">
          <a:spLocks noChangeArrowheads="1"/>
        </xdr:cNvSpPr>
      </xdr:nvSpPr>
      <xdr:spPr bwMode="auto">
        <a:xfrm>
          <a:off x="3492500" y="17837150"/>
          <a:ext cx="3200400" cy="4718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120650</xdr:rowOff>
    </xdr:from>
    <xdr:to>
      <xdr:col>7</xdr:col>
      <xdr:colOff>120650</xdr:colOff>
      <xdr:row>127</xdr:row>
      <xdr:rowOff>133350</xdr:rowOff>
    </xdr:to>
    <xdr:sp macro="" textlink="">
      <xdr:nvSpPr>
        <xdr:cNvPr id="412677" name="Text Box 1029" hidden="1">
          <a:extLst>
            <a:ext uri="{FF2B5EF4-FFF2-40B4-BE49-F238E27FC236}">
              <a16:creationId xmlns:a16="http://schemas.microsoft.com/office/drawing/2014/main" id="{5FBD4583-867E-A6B5-24E5-17B307F73AD9}"/>
            </a:ext>
          </a:extLst>
        </xdr:cNvPr>
        <xdr:cNvSpPr txBox="1">
          <a:spLocks noChangeArrowheads="1"/>
        </xdr:cNvSpPr>
      </xdr:nvSpPr>
      <xdr:spPr bwMode="auto">
        <a:xfrm>
          <a:off x="3492500" y="24333200"/>
          <a:ext cx="32004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26</xdr:col>
      <xdr:colOff>266700</xdr:colOff>
      <xdr:row>31</xdr:row>
      <xdr:rowOff>152400</xdr:rowOff>
    </xdr:to>
    <xdr:sp macro="" textlink="">
      <xdr:nvSpPr>
        <xdr:cNvPr id="412676" name="Text Box 1028" hidden="1">
          <a:extLst>
            <a:ext uri="{FF2B5EF4-FFF2-40B4-BE49-F238E27FC236}">
              <a16:creationId xmlns:a16="http://schemas.microsoft.com/office/drawing/2014/main" id="{E0B64DA0-41DB-884B-84DC-8AA54BA1B262}"/>
            </a:ext>
          </a:extLst>
        </xdr:cNvPr>
        <xdr:cNvSpPr txBox="1">
          <a:spLocks noChangeArrowheads="1"/>
        </xdr:cNvSpPr>
      </xdr:nvSpPr>
      <xdr:spPr bwMode="auto">
        <a:xfrm>
          <a:off x="14878050" y="2901950"/>
          <a:ext cx="3048000"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412675" name="Text Box 1027" hidden="1">
          <a:extLst>
            <a:ext uri="{FF2B5EF4-FFF2-40B4-BE49-F238E27FC236}">
              <a16:creationId xmlns:a16="http://schemas.microsoft.com/office/drawing/2014/main" id="{AD98C395-7005-01B4-8BFA-D93CB06F62BF}"/>
            </a:ext>
          </a:extLst>
        </xdr:cNvPr>
        <xdr:cNvSpPr txBox="1">
          <a:spLocks noChangeArrowheads="1"/>
        </xdr:cNvSpPr>
      </xdr:nvSpPr>
      <xdr:spPr bwMode="auto">
        <a:xfrm>
          <a:off x="21755100" y="19272250"/>
          <a:ext cx="3028950" cy="437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412674" name="Text Box 1026" hidden="1">
          <a:extLst>
            <a:ext uri="{FF2B5EF4-FFF2-40B4-BE49-F238E27FC236}">
              <a16:creationId xmlns:a16="http://schemas.microsoft.com/office/drawing/2014/main" id="{A084283A-6AD4-2032-2FB3-0E3C4D155727}"/>
            </a:ext>
          </a:extLst>
        </xdr:cNvPr>
        <xdr:cNvSpPr txBox="1">
          <a:spLocks noChangeArrowheads="1"/>
        </xdr:cNvSpPr>
      </xdr:nvSpPr>
      <xdr:spPr bwMode="auto">
        <a:xfrm>
          <a:off x="21755100" y="18910300"/>
          <a:ext cx="30289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46</xdr:col>
      <xdr:colOff>0</xdr:colOff>
      <xdr:row>27</xdr:row>
      <xdr:rowOff>0</xdr:rowOff>
    </xdr:to>
    <xdr:sp macro="" textlink="">
      <xdr:nvSpPr>
        <xdr:cNvPr id="412673" name="Text Box 1025" hidden="1">
          <a:extLst>
            <a:ext uri="{FF2B5EF4-FFF2-40B4-BE49-F238E27FC236}">
              <a16:creationId xmlns:a16="http://schemas.microsoft.com/office/drawing/2014/main" id="{E04A3B51-6EBC-B394-E415-5AD6E5E60972}"/>
            </a:ext>
          </a:extLst>
        </xdr:cNvPr>
        <xdr:cNvSpPr txBox="1">
          <a:spLocks noChangeArrowheads="1"/>
        </xdr:cNvSpPr>
      </xdr:nvSpPr>
      <xdr:spPr bwMode="auto">
        <a:xfrm>
          <a:off x="25793700" y="1816100"/>
          <a:ext cx="14408150" cy="4921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368762" name="Text Box 122" hidden="1">
          <a:extLst>
            <a:ext uri="{FF2B5EF4-FFF2-40B4-BE49-F238E27FC236}">
              <a16:creationId xmlns:a16="http://schemas.microsoft.com/office/drawing/2014/main" id="{43669CAA-ABA8-1C9E-0BF3-B0115EC5CF0D}"/>
            </a:ext>
          </a:extLst>
        </xdr:cNvPr>
        <xdr:cNvSpPr txBox="1">
          <a:spLocks noChangeArrowheads="1"/>
        </xdr:cNvSpPr>
      </xdr:nvSpPr>
      <xdr:spPr bwMode="auto">
        <a:xfrm>
          <a:off x="4229100" y="12376150"/>
          <a:ext cx="307340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95250</xdr:rowOff>
    </xdr:to>
    <xdr:sp macro="" textlink="">
      <xdr:nvSpPr>
        <xdr:cNvPr id="368761" name="Text Box 121" hidden="1">
          <a:extLst>
            <a:ext uri="{FF2B5EF4-FFF2-40B4-BE49-F238E27FC236}">
              <a16:creationId xmlns:a16="http://schemas.microsoft.com/office/drawing/2014/main" id="{2DE5E9CD-654D-8084-330C-38FAC443F1C4}"/>
            </a:ext>
          </a:extLst>
        </xdr:cNvPr>
        <xdr:cNvSpPr txBox="1">
          <a:spLocks noChangeArrowheads="1"/>
        </xdr:cNvSpPr>
      </xdr:nvSpPr>
      <xdr:spPr bwMode="auto">
        <a:xfrm>
          <a:off x="4229100" y="12376150"/>
          <a:ext cx="307340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368760" name="Text Box 120" hidden="1">
          <a:extLst>
            <a:ext uri="{FF2B5EF4-FFF2-40B4-BE49-F238E27FC236}">
              <a16:creationId xmlns:a16="http://schemas.microsoft.com/office/drawing/2014/main" id="{B86050CA-CED9-C334-F8A9-47ABF1CD1F56}"/>
            </a:ext>
          </a:extLst>
        </xdr:cNvPr>
        <xdr:cNvSpPr txBox="1">
          <a:spLocks noChangeArrowheads="1"/>
        </xdr:cNvSpPr>
      </xdr:nvSpPr>
      <xdr:spPr bwMode="auto">
        <a:xfrm>
          <a:off x="4229100" y="12376150"/>
          <a:ext cx="307340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107</xdr:row>
      <xdr:rowOff>120650</xdr:rowOff>
    </xdr:from>
    <xdr:to>
      <xdr:col>23</xdr:col>
      <xdr:colOff>381000</xdr:colOff>
      <xdr:row>127</xdr:row>
      <xdr:rowOff>38100</xdr:rowOff>
    </xdr:to>
    <xdr:sp macro="" textlink="">
      <xdr:nvSpPr>
        <xdr:cNvPr id="368759" name="Text Box 119" hidden="1">
          <a:extLst>
            <a:ext uri="{FF2B5EF4-FFF2-40B4-BE49-F238E27FC236}">
              <a16:creationId xmlns:a16="http://schemas.microsoft.com/office/drawing/2014/main" id="{84494D00-6A7C-191A-793E-819A7B2F711B}"/>
            </a:ext>
          </a:extLst>
        </xdr:cNvPr>
        <xdr:cNvSpPr txBox="1">
          <a:spLocks noChangeArrowheads="1"/>
        </xdr:cNvSpPr>
      </xdr:nvSpPr>
      <xdr:spPr bwMode="auto">
        <a:xfrm>
          <a:off x="13163550" y="24333200"/>
          <a:ext cx="3162300" cy="3600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11</xdr:row>
      <xdr:rowOff>76200</xdr:rowOff>
    </xdr:from>
    <xdr:to>
      <xdr:col>24</xdr:col>
      <xdr:colOff>419100</xdr:colOff>
      <xdr:row>31</xdr:row>
      <xdr:rowOff>133350</xdr:rowOff>
    </xdr:to>
    <xdr:sp macro="" textlink="">
      <xdr:nvSpPr>
        <xdr:cNvPr id="368758" name="Text Box 118" hidden="1">
          <a:extLst>
            <a:ext uri="{FF2B5EF4-FFF2-40B4-BE49-F238E27FC236}">
              <a16:creationId xmlns:a16="http://schemas.microsoft.com/office/drawing/2014/main" id="{214CDFE1-E10C-F0C6-9E32-78F93D21D54C}"/>
            </a:ext>
          </a:extLst>
        </xdr:cNvPr>
        <xdr:cNvSpPr txBox="1">
          <a:spLocks noChangeArrowheads="1"/>
        </xdr:cNvSpPr>
      </xdr:nvSpPr>
      <xdr:spPr bwMode="auto">
        <a:xfrm>
          <a:off x="13779500" y="2857500"/>
          <a:ext cx="31559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71</xdr:row>
      <xdr:rowOff>0</xdr:rowOff>
    </xdr:from>
    <xdr:to>
      <xdr:col>15</xdr:col>
      <xdr:colOff>0</xdr:colOff>
      <xdr:row>91</xdr:row>
      <xdr:rowOff>152400</xdr:rowOff>
    </xdr:to>
    <xdr:sp macro="" textlink="">
      <xdr:nvSpPr>
        <xdr:cNvPr id="368757" name="Text Box 117" hidden="1">
          <a:extLst>
            <a:ext uri="{FF2B5EF4-FFF2-40B4-BE49-F238E27FC236}">
              <a16:creationId xmlns:a16="http://schemas.microsoft.com/office/drawing/2014/main" id="{E982B5F0-B3D2-2933-9567-3F80C9C68823}"/>
            </a:ext>
          </a:extLst>
        </xdr:cNvPr>
        <xdr:cNvSpPr txBox="1">
          <a:spLocks noChangeArrowheads="1"/>
        </xdr:cNvSpPr>
      </xdr:nvSpPr>
      <xdr:spPr bwMode="auto">
        <a:xfrm>
          <a:off x="8743950" y="16490950"/>
          <a:ext cx="258445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120650</xdr:rowOff>
    </xdr:from>
    <xdr:to>
      <xdr:col>24</xdr:col>
      <xdr:colOff>266700</xdr:colOff>
      <xdr:row>127</xdr:row>
      <xdr:rowOff>76200</xdr:rowOff>
    </xdr:to>
    <xdr:sp macro="" textlink="">
      <xdr:nvSpPr>
        <xdr:cNvPr id="368756" name="Text Box 116" hidden="1">
          <a:extLst>
            <a:ext uri="{FF2B5EF4-FFF2-40B4-BE49-F238E27FC236}">
              <a16:creationId xmlns:a16="http://schemas.microsoft.com/office/drawing/2014/main" id="{226760FB-0BFA-6BA1-8231-69990541FD15}"/>
            </a:ext>
          </a:extLst>
        </xdr:cNvPr>
        <xdr:cNvSpPr txBox="1">
          <a:spLocks noChangeArrowheads="1"/>
        </xdr:cNvSpPr>
      </xdr:nvSpPr>
      <xdr:spPr bwMode="auto">
        <a:xfrm>
          <a:off x="13735050" y="24333200"/>
          <a:ext cx="3048000" cy="363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55" name="Text Box 115" hidden="1">
          <a:extLst>
            <a:ext uri="{FF2B5EF4-FFF2-40B4-BE49-F238E27FC236}">
              <a16:creationId xmlns:a16="http://schemas.microsoft.com/office/drawing/2014/main" id="{C3F0C234-05BE-C0DA-BCA3-11A8FFD1C81E}"/>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120650</xdr:colOff>
      <xdr:row>98</xdr:row>
      <xdr:rowOff>0</xdr:rowOff>
    </xdr:to>
    <xdr:sp macro="" textlink="">
      <xdr:nvSpPr>
        <xdr:cNvPr id="368754" name="Text Box 114" hidden="1">
          <a:extLst>
            <a:ext uri="{FF2B5EF4-FFF2-40B4-BE49-F238E27FC236}">
              <a16:creationId xmlns:a16="http://schemas.microsoft.com/office/drawing/2014/main" id="{D6AE4E3A-3212-2CBA-C8CF-7C2D97988DF3}"/>
            </a:ext>
          </a:extLst>
        </xdr:cNvPr>
        <xdr:cNvSpPr txBox="1">
          <a:spLocks noChangeArrowheads="1"/>
        </xdr:cNvSpPr>
      </xdr:nvSpPr>
      <xdr:spPr bwMode="auto">
        <a:xfrm>
          <a:off x="3492500" y="17837150"/>
          <a:ext cx="320040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120650</xdr:rowOff>
    </xdr:from>
    <xdr:to>
      <xdr:col>7</xdr:col>
      <xdr:colOff>120650</xdr:colOff>
      <xdr:row>127</xdr:row>
      <xdr:rowOff>133350</xdr:rowOff>
    </xdr:to>
    <xdr:sp macro="" textlink="">
      <xdr:nvSpPr>
        <xdr:cNvPr id="368753" name="Text Box 113" hidden="1">
          <a:extLst>
            <a:ext uri="{FF2B5EF4-FFF2-40B4-BE49-F238E27FC236}">
              <a16:creationId xmlns:a16="http://schemas.microsoft.com/office/drawing/2014/main" id="{1F0DDD8B-9AF6-47AE-DB2F-9C900D4E339D}"/>
            </a:ext>
          </a:extLst>
        </xdr:cNvPr>
        <xdr:cNvSpPr txBox="1">
          <a:spLocks noChangeArrowheads="1"/>
        </xdr:cNvSpPr>
      </xdr:nvSpPr>
      <xdr:spPr bwMode="auto">
        <a:xfrm>
          <a:off x="3492500" y="24333200"/>
          <a:ext cx="32004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26</xdr:col>
      <xdr:colOff>266700</xdr:colOff>
      <xdr:row>31</xdr:row>
      <xdr:rowOff>152400</xdr:rowOff>
    </xdr:to>
    <xdr:sp macro="" textlink="">
      <xdr:nvSpPr>
        <xdr:cNvPr id="368752" name="Text Box 112" hidden="1">
          <a:extLst>
            <a:ext uri="{FF2B5EF4-FFF2-40B4-BE49-F238E27FC236}">
              <a16:creationId xmlns:a16="http://schemas.microsoft.com/office/drawing/2014/main" id="{88B82A0F-96C6-B3A8-AB47-E28415F3CACD}"/>
            </a:ext>
          </a:extLst>
        </xdr:cNvPr>
        <xdr:cNvSpPr txBox="1">
          <a:spLocks noChangeArrowheads="1"/>
        </xdr:cNvSpPr>
      </xdr:nvSpPr>
      <xdr:spPr bwMode="auto">
        <a:xfrm>
          <a:off x="14878050" y="2901950"/>
          <a:ext cx="3048000" cy="504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51" name="Text Box 111" hidden="1">
          <a:extLst>
            <a:ext uri="{FF2B5EF4-FFF2-40B4-BE49-F238E27FC236}">
              <a16:creationId xmlns:a16="http://schemas.microsoft.com/office/drawing/2014/main" id="{26E9EB9A-204A-9FE0-ACE3-A0AA5D8D1C7C}"/>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50" name="Text Box 110" hidden="1">
          <a:extLst>
            <a:ext uri="{FF2B5EF4-FFF2-40B4-BE49-F238E27FC236}">
              <a16:creationId xmlns:a16="http://schemas.microsoft.com/office/drawing/2014/main" id="{F09DC28F-1F26-DA1C-5B94-773DF5F63488}"/>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46</xdr:col>
      <xdr:colOff>0</xdr:colOff>
      <xdr:row>27</xdr:row>
      <xdr:rowOff>0</xdr:rowOff>
    </xdr:to>
    <xdr:sp macro="" textlink="">
      <xdr:nvSpPr>
        <xdr:cNvPr id="368749" name="Text Box 109" hidden="1">
          <a:extLst>
            <a:ext uri="{FF2B5EF4-FFF2-40B4-BE49-F238E27FC236}">
              <a16:creationId xmlns:a16="http://schemas.microsoft.com/office/drawing/2014/main" id="{3BC6F178-8309-9990-E791-644E9C7607D6}"/>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37</xdr:col>
      <xdr:colOff>469279</xdr:colOff>
      <xdr:row>61</xdr:row>
      <xdr:rowOff>55614</xdr:rowOff>
    </xdr:from>
    <xdr:to>
      <xdr:col>38</xdr:col>
      <xdr:colOff>418991</xdr:colOff>
      <xdr:row>61</xdr:row>
      <xdr:rowOff>55614</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55614</xdr:rowOff>
    </xdr:from>
    <xdr:to>
      <xdr:col>38</xdr:col>
      <xdr:colOff>304691</xdr:colOff>
      <xdr:row>63</xdr:row>
      <xdr:rowOff>116355</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12155</xdr:rowOff>
    </xdr:from>
    <xdr:to>
      <xdr:col>38</xdr:col>
      <xdr:colOff>304691</xdr:colOff>
      <xdr:row>74</xdr:row>
      <xdr:rowOff>12155</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12155</xdr:rowOff>
    </xdr:from>
    <xdr:to>
      <xdr:col>38</xdr:col>
      <xdr:colOff>380891</xdr:colOff>
      <xdr:row>74</xdr:row>
      <xdr:rowOff>12155</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55614</xdr:rowOff>
    </xdr:from>
    <xdr:to>
      <xdr:col>38</xdr:col>
      <xdr:colOff>380891</xdr:colOff>
      <xdr:row>61</xdr:row>
      <xdr:rowOff>55614</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64470</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564864</xdr:colOff>
      <xdr:row>16</xdr:row>
      <xdr:rowOff>85878</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17709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17618</xdr:rowOff>
    </xdr:from>
    <xdr:to>
      <xdr:col>38</xdr:col>
      <xdr:colOff>304691</xdr:colOff>
      <xdr:row>54</xdr:row>
      <xdr:rowOff>17618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17618</xdr:rowOff>
    </xdr:from>
    <xdr:to>
      <xdr:col>38</xdr:col>
      <xdr:colOff>380891</xdr:colOff>
      <xdr:row>54</xdr:row>
      <xdr:rowOff>17618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64470</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564864</xdr:colOff>
      <xdr:row>16</xdr:row>
      <xdr:rowOff>85878</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47</xdr:row>
      <xdr:rowOff>9585</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276518</xdr:colOff>
      <xdr:row>50</xdr:row>
      <xdr:rowOff>27996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352718</xdr:colOff>
      <xdr:row>50</xdr:row>
      <xdr:rowOff>27996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47</xdr:row>
      <xdr:rowOff>9585</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276518</xdr:colOff>
      <xdr:row>50</xdr:row>
      <xdr:rowOff>27996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352718</xdr:colOff>
      <xdr:row>50</xdr:row>
      <xdr:rowOff>27996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352718</xdr:colOff>
      <xdr:row>49</xdr:row>
      <xdr:rowOff>173819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352718</xdr:colOff>
      <xdr:row>49</xdr:row>
      <xdr:rowOff>173819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7113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76015</xdr:rowOff>
    </xdr:from>
    <xdr:to>
      <xdr:col>38</xdr:col>
      <xdr:colOff>352718</xdr:colOff>
      <xdr:row>49</xdr:row>
      <xdr:rowOff>173819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7113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392723</xdr:colOff>
      <xdr:row>39</xdr:row>
      <xdr:rowOff>159575</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240323</xdr:colOff>
      <xdr:row>48</xdr:row>
      <xdr:rowOff>116063</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316523</xdr:colOff>
      <xdr:row>48</xdr:row>
      <xdr:rowOff>116063</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316523</xdr:colOff>
      <xdr:row>39</xdr:row>
      <xdr:rowOff>159575</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140256</xdr:rowOff>
    </xdr:from>
    <xdr:to>
      <xdr:col>3</xdr:col>
      <xdr:colOff>304800</xdr:colOff>
      <xdr:row>25</xdr:row>
      <xdr:rowOff>275651</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16852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392723</xdr:colOff>
      <xdr:row>39</xdr:row>
      <xdr:rowOff>159575</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240323</xdr:colOff>
      <xdr:row>48</xdr:row>
      <xdr:rowOff>116063</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316523</xdr:colOff>
      <xdr:row>48</xdr:row>
      <xdr:rowOff>116063</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316523</xdr:colOff>
      <xdr:row>39</xdr:row>
      <xdr:rowOff>159575</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140256</xdr:rowOff>
    </xdr:from>
    <xdr:to>
      <xdr:col>3</xdr:col>
      <xdr:colOff>304800</xdr:colOff>
      <xdr:row>25</xdr:row>
      <xdr:rowOff>275651</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16852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136332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136332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240323</xdr:colOff>
      <xdr:row>65</xdr:row>
      <xdr:rowOff>136332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240323</xdr:colOff>
      <xdr:row>65</xdr:row>
      <xdr:rowOff>136332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141888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59820</xdr:rowOff>
    </xdr:from>
    <xdr:to>
      <xdr:col>41</xdr:col>
      <xdr:colOff>677069</xdr:colOff>
      <xdr:row>85</xdr:row>
      <xdr:rowOff>77984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12312</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12312</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113316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11078</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105843</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222084</xdr:rowOff>
    </xdr:from>
    <xdr:to>
      <xdr:col>20</xdr:col>
      <xdr:colOff>311785</xdr:colOff>
      <xdr:row>37</xdr:row>
      <xdr:rowOff>37081</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134732</xdr:rowOff>
    </xdr:from>
    <xdr:to>
      <xdr:col>42</xdr:col>
      <xdr:colOff>67469</xdr:colOff>
      <xdr:row>82</xdr:row>
      <xdr:rowOff>76508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249</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59465</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59465</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249</xdr:rowOff>
    </xdr:from>
    <xdr:to>
      <xdr:col>41</xdr:col>
      <xdr:colOff>677069</xdr:colOff>
      <xdr:row>91</xdr:row>
      <xdr:rowOff>44759</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219935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96959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40325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44612</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11670</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153876</xdr:rowOff>
    </xdr:from>
    <xdr:to>
      <xdr:col>42</xdr:col>
      <xdr:colOff>67469</xdr:colOff>
      <xdr:row>83</xdr:row>
      <xdr:rowOff>63761</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116</xdr:row>
      <xdr:rowOff>11128</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96770</xdr:rowOff>
    </xdr:from>
    <xdr:to>
      <xdr:col>38</xdr:col>
      <xdr:colOff>215900</xdr:colOff>
      <xdr:row>79</xdr:row>
      <xdr:rowOff>10335</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96770</xdr:rowOff>
    </xdr:from>
    <xdr:to>
      <xdr:col>38</xdr:col>
      <xdr:colOff>320675</xdr:colOff>
      <xdr:row>79</xdr:row>
      <xdr:rowOff>10335</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48773</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220570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170470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3066</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63860</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276241</xdr:rowOff>
    </xdr:from>
    <xdr:to>
      <xdr:col>20</xdr:col>
      <xdr:colOff>333375</xdr:colOff>
      <xdr:row>49</xdr:row>
      <xdr:rowOff>66328</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116942</xdr:rowOff>
    </xdr:from>
    <xdr:to>
      <xdr:col>42</xdr:col>
      <xdr:colOff>67469</xdr:colOff>
      <xdr:row>72</xdr:row>
      <xdr:rowOff>59605</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139727</xdr:rowOff>
    </xdr:from>
    <xdr:to>
      <xdr:col>41</xdr:col>
      <xdr:colOff>677069</xdr:colOff>
      <xdr:row>100</xdr:row>
      <xdr:rowOff>153455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16371</xdr:rowOff>
    </xdr:from>
    <xdr:to>
      <xdr:col>38</xdr:col>
      <xdr:colOff>215900</xdr:colOff>
      <xdr:row>68</xdr:row>
      <xdr:rowOff>270</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16371</xdr:rowOff>
    </xdr:from>
    <xdr:to>
      <xdr:col>38</xdr:col>
      <xdr:colOff>311150</xdr:colOff>
      <xdr:row>68</xdr:row>
      <xdr:rowOff>270</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139727</xdr:rowOff>
    </xdr:from>
    <xdr:to>
      <xdr:col>41</xdr:col>
      <xdr:colOff>677069</xdr:colOff>
      <xdr:row>78</xdr:row>
      <xdr:rowOff>44524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220570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179413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170470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3066</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140047</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226347</xdr:rowOff>
    </xdr:from>
    <xdr:to>
      <xdr:col>41</xdr:col>
      <xdr:colOff>677069</xdr:colOff>
      <xdr:row>79</xdr:row>
      <xdr:rowOff>82681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226347</xdr:rowOff>
    </xdr:from>
    <xdr:to>
      <xdr:col>41</xdr:col>
      <xdr:colOff>677069</xdr:colOff>
      <xdr:row>58</xdr:row>
      <xdr:rowOff>178546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182780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96232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78236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160131</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197385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96232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78236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160131</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197385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104040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178074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93520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93520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93520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93520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93520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93520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65801</xdr:rowOff>
    </xdr:from>
    <xdr:to>
      <xdr:col>3</xdr:col>
      <xdr:colOff>304800</xdr:colOff>
      <xdr:row>24</xdr:row>
      <xdr:rowOff>301873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83182</xdr:rowOff>
    </xdr:from>
    <xdr:to>
      <xdr:col>20</xdr:col>
      <xdr:colOff>114300</xdr:colOff>
      <xdr:row>47</xdr:row>
      <xdr:rowOff>164192</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117301</xdr:rowOff>
    </xdr:from>
    <xdr:to>
      <xdr:col>3</xdr:col>
      <xdr:colOff>171450</xdr:colOff>
      <xdr:row>24</xdr:row>
      <xdr:rowOff>282823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139806</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139806</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86065</xdr:rowOff>
    </xdr:from>
    <xdr:to>
      <xdr:col>3</xdr:col>
      <xdr:colOff>304800</xdr:colOff>
      <xdr:row>23</xdr:row>
      <xdr:rowOff>139806</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139806</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139806</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76272</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779489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760439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314325</xdr:colOff>
      <xdr:row>24</xdr:row>
      <xdr:rowOff>198079</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133862</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104058</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64319</xdr:rowOff>
    </xdr:from>
    <xdr:to>
      <xdr:col>3</xdr:col>
      <xdr:colOff>311150</xdr:colOff>
      <xdr:row>26</xdr:row>
      <xdr:rowOff>73435</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352425</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63500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82550</xdr:rowOff>
    </xdr:from>
    <xdr:to>
      <xdr:col>3</xdr:col>
      <xdr:colOff>304800</xdr:colOff>
      <xdr:row>32</xdr:row>
      <xdr:rowOff>1035050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57150</xdr:rowOff>
    </xdr:from>
    <xdr:to>
      <xdr:col>3</xdr:col>
      <xdr:colOff>304800</xdr:colOff>
      <xdr:row>27</xdr:row>
      <xdr:rowOff>15875</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200025</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120650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63500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7</xdr:col>
      <xdr:colOff>304800</xdr:colOff>
      <xdr:row>52</xdr:row>
      <xdr:rowOff>1681</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9525</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xdr:rowOff>
    </xdr:to>
    <xdr:sp macro="" textlink="">
      <xdr:nvSpPr>
        <xdr:cNvPr id="413702" name="Text Box 1030" hidden="1">
          <a:extLst>
            <a:ext uri="{FF2B5EF4-FFF2-40B4-BE49-F238E27FC236}">
              <a16:creationId xmlns:a16="http://schemas.microsoft.com/office/drawing/2014/main" id="{89A83BBE-90AD-D318-F434-8A2A71076171}"/>
            </a:ext>
          </a:extLst>
        </xdr:cNvPr>
        <xdr:cNvSpPr txBox="1">
          <a:spLocks noChangeArrowheads="1"/>
        </xdr:cNvSpPr>
      </xdr:nvSpPr>
      <xdr:spPr bwMode="auto">
        <a:xfrm>
          <a:off x="4883150" y="3556000"/>
          <a:ext cx="4203700" cy="526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413701" name="Text Box 1029" hidden="1">
          <a:extLst>
            <a:ext uri="{FF2B5EF4-FFF2-40B4-BE49-F238E27FC236}">
              <a16:creationId xmlns:a16="http://schemas.microsoft.com/office/drawing/2014/main" id="{D2470C8F-75BB-6BA8-7EBD-A7379BE17982}"/>
            </a:ext>
          </a:extLst>
        </xdr:cNvPr>
        <xdr:cNvSpPr txBox="1">
          <a:spLocks noChangeArrowheads="1"/>
        </xdr:cNvSpPr>
      </xdr:nvSpPr>
      <xdr:spPr bwMode="auto">
        <a:xfrm>
          <a:off x="4845050" y="1517650"/>
          <a:ext cx="4089400" cy="450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29</xdr:row>
      <xdr:rowOff>0</xdr:rowOff>
    </xdr:to>
    <xdr:sp macro="" textlink="">
      <xdr:nvSpPr>
        <xdr:cNvPr id="413700" name="Text Box 1028" hidden="1">
          <a:extLst>
            <a:ext uri="{FF2B5EF4-FFF2-40B4-BE49-F238E27FC236}">
              <a16:creationId xmlns:a16="http://schemas.microsoft.com/office/drawing/2014/main" id="{B6CB2868-2940-27AD-EE50-79776127410B}"/>
            </a:ext>
          </a:extLst>
        </xdr:cNvPr>
        <xdr:cNvSpPr txBox="1">
          <a:spLocks noChangeArrowheads="1"/>
        </xdr:cNvSpPr>
      </xdr:nvSpPr>
      <xdr:spPr bwMode="auto">
        <a:xfrm>
          <a:off x="4845050" y="1778000"/>
          <a:ext cx="4089400" cy="443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104775</xdr:colOff>
      <xdr:row>9</xdr:row>
      <xdr:rowOff>152400</xdr:rowOff>
    </xdr:from>
    <xdr:to>
      <xdr:col>38</xdr:col>
      <xdr:colOff>647700</xdr:colOff>
      <xdr:row>30</xdr:row>
      <xdr:rowOff>0</xdr:rowOff>
    </xdr:to>
    <xdr:sp macro="" textlink="">
      <xdr:nvSpPr>
        <xdr:cNvPr id="413699" name="Text Box 1027" hidden="1">
          <a:extLst>
            <a:ext uri="{FF2B5EF4-FFF2-40B4-BE49-F238E27FC236}">
              <a16:creationId xmlns:a16="http://schemas.microsoft.com/office/drawing/2014/main" id="{6955C47A-5285-46CF-A799-394D01AB7D7F}"/>
            </a:ext>
          </a:extLst>
        </xdr:cNvPr>
        <xdr:cNvSpPr txBox="1">
          <a:spLocks noChangeArrowheads="1"/>
        </xdr:cNvSpPr>
      </xdr:nvSpPr>
      <xdr:spPr bwMode="auto">
        <a:xfrm>
          <a:off x="27863800" y="2006600"/>
          <a:ext cx="4584700" cy="439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133350</xdr:rowOff>
    </xdr:to>
    <xdr:sp macro="" textlink="">
      <xdr:nvSpPr>
        <xdr:cNvPr id="413698" name="Text Box 1026" hidden="1">
          <a:extLst>
            <a:ext uri="{FF2B5EF4-FFF2-40B4-BE49-F238E27FC236}">
              <a16:creationId xmlns:a16="http://schemas.microsoft.com/office/drawing/2014/main" id="{67C93F30-BBFB-48EE-20C6-FD252E3AE0B1}"/>
            </a:ext>
          </a:extLst>
        </xdr:cNvPr>
        <xdr:cNvSpPr txBox="1">
          <a:spLocks noChangeArrowheads="1"/>
        </xdr:cNvSpPr>
      </xdr:nvSpPr>
      <xdr:spPr bwMode="auto">
        <a:xfrm>
          <a:off x="4864100" y="6642100"/>
          <a:ext cx="4222750" cy="5022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114300</xdr:rowOff>
    </xdr:to>
    <xdr:sp macro="" textlink="">
      <xdr:nvSpPr>
        <xdr:cNvPr id="413697" name="Text Box 1025" hidden="1">
          <a:extLst>
            <a:ext uri="{FF2B5EF4-FFF2-40B4-BE49-F238E27FC236}">
              <a16:creationId xmlns:a16="http://schemas.microsoft.com/office/drawing/2014/main" id="{0D6868EB-FEC2-CF4F-C438-FA95E12D19E8}"/>
            </a:ext>
          </a:extLst>
        </xdr:cNvPr>
        <xdr:cNvSpPr txBox="1">
          <a:spLocks noChangeArrowheads="1"/>
        </xdr:cNvSpPr>
      </xdr:nvSpPr>
      <xdr:spPr bwMode="auto">
        <a:xfrm>
          <a:off x="4864100" y="5213350"/>
          <a:ext cx="4222750" cy="512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xdr:rowOff>
    </xdr:to>
    <xdr:sp macro="" textlink="">
      <xdr:nvSpPr>
        <xdr:cNvPr id="369717" name="Text Box 53" hidden="1">
          <a:extLst>
            <a:ext uri="{FF2B5EF4-FFF2-40B4-BE49-F238E27FC236}">
              <a16:creationId xmlns:a16="http://schemas.microsoft.com/office/drawing/2014/main" id="{57CBAF78-6E8E-1F05-99F0-229009F8F86F}"/>
            </a:ext>
          </a:extLst>
        </xdr:cNvPr>
        <xdr:cNvSpPr txBox="1">
          <a:spLocks noChangeArrowheads="1"/>
        </xdr:cNvSpPr>
      </xdr:nvSpPr>
      <xdr:spPr bwMode="auto">
        <a:xfrm>
          <a:off x="4883150" y="3556000"/>
          <a:ext cx="4203700" cy="526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6" name="Text Box 52" hidden="1">
          <a:extLst>
            <a:ext uri="{FF2B5EF4-FFF2-40B4-BE49-F238E27FC236}">
              <a16:creationId xmlns:a16="http://schemas.microsoft.com/office/drawing/2014/main" id="{2D96086D-9D27-F155-0994-0D1C98F948E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29</xdr:row>
      <xdr:rowOff>0</xdr:rowOff>
    </xdr:to>
    <xdr:sp macro="" textlink="">
      <xdr:nvSpPr>
        <xdr:cNvPr id="369715" name="Text Box 51" hidden="1">
          <a:extLst>
            <a:ext uri="{FF2B5EF4-FFF2-40B4-BE49-F238E27FC236}">
              <a16:creationId xmlns:a16="http://schemas.microsoft.com/office/drawing/2014/main" id="{762574B0-153A-EE28-CF87-F9CF11DD65D2}"/>
            </a:ext>
          </a:extLst>
        </xdr:cNvPr>
        <xdr:cNvSpPr txBox="1">
          <a:spLocks noChangeArrowheads="1"/>
        </xdr:cNvSpPr>
      </xdr:nvSpPr>
      <xdr:spPr bwMode="auto">
        <a:xfrm>
          <a:off x="4845050" y="1778000"/>
          <a:ext cx="4089400" cy="4438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104775</xdr:colOff>
      <xdr:row>9</xdr:row>
      <xdr:rowOff>152400</xdr:rowOff>
    </xdr:from>
    <xdr:to>
      <xdr:col>38</xdr:col>
      <xdr:colOff>647700</xdr:colOff>
      <xdr:row>30</xdr:row>
      <xdr:rowOff>0</xdr:rowOff>
    </xdr:to>
    <xdr:sp macro="" textlink="">
      <xdr:nvSpPr>
        <xdr:cNvPr id="369714" name="Text Box 50" hidden="1">
          <a:extLst>
            <a:ext uri="{FF2B5EF4-FFF2-40B4-BE49-F238E27FC236}">
              <a16:creationId xmlns:a16="http://schemas.microsoft.com/office/drawing/2014/main" id="{153C497A-A3F1-5CC6-5346-F36428DBA05D}"/>
            </a:ext>
          </a:extLst>
        </xdr:cNvPr>
        <xdr:cNvSpPr txBox="1">
          <a:spLocks noChangeArrowheads="1"/>
        </xdr:cNvSpPr>
      </xdr:nvSpPr>
      <xdr:spPr bwMode="auto">
        <a:xfrm>
          <a:off x="27863800" y="2006600"/>
          <a:ext cx="4584700" cy="439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133350</xdr:rowOff>
    </xdr:to>
    <xdr:sp macro="" textlink="">
      <xdr:nvSpPr>
        <xdr:cNvPr id="369713" name="Text Box 49" hidden="1">
          <a:extLst>
            <a:ext uri="{FF2B5EF4-FFF2-40B4-BE49-F238E27FC236}">
              <a16:creationId xmlns:a16="http://schemas.microsoft.com/office/drawing/2014/main" id="{38F98D80-90EC-00FB-D459-B8546E4C1C60}"/>
            </a:ext>
          </a:extLst>
        </xdr:cNvPr>
        <xdr:cNvSpPr txBox="1">
          <a:spLocks noChangeArrowheads="1"/>
        </xdr:cNvSpPr>
      </xdr:nvSpPr>
      <xdr:spPr bwMode="auto">
        <a:xfrm>
          <a:off x="4864100" y="6642100"/>
          <a:ext cx="4222750" cy="5022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114300</xdr:rowOff>
    </xdr:to>
    <xdr:sp macro="" textlink="">
      <xdr:nvSpPr>
        <xdr:cNvPr id="369712" name="Text Box 48" hidden="1">
          <a:extLst>
            <a:ext uri="{FF2B5EF4-FFF2-40B4-BE49-F238E27FC236}">
              <a16:creationId xmlns:a16="http://schemas.microsoft.com/office/drawing/2014/main" id="{88DAFDE8-63FF-C5A7-640F-FB8FF4F07920}"/>
            </a:ext>
          </a:extLst>
        </xdr:cNvPr>
        <xdr:cNvSpPr txBox="1">
          <a:spLocks noChangeArrowheads="1"/>
        </xdr:cNvSpPr>
      </xdr:nvSpPr>
      <xdr:spPr bwMode="auto">
        <a:xfrm>
          <a:off x="4864100" y="5213350"/>
          <a:ext cx="4222750" cy="5124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414729" name="Text Box 1033" hidden="1">
          <a:extLst>
            <a:ext uri="{FF2B5EF4-FFF2-40B4-BE49-F238E27FC236}">
              <a16:creationId xmlns:a16="http://schemas.microsoft.com/office/drawing/2014/main" id="{DBBC6D1C-2C6E-AD3D-B916-00652364C423}"/>
            </a:ext>
          </a:extLst>
        </xdr:cNvPr>
        <xdr:cNvSpPr txBox="1">
          <a:spLocks noChangeArrowheads="1"/>
        </xdr:cNvSpPr>
      </xdr:nvSpPr>
      <xdr:spPr bwMode="auto">
        <a:xfrm>
          <a:off x="11537950" y="4775200"/>
          <a:ext cx="22161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414728" name="Text Box 1032" hidden="1">
          <a:extLst>
            <a:ext uri="{FF2B5EF4-FFF2-40B4-BE49-F238E27FC236}">
              <a16:creationId xmlns:a16="http://schemas.microsoft.com/office/drawing/2014/main" id="{EAA7E16D-AD11-0090-B91A-327B976B256F}"/>
            </a:ext>
          </a:extLst>
        </xdr:cNvPr>
        <xdr:cNvSpPr txBox="1">
          <a:spLocks noChangeArrowheads="1"/>
        </xdr:cNvSpPr>
      </xdr:nvSpPr>
      <xdr:spPr bwMode="auto">
        <a:xfrm>
          <a:off x="12477750" y="3746500"/>
          <a:ext cx="2216150" cy="412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414727" name="Text Box 1031" hidden="1">
          <a:extLst>
            <a:ext uri="{FF2B5EF4-FFF2-40B4-BE49-F238E27FC236}">
              <a16:creationId xmlns:a16="http://schemas.microsoft.com/office/drawing/2014/main" id="{B90B071D-E397-C29A-514C-4504B793DE7D}"/>
            </a:ext>
          </a:extLst>
        </xdr:cNvPr>
        <xdr:cNvSpPr txBox="1">
          <a:spLocks noChangeArrowheads="1"/>
        </xdr:cNvSpPr>
      </xdr:nvSpPr>
      <xdr:spPr bwMode="auto">
        <a:xfrm>
          <a:off x="12515850" y="3194050"/>
          <a:ext cx="22923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414726" name="Text Box 1030" hidden="1">
          <a:extLst>
            <a:ext uri="{FF2B5EF4-FFF2-40B4-BE49-F238E27FC236}">
              <a16:creationId xmlns:a16="http://schemas.microsoft.com/office/drawing/2014/main" id="{E8935533-4AF6-F81A-CCDF-76EF6733F37F}"/>
            </a:ext>
          </a:extLst>
        </xdr:cNvPr>
        <xdr:cNvSpPr txBox="1">
          <a:spLocks noChangeArrowheads="1"/>
        </xdr:cNvSpPr>
      </xdr:nvSpPr>
      <xdr:spPr bwMode="auto">
        <a:xfrm>
          <a:off x="12966700" y="8763000"/>
          <a:ext cx="2292350" cy="394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414725" name="Text Box 1029" hidden="1">
          <a:extLst>
            <a:ext uri="{FF2B5EF4-FFF2-40B4-BE49-F238E27FC236}">
              <a16:creationId xmlns:a16="http://schemas.microsoft.com/office/drawing/2014/main" id="{AA615983-BB30-48B9-4777-0ED57AC78FFA}"/>
            </a:ext>
          </a:extLst>
        </xdr:cNvPr>
        <xdr:cNvSpPr txBox="1">
          <a:spLocks noChangeArrowheads="1"/>
        </xdr:cNvSpPr>
      </xdr:nvSpPr>
      <xdr:spPr bwMode="auto">
        <a:xfrm>
          <a:off x="12439650" y="8382000"/>
          <a:ext cx="22161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414724" name="Text Box 1028" hidden="1">
          <a:extLst>
            <a:ext uri="{FF2B5EF4-FFF2-40B4-BE49-F238E27FC236}">
              <a16:creationId xmlns:a16="http://schemas.microsoft.com/office/drawing/2014/main" id="{4255C77B-C35D-93C6-34AC-FACDAA72416B}"/>
            </a:ext>
          </a:extLst>
        </xdr:cNvPr>
        <xdr:cNvSpPr txBox="1">
          <a:spLocks noChangeArrowheads="1"/>
        </xdr:cNvSpPr>
      </xdr:nvSpPr>
      <xdr:spPr bwMode="auto">
        <a:xfrm>
          <a:off x="4292600" y="4521200"/>
          <a:ext cx="3111500" cy="408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414723" name="Text Box 1027" hidden="1">
          <a:extLst>
            <a:ext uri="{FF2B5EF4-FFF2-40B4-BE49-F238E27FC236}">
              <a16:creationId xmlns:a16="http://schemas.microsoft.com/office/drawing/2014/main" id="{2C8FF1AB-B5DE-62B1-30B9-E8724D2264BF}"/>
            </a:ext>
          </a:extLst>
        </xdr:cNvPr>
        <xdr:cNvSpPr txBox="1">
          <a:spLocks noChangeArrowheads="1"/>
        </xdr:cNvSpPr>
      </xdr:nvSpPr>
      <xdr:spPr bwMode="auto">
        <a:xfrm>
          <a:off x="13830300" y="3378200"/>
          <a:ext cx="2527300" cy="392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414722" name="Text Box 1026" hidden="1">
          <a:extLst>
            <a:ext uri="{FF2B5EF4-FFF2-40B4-BE49-F238E27FC236}">
              <a16:creationId xmlns:a16="http://schemas.microsoft.com/office/drawing/2014/main" id="{2968A831-1823-9D0A-C6EE-60DFE7DBCC81}"/>
            </a:ext>
          </a:extLst>
        </xdr:cNvPr>
        <xdr:cNvSpPr txBox="1">
          <a:spLocks noChangeArrowheads="1"/>
        </xdr:cNvSpPr>
      </xdr:nvSpPr>
      <xdr:spPr bwMode="auto">
        <a:xfrm>
          <a:off x="14262100" y="1917700"/>
          <a:ext cx="2806700" cy="371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414721" name="Text Box 1025" hidden="1">
          <a:extLst>
            <a:ext uri="{FF2B5EF4-FFF2-40B4-BE49-F238E27FC236}">
              <a16:creationId xmlns:a16="http://schemas.microsoft.com/office/drawing/2014/main" id="{2F07F810-2FCF-AF7B-DC7D-F0DA33F75750}"/>
            </a:ext>
          </a:extLst>
        </xdr:cNvPr>
        <xdr:cNvSpPr txBox="1">
          <a:spLocks noChangeArrowheads="1"/>
        </xdr:cNvSpPr>
      </xdr:nvSpPr>
      <xdr:spPr bwMode="auto">
        <a:xfrm>
          <a:off x="21678900" y="8362950"/>
          <a:ext cx="3752850" cy="398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9" name="Text Box 81" hidden="1">
          <a:extLst>
            <a:ext uri="{FF2B5EF4-FFF2-40B4-BE49-F238E27FC236}">
              <a16:creationId xmlns:a16="http://schemas.microsoft.com/office/drawing/2014/main" id="{5936D9C3-E10D-856E-892D-473FBBDC3C8E}"/>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68" name="Text Box 80" hidden="1">
          <a:extLst>
            <a:ext uri="{FF2B5EF4-FFF2-40B4-BE49-F238E27FC236}">
              <a16:creationId xmlns:a16="http://schemas.microsoft.com/office/drawing/2014/main" id="{A0AEFB31-A6AF-A5C6-AB3E-F47A0A36B352}"/>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67" name="Text Box 79" hidden="1">
          <a:extLst>
            <a:ext uri="{FF2B5EF4-FFF2-40B4-BE49-F238E27FC236}">
              <a16:creationId xmlns:a16="http://schemas.microsoft.com/office/drawing/2014/main" id="{E43C8CB3-7C48-207E-1FAA-3C02254A8E7C}"/>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66" name="Text Box 78" hidden="1">
          <a:extLst>
            <a:ext uri="{FF2B5EF4-FFF2-40B4-BE49-F238E27FC236}">
              <a16:creationId xmlns:a16="http://schemas.microsoft.com/office/drawing/2014/main" id="{A16DAECD-F785-9916-5448-3B76A5F8452B}"/>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65" name="Text Box 77" hidden="1">
          <a:extLst>
            <a:ext uri="{FF2B5EF4-FFF2-40B4-BE49-F238E27FC236}">
              <a16:creationId xmlns:a16="http://schemas.microsoft.com/office/drawing/2014/main" id="{682420AC-2C55-E46A-5349-7D1ED817A7A4}"/>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64" name="Text Box 76" hidden="1">
          <a:extLst>
            <a:ext uri="{FF2B5EF4-FFF2-40B4-BE49-F238E27FC236}">
              <a16:creationId xmlns:a16="http://schemas.microsoft.com/office/drawing/2014/main" id="{B59C239B-C557-63A1-861A-9EDEA0C7DD99}"/>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63" name="Text Box 75" hidden="1">
          <a:extLst>
            <a:ext uri="{FF2B5EF4-FFF2-40B4-BE49-F238E27FC236}">
              <a16:creationId xmlns:a16="http://schemas.microsoft.com/office/drawing/2014/main" id="{873FC379-A433-439B-4006-661827B7A8A0}"/>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62" name="Text Box 74" hidden="1">
          <a:extLst>
            <a:ext uri="{FF2B5EF4-FFF2-40B4-BE49-F238E27FC236}">
              <a16:creationId xmlns:a16="http://schemas.microsoft.com/office/drawing/2014/main" id="{0F02DF40-FA14-F81A-780C-5563D8DEA684}"/>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61" name="Text Box 73" hidden="1">
          <a:extLst>
            <a:ext uri="{FF2B5EF4-FFF2-40B4-BE49-F238E27FC236}">
              <a16:creationId xmlns:a16="http://schemas.microsoft.com/office/drawing/2014/main" id="{86711450-C09C-E2C4-DBB0-1C95C5046817}"/>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415751" name="Text Box 1031" hidden="1">
          <a:extLst>
            <a:ext uri="{FF2B5EF4-FFF2-40B4-BE49-F238E27FC236}">
              <a16:creationId xmlns:a16="http://schemas.microsoft.com/office/drawing/2014/main" id="{69E3F218-E5BD-D7E5-6236-AC2BBE843DEE}"/>
            </a:ext>
          </a:extLst>
        </xdr:cNvPr>
        <xdr:cNvSpPr txBox="1">
          <a:spLocks noChangeArrowheads="1"/>
        </xdr:cNvSpPr>
      </xdr:nvSpPr>
      <xdr:spPr bwMode="auto">
        <a:xfrm>
          <a:off x="3136900" y="4635500"/>
          <a:ext cx="3473450" cy="481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415750" name="Text Box 1030" hidden="1">
          <a:extLst>
            <a:ext uri="{FF2B5EF4-FFF2-40B4-BE49-F238E27FC236}">
              <a16:creationId xmlns:a16="http://schemas.microsoft.com/office/drawing/2014/main" id="{E94734CE-3B97-5066-066D-5490D7240E64}"/>
            </a:ext>
          </a:extLst>
        </xdr:cNvPr>
        <xdr:cNvSpPr txBox="1">
          <a:spLocks noChangeArrowheads="1"/>
        </xdr:cNvSpPr>
      </xdr:nvSpPr>
      <xdr:spPr bwMode="auto">
        <a:xfrm>
          <a:off x="15894050" y="3695700"/>
          <a:ext cx="3282950" cy="493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133350</xdr:rowOff>
    </xdr:to>
    <xdr:sp macro="" textlink="">
      <xdr:nvSpPr>
        <xdr:cNvPr id="415749" name="Text Box 1029" hidden="1">
          <a:extLst>
            <a:ext uri="{FF2B5EF4-FFF2-40B4-BE49-F238E27FC236}">
              <a16:creationId xmlns:a16="http://schemas.microsoft.com/office/drawing/2014/main" id="{33E74B6A-F274-8FAE-7FA9-DCE1B8A30C12}"/>
            </a:ext>
          </a:extLst>
        </xdr:cNvPr>
        <xdr:cNvSpPr txBox="1">
          <a:spLocks noChangeArrowheads="1"/>
        </xdr:cNvSpPr>
      </xdr:nvSpPr>
      <xdr:spPr bwMode="auto">
        <a:xfrm>
          <a:off x="15970250" y="7639050"/>
          <a:ext cx="3340100" cy="481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45</xdr:row>
      <xdr:rowOff>1681</xdr:rowOff>
    </xdr:to>
    <xdr:sp macro="" textlink="">
      <xdr:nvSpPr>
        <xdr:cNvPr id="415748" name="Text Box 1028" hidden="1">
          <a:extLst>
            <a:ext uri="{FF2B5EF4-FFF2-40B4-BE49-F238E27FC236}">
              <a16:creationId xmlns:a16="http://schemas.microsoft.com/office/drawing/2014/main" id="{B38F03D6-46D4-E6D9-48AF-62C86469A0EE}"/>
            </a:ext>
          </a:extLst>
        </xdr:cNvPr>
        <xdr:cNvSpPr txBox="1">
          <a:spLocks noChangeArrowheads="1"/>
        </xdr:cNvSpPr>
      </xdr:nvSpPr>
      <xdr:spPr bwMode="auto">
        <a:xfrm>
          <a:off x="16554450" y="7340600"/>
          <a:ext cx="3530600" cy="4978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415747" name="Text Box 1027" hidden="1">
          <a:extLst>
            <a:ext uri="{FF2B5EF4-FFF2-40B4-BE49-F238E27FC236}">
              <a16:creationId xmlns:a16="http://schemas.microsoft.com/office/drawing/2014/main" id="{7C36766E-4D72-D15B-E8E5-4A2A97A5F073}"/>
            </a:ext>
          </a:extLst>
        </xdr:cNvPr>
        <xdr:cNvSpPr txBox="1">
          <a:spLocks noChangeArrowheads="1"/>
        </xdr:cNvSpPr>
      </xdr:nvSpPr>
      <xdr:spPr bwMode="auto">
        <a:xfrm>
          <a:off x="16554450" y="3695700"/>
          <a:ext cx="3530600" cy="495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39</xdr:row>
      <xdr:rowOff>1681</xdr:rowOff>
    </xdr:to>
    <xdr:sp macro="" textlink="">
      <xdr:nvSpPr>
        <xdr:cNvPr id="415746" name="Text Box 1026" hidden="1">
          <a:extLst>
            <a:ext uri="{FF2B5EF4-FFF2-40B4-BE49-F238E27FC236}">
              <a16:creationId xmlns:a16="http://schemas.microsoft.com/office/drawing/2014/main" id="{4A00A680-1BA3-26DC-9A58-45CB628F687F}"/>
            </a:ext>
          </a:extLst>
        </xdr:cNvPr>
        <xdr:cNvSpPr txBox="1">
          <a:spLocks noChangeArrowheads="1"/>
        </xdr:cNvSpPr>
      </xdr:nvSpPr>
      <xdr:spPr bwMode="auto">
        <a:xfrm>
          <a:off x="7226300" y="5848350"/>
          <a:ext cx="3181350" cy="489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114300</xdr:rowOff>
    </xdr:to>
    <xdr:sp macro="" textlink="">
      <xdr:nvSpPr>
        <xdr:cNvPr id="415745" name="Text Box 1025" hidden="1">
          <a:extLst>
            <a:ext uri="{FF2B5EF4-FFF2-40B4-BE49-F238E27FC236}">
              <a16:creationId xmlns:a16="http://schemas.microsoft.com/office/drawing/2014/main" id="{5144E9E8-E333-6E8C-5D91-904526BD939A}"/>
            </a:ext>
          </a:extLst>
        </xdr:cNvPr>
        <xdr:cNvSpPr txBox="1">
          <a:spLocks noChangeArrowheads="1"/>
        </xdr:cNvSpPr>
      </xdr:nvSpPr>
      <xdr:spPr bwMode="auto">
        <a:xfrm>
          <a:off x="29229050" y="7562850"/>
          <a:ext cx="3733800" cy="4870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74" name="Text Box 62" hidden="1">
          <a:extLst>
            <a:ext uri="{FF2B5EF4-FFF2-40B4-BE49-F238E27FC236}">
              <a16:creationId xmlns:a16="http://schemas.microsoft.com/office/drawing/2014/main" id="{C1D84E06-71D1-8001-0F91-7453196A6A9D}"/>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73" name="Text Box 61" hidden="1">
          <a:extLst>
            <a:ext uri="{FF2B5EF4-FFF2-40B4-BE49-F238E27FC236}">
              <a16:creationId xmlns:a16="http://schemas.microsoft.com/office/drawing/2014/main" id="{7F3EEE54-45CC-76D7-B6D3-32403E1BD1DE}"/>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133350</xdr:rowOff>
    </xdr:to>
    <xdr:sp macro="" textlink="">
      <xdr:nvSpPr>
        <xdr:cNvPr id="371772" name="Text Box 60" hidden="1">
          <a:extLst>
            <a:ext uri="{FF2B5EF4-FFF2-40B4-BE49-F238E27FC236}">
              <a16:creationId xmlns:a16="http://schemas.microsoft.com/office/drawing/2014/main" id="{CBD82C70-2728-A390-96DB-ED6D9EE64D22}"/>
            </a:ext>
          </a:extLst>
        </xdr:cNvPr>
        <xdr:cNvSpPr txBox="1">
          <a:spLocks noChangeArrowheads="1"/>
        </xdr:cNvSpPr>
      </xdr:nvSpPr>
      <xdr:spPr bwMode="auto">
        <a:xfrm>
          <a:off x="15970250" y="7639050"/>
          <a:ext cx="334010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45</xdr:row>
      <xdr:rowOff>1681</xdr:rowOff>
    </xdr:to>
    <xdr:sp macro="" textlink="">
      <xdr:nvSpPr>
        <xdr:cNvPr id="371771" name="Text Box 59" hidden="1">
          <a:extLst>
            <a:ext uri="{FF2B5EF4-FFF2-40B4-BE49-F238E27FC236}">
              <a16:creationId xmlns:a16="http://schemas.microsoft.com/office/drawing/2014/main" id="{A0F0C8FF-8A94-5932-C8F4-A421274C9DB4}"/>
            </a:ext>
          </a:extLst>
        </xdr:cNvPr>
        <xdr:cNvSpPr txBox="1">
          <a:spLocks noChangeArrowheads="1"/>
        </xdr:cNvSpPr>
      </xdr:nvSpPr>
      <xdr:spPr bwMode="auto">
        <a:xfrm>
          <a:off x="16554450" y="7340600"/>
          <a:ext cx="3530600" cy="497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70" name="Text Box 58" hidden="1">
          <a:extLst>
            <a:ext uri="{FF2B5EF4-FFF2-40B4-BE49-F238E27FC236}">
              <a16:creationId xmlns:a16="http://schemas.microsoft.com/office/drawing/2014/main" id="{93DCCC29-1761-5AEE-CFF8-EFCE640F165A}"/>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39</xdr:row>
      <xdr:rowOff>1681</xdr:rowOff>
    </xdr:to>
    <xdr:sp macro="" textlink="">
      <xdr:nvSpPr>
        <xdr:cNvPr id="371769" name="Text Box 57" hidden="1">
          <a:extLst>
            <a:ext uri="{FF2B5EF4-FFF2-40B4-BE49-F238E27FC236}">
              <a16:creationId xmlns:a16="http://schemas.microsoft.com/office/drawing/2014/main" id="{B3B3B705-F4EC-6E6F-1231-044AF4B01BC7}"/>
            </a:ext>
          </a:extLst>
        </xdr:cNvPr>
        <xdr:cNvSpPr txBox="1">
          <a:spLocks noChangeArrowheads="1"/>
        </xdr:cNvSpPr>
      </xdr:nvSpPr>
      <xdr:spPr bwMode="auto">
        <a:xfrm>
          <a:off x="7226300" y="5848350"/>
          <a:ext cx="3181350" cy="489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114300</xdr:rowOff>
    </xdr:to>
    <xdr:sp macro="" textlink="">
      <xdr:nvSpPr>
        <xdr:cNvPr id="371768" name="Text Box 56" hidden="1">
          <a:extLst>
            <a:ext uri="{FF2B5EF4-FFF2-40B4-BE49-F238E27FC236}">
              <a16:creationId xmlns:a16="http://schemas.microsoft.com/office/drawing/2014/main" id="{04D951AE-C29C-52F2-CBFB-B648E3256282}"/>
            </a:ext>
          </a:extLst>
        </xdr:cNvPr>
        <xdr:cNvSpPr txBox="1">
          <a:spLocks noChangeArrowheads="1"/>
        </xdr:cNvSpPr>
      </xdr:nvSpPr>
      <xdr:spPr bwMode="auto">
        <a:xfrm>
          <a:off x="29229050" y="7562850"/>
          <a:ext cx="3733800" cy="4870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483658</xdr:colOff>
      <xdr:row>21</xdr:row>
      <xdr:rowOff>102446</xdr:rowOff>
    </xdr:from>
    <xdr:to>
      <xdr:col>5</xdr:col>
      <xdr:colOff>45509</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274108</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483658</xdr:colOff>
      <xdr:row>21</xdr:row>
      <xdr:rowOff>102446</xdr:rowOff>
    </xdr:from>
    <xdr:to>
      <xdr:col>5</xdr:col>
      <xdr:colOff>45509</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274108</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22</xdr:row>
      <xdr:rowOff>57150</xdr:rowOff>
    </xdr:from>
    <xdr:to>
      <xdr:col>3</xdr:col>
      <xdr:colOff>492548</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492548</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492548</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492548</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464608</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7055</xdr:rowOff>
    </xdr:from>
    <xdr:to>
      <xdr:col>3</xdr:col>
      <xdr:colOff>464608</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7055</xdr:rowOff>
    </xdr:from>
    <xdr:to>
      <xdr:col>3</xdr:col>
      <xdr:colOff>464608</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7055</xdr:rowOff>
    </xdr:from>
    <xdr:to>
      <xdr:col>3</xdr:col>
      <xdr:colOff>464608</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196850</xdr:rowOff>
    </xdr:from>
    <xdr:to>
      <xdr:col>3</xdr:col>
      <xdr:colOff>464608</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196850</xdr:rowOff>
    </xdr:from>
    <xdr:to>
      <xdr:col>3</xdr:col>
      <xdr:colOff>464608</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196850</xdr:rowOff>
    </xdr:from>
    <xdr:to>
      <xdr:col>3</xdr:col>
      <xdr:colOff>464608</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217875</xdr:rowOff>
    </xdr:from>
    <xdr:to>
      <xdr:col>3</xdr:col>
      <xdr:colOff>464608</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226342</xdr:rowOff>
    </xdr:from>
    <xdr:to>
      <xdr:col>3</xdr:col>
      <xdr:colOff>464608</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199672</xdr:rowOff>
    </xdr:from>
    <xdr:to>
      <xdr:col>3</xdr:col>
      <xdr:colOff>464608</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17</xdr:row>
      <xdr:rowOff>151341</xdr:rowOff>
    </xdr:from>
    <xdr:to>
      <xdr:col>3</xdr:col>
      <xdr:colOff>312208</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464608</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464608</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464608</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6</xdr:col>
      <xdr:colOff>506942</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12</xdr:col>
      <xdr:colOff>102658</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39</xdr:col>
      <xdr:colOff>321734</xdr:colOff>
      <xdr:row>11</xdr:row>
      <xdr:rowOff>95250</xdr:rowOff>
    </xdr:from>
    <xdr:to>
      <xdr:col>44</xdr:col>
      <xdr:colOff>245533</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416771" name="Text Box 1027" hidden="1">
          <a:extLst>
            <a:ext uri="{FF2B5EF4-FFF2-40B4-BE49-F238E27FC236}">
              <a16:creationId xmlns:a16="http://schemas.microsoft.com/office/drawing/2014/main" id="{BAD5A8A7-047C-E013-8684-8A9F24220FC8}"/>
            </a:ext>
          </a:extLst>
        </xdr:cNvPr>
        <xdr:cNvSpPr txBox="1">
          <a:spLocks noChangeArrowheads="1"/>
        </xdr:cNvSpPr>
      </xdr:nvSpPr>
      <xdr:spPr bwMode="auto">
        <a:xfrm>
          <a:off x="4451350" y="3441700"/>
          <a:ext cx="3352800" cy="396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416770" name="Text Box 1026" hidden="1">
          <a:extLst>
            <a:ext uri="{FF2B5EF4-FFF2-40B4-BE49-F238E27FC236}">
              <a16:creationId xmlns:a16="http://schemas.microsoft.com/office/drawing/2014/main" id="{EC5827C3-601C-CE7C-6C75-B3E1FDA5D305}"/>
            </a:ext>
          </a:extLst>
        </xdr:cNvPr>
        <xdr:cNvSpPr txBox="1">
          <a:spLocks noChangeArrowheads="1"/>
        </xdr:cNvSpPr>
      </xdr:nvSpPr>
      <xdr:spPr bwMode="auto">
        <a:xfrm>
          <a:off x="8166100" y="5238750"/>
          <a:ext cx="32321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416769" name="Text Box 1025" hidden="1">
          <a:extLst>
            <a:ext uri="{FF2B5EF4-FFF2-40B4-BE49-F238E27FC236}">
              <a16:creationId xmlns:a16="http://schemas.microsoft.com/office/drawing/2014/main" id="{D199EC4C-FC4F-902F-327A-8362E5BD7C01}"/>
            </a:ext>
          </a:extLst>
        </xdr:cNvPr>
        <xdr:cNvSpPr txBox="1">
          <a:spLocks noChangeArrowheads="1"/>
        </xdr:cNvSpPr>
      </xdr:nvSpPr>
      <xdr:spPr bwMode="auto">
        <a:xfrm>
          <a:off x="30854650" y="2374900"/>
          <a:ext cx="3733800" cy="393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8" name="Text Box 22" hidden="1">
          <a:extLst>
            <a:ext uri="{FF2B5EF4-FFF2-40B4-BE49-F238E27FC236}">
              <a16:creationId xmlns:a16="http://schemas.microsoft.com/office/drawing/2014/main" id="{507B3F2A-90E5-2753-B4C5-CD7611B3EDEB}"/>
            </a:ext>
          </a:extLst>
        </xdr:cNvPr>
        <xdr:cNvSpPr txBox="1">
          <a:spLocks noChangeArrowheads="1"/>
        </xdr:cNvSpPr>
      </xdr:nvSpPr>
      <xdr:spPr bwMode="auto">
        <a:xfrm>
          <a:off x="44513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7" name="Text Box 21" hidden="1">
          <a:extLst>
            <a:ext uri="{FF2B5EF4-FFF2-40B4-BE49-F238E27FC236}">
              <a16:creationId xmlns:a16="http://schemas.microsoft.com/office/drawing/2014/main" id="{5AA7671E-1262-7E61-AC20-AEEFE85594BD}"/>
            </a:ext>
          </a:extLst>
        </xdr:cNvPr>
        <xdr:cNvSpPr txBox="1">
          <a:spLocks noChangeArrowheads="1"/>
        </xdr:cNvSpPr>
      </xdr:nvSpPr>
      <xdr:spPr bwMode="auto">
        <a:xfrm>
          <a:off x="81661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6" name="Text Box 20" hidden="1">
          <a:extLst>
            <a:ext uri="{FF2B5EF4-FFF2-40B4-BE49-F238E27FC236}">
              <a16:creationId xmlns:a16="http://schemas.microsoft.com/office/drawing/2014/main" id="{EC84A513-FA24-9652-A0F3-FD449E4DA17C}"/>
            </a:ext>
          </a:extLst>
        </xdr:cNvPr>
        <xdr:cNvSpPr txBox="1">
          <a:spLocks noChangeArrowheads="1"/>
        </xdr:cNvSpPr>
      </xdr:nvSpPr>
      <xdr:spPr bwMode="auto">
        <a:xfrm>
          <a:off x="308546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417793" name="Text Box 1025" hidden="1">
          <a:extLst>
            <a:ext uri="{FF2B5EF4-FFF2-40B4-BE49-F238E27FC236}">
              <a16:creationId xmlns:a16="http://schemas.microsoft.com/office/drawing/2014/main" id="{FCF2F161-9566-D5E4-F6A6-676512ED8C49}"/>
            </a:ext>
          </a:extLst>
        </xdr:cNvPr>
        <xdr:cNvSpPr txBox="1">
          <a:spLocks noChangeArrowheads="1"/>
        </xdr:cNvSpPr>
      </xdr:nvSpPr>
      <xdr:spPr bwMode="auto">
        <a:xfrm>
          <a:off x="17659350" y="1752600"/>
          <a:ext cx="37338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9" name="Text Box 9" hidden="1">
          <a:extLst>
            <a:ext uri="{FF2B5EF4-FFF2-40B4-BE49-F238E27FC236}">
              <a16:creationId xmlns:a16="http://schemas.microsoft.com/office/drawing/2014/main" id="{CFBC5AA5-E57D-8555-6B67-7297AD7A63C6}"/>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169232</xdr:colOff>
      <xdr:row>91</xdr:row>
      <xdr:rowOff>707809</xdr:rowOff>
    </xdr:from>
    <xdr:to>
      <xdr:col>8</xdr:col>
      <xdr:colOff>278088</xdr:colOff>
      <xdr:row>91</xdr:row>
      <xdr:rowOff>707809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707809</xdr:rowOff>
    </xdr:from>
    <xdr:to>
      <xdr:col>11</xdr:col>
      <xdr:colOff>238504</xdr:colOff>
      <xdr:row>91</xdr:row>
      <xdr:rowOff>707809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707809</xdr:rowOff>
    </xdr:from>
    <xdr:to>
      <xdr:col>8</xdr:col>
      <xdr:colOff>278088</xdr:colOff>
      <xdr:row>91</xdr:row>
      <xdr:rowOff>707809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707809</xdr:rowOff>
    </xdr:from>
    <xdr:to>
      <xdr:col>11</xdr:col>
      <xdr:colOff>238504</xdr:colOff>
      <xdr:row>91</xdr:row>
      <xdr:rowOff>707809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250550</xdr:rowOff>
    </xdr:from>
    <xdr:to>
      <xdr:col>8</xdr:col>
      <xdr:colOff>278088</xdr:colOff>
      <xdr:row>74</xdr:row>
      <xdr:rowOff>250550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250550</xdr:rowOff>
    </xdr:from>
    <xdr:to>
      <xdr:col>11</xdr:col>
      <xdr:colOff>238504</xdr:colOff>
      <xdr:row>74</xdr:row>
      <xdr:rowOff>250550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250550</xdr:rowOff>
    </xdr:from>
    <xdr:to>
      <xdr:col>8</xdr:col>
      <xdr:colOff>278088</xdr:colOff>
      <xdr:row>74</xdr:row>
      <xdr:rowOff>250550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250550</xdr:rowOff>
    </xdr:from>
    <xdr:to>
      <xdr:col>11</xdr:col>
      <xdr:colOff>238504</xdr:colOff>
      <xdr:row>74</xdr:row>
      <xdr:rowOff>250550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250550</xdr:rowOff>
    </xdr:from>
    <xdr:to>
      <xdr:col>8</xdr:col>
      <xdr:colOff>287976</xdr:colOff>
      <xdr:row>74</xdr:row>
      <xdr:rowOff>250550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250550</xdr:rowOff>
    </xdr:from>
    <xdr:to>
      <xdr:col>11</xdr:col>
      <xdr:colOff>248392</xdr:colOff>
      <xdr:row>74</xdr:row>
      <xdr:rowOff>250550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250550</xdr:rowOff>
    </xdr:from>
    <xdr:to>
      <xdr:col>8</xdr:col>
      <xdr:colOff>287976</xdr:colOff>
      <xdr:row>74</xdr:row>
      <xdr:rowOff>250550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250550</xdr:rowOff>
    </xdr:from>
    <xdr:to>
      <xdr:col>11</xdr:col>
      <xdr:colOff>248392</xdr:colOff>
      <xdr:row>74</xdr:row>
      <xdr:rowOff>250550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121033</xdr:rowOff>
    </xdr:from>
    <xdr:to>
      <xdr:col>8</xdr:col>
      <xdr:colOff>257496</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65516</xdr:rowOff>
    </xdr:from>
    <xdr:to>
      <xdr:col>19</xdr:col>
      <xdr:colOff>591292</xdr:colOff>
      <xdr:row>74</xdr:row>
      <xdr:rowOff>25585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65516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65516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241187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241187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241187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241187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241187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241187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132664</xdr:rowOff>
    </xdr:from>
    <xdr:to>
      <xdr:col>1</xdr:col>
      <xdr:colOff>4724400</xdr:colOff>
      <xdr:row>179</xdr:row>
      <xdr:rowOff>171325</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159248</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159248</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159248</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112121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112121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112121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132664</xdr:rowOff>
    </xdr:from>
    <xdr:to>
      <xdr:col>1</xdr:col>
      <xdr:colOff>4724400</xdr:colOff>
      <xdr:row>179</xdr:row>
      <xdr:rowOff>171325</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159248</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159248</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159248</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112121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112121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112121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132664</xdr:rowOff>
    </xdr:from>
    <xdr:to>
      <xdr:col>1</xdr:col>
      <xdr:colOff>4724400</xdr:colOff>
      <xdr:row>179</xdr:row>
      <xdr:rowOff>171325</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159248</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159248</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159248</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112121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112121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112121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1058</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9525</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7</xdr:col>
      <xdr:colOff>9525</xdr:colOff>
      <xdr:row>181</xdr:row>
      <xdr:rowOff>149225</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88</xdr:row>
      <xdr:rowOff>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88</xdr:row>
      <xdr:rowOff>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88</xdr:row>
      <xdr:rowOff>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27</xdr:col>
      <xdr:colOff>7408</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52</xdr:row>
      <xdr:rowOff>1058</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1058</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11</xdr:col>
      <xdr:colOff>228600</xdr:colOff>
      <xdr:row>91</xdr:row>
      <xdr:rowOff>171450</xdr:rowOff>
    </xdr:to>
    <xdr:sp macro="" textlink="">
      <xdr:nvSpPr>
        <xdr:cNvPr id="418833" name="Text Box 1041" hidden="1">
          <a:extLst>
            <a:ext uri="{FF2B5EF4-FFF2-40B4-BE49-F238E27FC236}">
              <a16:creationId xmlns:a16="http://schemas.microsoft.com/office/drawing/2014/main" id="{CF2A2C38-0025-3C8F-186D-37C62147DC86}"/>
            </a:ext>
          </a:extLst>
        </xdr:cNvPr>
        <xdr:cNvSpPr txBox="1">
          <a:spLocks noChangeArrowheads="1"/>
        </xdr:cNvSpPr>
      </xdr:nvSpPr>
      <xdr:spPr bwMode="auto">
        <a:xfrm>
          <a:off x="8985250" y="17646650"/>
          <a:ext cx="3968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14</xdr:col>
      <xdr:colOff>190500</xdr:colOff>
      <xdr:row>91</xdr:row>
      <xdr:rowOff>171450</xdr:rowOff>
    </xdr:to>
    <xdr:sp macro="" textlink="">
      <xdr:nvSpPr>
        <xdr:cNvPr id="418832" name="Text Box 1040" hidden="1">
          <a:extLst>
            <a:ext uri="{FF2B5EF4-FFF2-40B4-BE49-F238E27FC236}">
              <a16:creationId xmlns:a16="http://schemas.microsoft.com/office/drawing/2014/main" id="{CD5BCB99-8C4D-EF01-5951-967062F19F65}"/>
            </a:ext>
          </a:extLst>
        </xdr:cNvPr>
        <xdr:cNvSpPr txBox="1">
          <a:spLocks noChangeArrowheads="1"/>
        </xdr:cNvSpPr>
      </xdr:nvSpPr>
      <xdr:spPr bwMode="auto">
        <a:xfrm>
          <a:off x="11315700" y="17646650"/>
          <a:ext cx="388620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418831" name="Text Box 1039" hidden="1">
          <a:extLst>
            <a:ext uri="{FF2B5EF4-FFF2-40B4-BE49-F238E27FC236}">
              <a16:creationId xmlns:a16="http://schemas.microsoft.com/office/drawing/2014/main" id="{9E9ACEC7-BA5B-01B9-A538-C4C0030F50C0}"/>
            </a:ext>
          </a:extLst>
        </xdr:cNvPr>
        <xdr:cNvSpPr txBox="1">
          <a:spLocks noChangeArrowheads="1"/>
        </xdr:cNvSpPr>
      </xdr:nvSpPr>
      <xdr:spPr bwMode="auto">
        <a:xfrm>
          <a:off x="16497300" y="7569200"/>
          <a:ext cx="3619500" cy="486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418830" name="Text Box 1038" hidden="1">
          <a:extLst>
            <a:ext uri="{FF2B5EF4-FFF2-40B4-BE49-F238E27FC236}">
              <a16:creationId xmlns:a16="http://schemas.microsoft.com/office/drawing/2014/main" id="{1E4B013E-3123-38E8-CA4F-02284B78C4A7}"/>
            </a:ext>
          </a:extLst>
        </xdr:cNvPr>
        <xdr:cNvSpPr txBox="1">
          <a:spLocks noChangeArrowheads="1"/>
        </xdr:cNvSpPr>
      </xdr:nvSpPr>
      <xdr:spPr bwMode="auto">
        <a:xfrm>
          <a:off x="16497300" y="7175500"/>
          <a:ext cx="3619500" cy="4889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0</xdr:rowOff>
    </xdr:to>
    <xdr:sp macro="" textlink="">
      <xdr:nvSpPr>
        <xdr:cNvPr id="418829" name="Text Box 1037" hidden="1">
          <a:extLst>
            <a:ext uri="{FF2B5EF4-FFF2-40B4-BE49-F238E27FC236}">
              <a16:creationId xmlns:a16="http://schemas.microsoft.com/office/drawing/2014/main" id="{DA5AEFCC-337B-82A3-1D55-89E454398D40}"/>
            </a:ext>
          </a:extLst>
        </xdr:cNvPr>
        <xdr:cNvSpPr txBox="1">
          <a:spLocks noChangeArrowheads="1"/>
        </xdr:cNvSpPr>
      </xdr:nvSpPr>
      <xdr:spPr bwMode="auto">
        <a:xfrm>
          <a:off x="18135600" y="5353050"/>
          <a:ext cx="4343400" cy="563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0</xdr:colOff>
      <xdr:row>53</xdr:row>
      <xdr:rowOff>133350</xdr:rowOff>
    </xdr:to>
    <xdr:sp macro="" textlink="">
      <xdr:nvSpPr>
        <xdr:cNvPr id="418828" name="Text Box 1036" hidden="1">
          <a:extLst>
            <a:ext uri="{FF2B5EF4-FFF2-40B4-BE49-F238E27FC236}">
              <a16:creationId xmlns:a16="http://schemas.microsoft.com/office/drawing/2014/main" id="{97F45F63-FC45-C760-CBF1-6365F00AF615}"/>
            </a:ext>
          </a:extLst>
        </xdr:cNvPr>
        <xdr:cNvSpPr txBox="1">
          <a:spLocks noChangeArrowheads="1"/>
        </xdr:cNvSpPr>
      </xdr:nvSpPr>
      <xdr:spPr bwMode="auto">
        <a:xfrm>
          <a:off x="4229100" y="7569200"/>
          <a:ext cx="5372100" cy="465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101600</xdr:rowOff>
    </xdr:from>
    <xdr:to>
      <xdr:col>7</xdr:col>
      <xdr:colOff>0</xdr:colOff>
      <xdr:row>181</xdr:row>
      <xdr:rowOff>149225</xdr:rowOff>
    </xdr:to>
    <xdr:sp macro="" textlink="">
      <xdr:nvSpPr>
        <xdr:cNvPr id="418827" name="Text Box 1035" hidden="1">
          <a:extLst>
            <a:ext uri="{FF2B5EF4-FFF2-40B4-BE49-F238E27FC236}">
              <a16:creationId xmlns:a16="http://schemas.microsoft.com/office/drawing/2014/main" id="{722E659B-36E0-A3CC-AB8E-D0FFCB0E56F2}"/>
            </a:ext>
          </a:extLst>
        </xdr:cNvPr>
        <xdr:cNvSpPr txBox="1">
          <a:spLocks noChangeArrowheads="1"/>
        </xdr:cNvSpPr>
      </xdr:nvSpPr>
      <xdr:spPr bwMode="auto">
        <a:xfrm>
          <a:off x="4229100" y="37090350"/>
          <a:ext cx="537210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24</xdr:col>
      <xdr:colOff>647700</xdr:colOff>
      <xdr:row>88</xdr:row>
      <xdr:rowOff>0</xdr:rowOff>
    </xdr:to>
    <xdr:sp macro="" textlink="">
      <xdr:nvSpPr>
        <xdr:cNvPr id="418826" name="Text Box 1034" hidden="1">
          <a:extLst>
            <a:ext uri="{FF2B5EF4-FFF2-40B4-BE49-F238E27FC236}">
              <a16:creationId xmlns:a16="http://schemas.microsoft.com/office/drawing/2014/main" id="{3088F395-38D9-432F-F970-A520DFC2063B}"/>
            </a:ext>
          </a:extLst>
        </xdr:cNvPr>
        <xdr:cNvSpPr txBox="1">
          <a:spLocks noChangeArrowheads="1"/>
        </xdr:cNvSpPr>
      </xdr:nvSpPr>
      <xdr:spPr bwMode="auto">
        <a:xfrm>
          <a:off x="18935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28</xdr:col>
      <xdr:colOff>647700</xdr:colOff>
      <xdr:row>88</xdr:row>
      <xdr:rowOff>0</xdr:rowOff>
    </xdr:to>
    <xdr:sp macro="" textlink="">
      <xdr:nvSpPr>
        <xdr:cNvPr id="418825" name="Text Box 1033" hidden="1">
          <a:extLst>
            <a:ext uri="{FF2B5EF4-FFF2-40B4-BE49-F238E27FC236}">
              <a16:creationId xmlns:a16="http://schemas.microsoft.com/office/drawing/2014/main" id="{0FC4F0EE-23C0-887E-B00F-942F1D04242B}"/>
            </a:ext>
          </a:extLst>
        </xdr:cNvPr>
        <xdr:cNvSpPr txBox="1">
          <a:spLocks noChangeArrowheads="1"/>
        </xdr:cNvSpPr>
      </xdr:nvSpPr>
      <xdr:spPr bwMode="auto">
        <a:xfrm>
          <a:off x="21983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32</xdr:col>
      <xdr:colOff>647700</xdr:colOff>
      <xdr:row>88</xdr:row>
      <xdr:rowOff>0</xdr:rowOff>
    </xdr:to>
    <xdr:sp macro="" textlink="">
      <xdr:nvSpPr>
        <xdr:cNvPr id="418824" name="Text Box 1032" hidden="1">
          <a:extLst>
            <a:ext uri="{FF2B5EF4-FFF2-40B4-BE49-F238E27FC236}">
              <a16:creationId xmlns:a16="http://schemas.microsoft.com/office/drawing/2014/main" id="{C95437BC-ACE2-D6DB-7E24-7FB8CB577489}"/>
            </a:ext>
          </a:extLst>
        </xdr:cNvPr>
        <xdr:cNvSpPr txBox="1">
          <a:spLocks noChangeArrowheads="1"/>
        </xdr:cNvSpPr>
      </xdr:nvSpPr>
      <xdr:spPr bwMode="auto">
        <a:xfrm>
          <a:off x="25031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418823" name="Text Box 1031" hidden="1">
          <a:extLst>
            <a:ext uri="{FF2B5EF4-FFF2-40B4-BE49-F238E27FC236}">
              <a16:creationId xmlns:a16="http://schemas.microsoft.com/office/drawing/2014/main" id="{3AE564A0-962A-4139-67A9-69ABF8A33F57}"/>
            </a:ext>
          </a:extLst>
        </xdr:cNvPr>
        <xdr:cNvSpPr txBox="1">
          <a:spLocks noChangeArrowheads="1"/>
        </xdr:cNvSpPr>
      </xdr:nvSpPr>
      <xdr:spPr bwMode="auto">
        <a:xfrm>
          <a:off x="20497800" y="2032000"/>
          <a:ext cx="4381500" cy="600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418822" name="Text Box 1030" hidden="1">
          <a:extLst>
            <a:ext uri="{FF2B5EF4-FFF2-40B4-BE49-F238E27FC236}">
              <a16:creationId xmlns:a16="http://schemas.microsoft.com/office/drawing/2014/main" id="{A32D1DB1-602B-0D1A-E353-18ED6E56B729}"/>
            </a:ext>
          </a:extLst>
        </xdr:cNvPr>
        <xdr:cNvSpPr txBox="1">
          <a:spLocks noChangeArrowheads="1"/>
        </xdr:cNvSpPr>
      </xdr:nvSpPr>
      <xdr:spPr bwMode="auto">
        <a:xfrm>
          <a:off x="20459700" y="7175500"/>
          <a:ext cx="4305300" cy="4889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104775</xdr:colOff>
      <xdr:row>31</xdr:row>
      <xdr:rowOff>342900</xdr:rowOff>
    </xdr:from>
    <xdr:to>
      <xdr:col>28</xdr:col>
      <xdr:colOff>647700</xdr:colOff>
      <xdr:row>52</xdr:row>
      <xdr:rowOff>0</xdr:rowOff>
    </xdr:to>
    <xdr:sp macro="" textlink="">
      <xdr:nvSpPr>
        <xdr:cNvPr id="418821" name="Text Box 1029" hidden="1">
          <a:extLst>
            <a:ext uri="{FF2B5EF4-FFF2-40B4-BE49-F238E27FC236}">
              <a16:creationId xmlns:a16="http://schemas.microsoft.com/office/drawing/2014/main" id="{00C145FA-35E2-D958-DCAD-E00FC7BE7346}"/>
            </a:ext>
          </a:extLst>
        </xdr:cNvPr>
        <xdr:cNvSpPr txBox="1">
          <a:spLocks noChangeArrowheads="1"/>
        </xdr:cNvSpPr>
      </xdr:nvSpPr>
      <xdr:spPr bwMode="auto">
        <a:xfrm>
          <a:off x="21971000" y="6610350"/>
          <a:ext cx="4356100" cy="511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0</xdr:rowOff>
    </xdr:from>
    <xdr:to>
      <xdr:col>28</xdr:col>
      <xdr:colOff>57150</xdr:colOff>
      <xdr:row>66</xdr:row>
      <xdr:rowOff>0</xdr:rowOff>
    </xdr:to>
    <xdr:sp macro="" textlink="">
      <xdr:nvSpPr>
        <xdr:cNvPr id="418820" name="Text Box 1028" hidden="1">
          <a:extLst>
            <a:ext uri="{FF2B5EF4-FFF2-40B4-BE49-F238E27FC236}">
              <a16:creationId xmlns:a16="http://schemas.microsoft.com/office/drawing/2014/main" id="{8F524D5C-0EC9-C68B-62AB-AC7EB4DB7E79}"/>
            </a:ext>
          </a:extLst>
        </xdr:cNvPr>
        <xdr:cNvSpPr txBox="1">
          <a:spLocks noChangeArrowheads="1"/>
        </xdr:cNvSpPr>
      </xdr:nvSpPr>
      <xdr:spPr bwMode="auto">
        <a:xfrm>
          <a:off x="22002750" y="10617200"/>
          <a:ext cx="3733800" cy="541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418819" name="Text Box 1027" hidden="1">
          <a:extLst>
            <a:ext uri="{FF2B5EF4-FFF2-40B4-BE49-F238E27FC236}">
              <a16:creationId xmlns:a16="http://schemas.microsoft.com/office/drawing/2014/main" id="{FAACB9D8-7EB0-AD84-FFDE-C4BB7631AC7D}"/>
            </a:ext>
          </a:extLst>
        </xdr:cNvPr>
        <xdr:cNvSpPr txBox="1">
          <a:spLocks noChangeArrowheads="1"/>
        </xdr:cNvSpPr>
      </xdr:nvSpPr>
      <xdr:spPr bwMode="auto">
        <a:xfrm>
          <a:off x="29641800" y="3600450"/>
          <a:ext cx="3733800" cy="583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0</xdr:rowOff>
    </xdr:to>
    <xdr:sp macro="" textlink="">
      <xdr:nvSpPr>
        <xdr:cNvPr id="418818" name="Text Box 1026" hidden="1">
          <a:extLst>
            <a:ext uri="{FF2B5EF4-FFF2-40B4-BE49-F238E27FC236}">
              <a16:creationId xmlns:a16="http://schemas.microsoft.com/office/drawing/2014/main" id="{93753828-6442-069E-F96C-5E48E18992FF}"/>
            </a:ext>
          </a:extLst>
        </xdr:cNvPr>
        <xdr:cNvSpPr txBox="1">
          <a:spLocks noChangeArrowheads="1"/>
        </xdr:cNvSpPr>
      </xdr:nvSpPr>
      <xdr:spPr bwMode="auto">
        <a:xfrm>
          <a:off x="29641800" y="3848100"/>
          <a:ext cx="3733800" cy="582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104775</xdr:colOff>
      <xdr:row>63</xdr:row>
      <xdr:rowOff>133350</xdr:rowOff>
    </xdr:from>
    <xdr:to>
      <xdr:col>36</xdr:col>
      <xdr:colOff>676275</xdr:colOff>
      <xdr:row>83</xdr:row>
      <xdr:rowOff>133350</xdr:rowOff>
    </xdr:to>
    <xdr:sp macro="" textlink="">
      <xdr:nvSpPr>
        <xdr:cNvPr id="418817" name="Text Box 1025" hidden="1">
          <a:extLst>
            <a:ext uri="{FF2B5EF4-FFF2-40B4-BE49-F238E27FC236}">
              <a16:creationId xmlns:a16="http://schemas.microsoft.com/office/drawing/2014/main" id="{12C1A11C-6F57-1284-71DF-E88C7E21BE1D}"/>
            </a:ext>
          </a:extLst>
        </xdr:cNvPr>
        <xdr:cNvSpPr txBox="1">
          <a:spLocks noChangeArrowheads="1"/>
        </xdr:cNvSpPr>
      </xdr:nvSpPr>
      <xdr:spPr bwMode="auto">
        <a:xfrm>
          <a:off x="28067000" y="15119350"/>
          <a:ext cx="4381500" cy="588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11</xdr:col>
      <xdr:colOff>228600</xdr:colOff>
      <xdr:row>91</xdr:row>
      <xdr:rowOff>171450</xdr:rowOff>
    </xdr:to>
    <xdr:sp macro="" textlink="">
      <xdr:nvSpPr>
        <xdr:cNvPr id="374963" name="Text Box 179" hidden="1">
          <a:extLst>
            <a:ext uri="{FF2B5EF4-FFF2-40B4-BE49-F238E27FC236}">
              <a16:creationId xmlns:a16="http://schemas.microsoft.com/office/drawing/2014/main" id="{80A0520F-38CD-5747-154C-E1C80D584027}"/>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14</xdr:col>
      <xdr:colOff>190500</xdr:colOff>
      <xdr:row>91</xdr:row>
      <xdr:rowOff>171450</xdr:rowOff>
    </xdr:to>
    <xdr:sp macro="" textlink="">
      <xdr:nvSpPr>
        <xdr:cNvPr id="374962" name="Text Box 178" hidden="1">
          <a:extLst>
            <a:ext uri="{FF2B5EF4-FFF2-40B4-BE49-F238E27FC236}">
              <a16:creationId xmlns:a16="http://schemas.microsoft.com/office/drawing/2014/main" id="{9D00B07C-B464-9C1E-F3AA-D0093E519ECA}"/>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61" name="Text Box 177" hidden="1">
          <a:extLst>
            <a:ext uri="{FF2B5EF4-FFF2-40B4-BE49-F238E27FC236}">
              <a16:creationId xmlns:a16="http://schemas.microsoft.com/office/drawing/2014/main" id="{D83FF855-6350-F8BA-41C3-E6514BBDB929}"/>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60" name="Text Box 176" hidden="1">
          <a:extLst>
            <a:ext uri="{FF2B5EF4-FFF2-40B4-BE49-F238E27FC236}">
              <a16:creationId xmlns:a16="http://schemas.microsoft.com/office/drawing/2014/main" id="{053AFF49-0723-9572-FD43-CA9401BAC2F6}"/>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0</xdr:rowOff>
    </xdr:to>
    <xdr:sp macro="" textlink="">
      <xdr:nvSpPr>
        <xdr:cNvPr id="374959" name="Text Box 175" hidden="1">
          <a:extLst>
            <a:ext uri="{FF2B5EF4-FFF2-40B4-BE49-F238E27FC236}">
              <a16:creationId xmlns:a16="http://schemas.microsoft.com/office/drawing/2014/main" id="{11F430C1-40B8-41F1-355B-382D8968D34C}"/>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0</xdr:colOff>
      <xdr:row>53</xdr:row>
      <xdr:rowOff>133350</xdr:rowOff>
    </xdr:to>
    <xdr:sp macro="" textlink="">
      <xdr:nvSpPr>
        <xdr:cNvPr id="374958" name="Text Box 174" hidden="1">
          <a:extLst>
            <a:ext uri="{FF2B5EF4-FFF2-40B4-BE49-F238E27FC236}">
              <a16:creationId xmlns:a16="http://schemas.microsoft.com/office/drawing/2014/main" id="{C06BC14D-3803-EA0E-9516-508FD77A82F6}"/>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101600</xdr:rowOff>
    </xdr:from>
    <xdr:to>
      <xdr:col>7</xdr:col>
      <xdr:colOff>0</xdr:colOff>
      <xdr:row>181</xdr:row>
      <xdr:rowOff>149225</xdr:rowOff>
    </xdr:to>
    <xdr:sp macro="" textlink="">
      <xdr:nvSpPr>
        <xdr:cNvPr id="374957" name="Text Box 173" hidden="1">
          <a:extLst>
            <a:ext uri="{FF2B5EF4-FFF2-40B4-BE49-F238E27FC236}">
              <a16:creationId xmlns:a16="http://schemas.microsoft.com/office/drawing/2014/main" id="{691A170E-5220-F086-B247-7DD69DEF92A6}"/>
            </a:ext>
          </a:extLst>
        </xdr:cNvPr>
        <xdr:cNvSpPr txBox="1">
          <a:spLocks noChangeArrowheads="1"/>
        </xdr:cNvSpPr>
      </xdr:nvSpPr>
      <xdr:spPr bwMode="auto">
        <a:xfrm>
          <a:off x="4229100" y="37090350"/>
          <a:ext cx="537210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24</xdr:col>
      <xdr:colOff>647700</xdr:colOff>
      <xdr:row>88</xdr:row>
      <xdr:rowOff>0</xdr:rowOff>
    </xdr:to>
    <xdr:sp macro="" textlink="">
      <xdr:nvSpPr>
        <xdr:cNvPr id="374956" name="Text Box 172" hidden="1">
          <a:extLst>
            <a:ext uri="{FF2B5EF4-FFF2-40B4-BE49-F238E27FC236}">
              <a16:creationId xmlns:a16="http://schemas.microsoft.com/office/drawing/2014/main" id="{28A860B0-B1BB-4AA4-B24B-2A433831F66B}"/>
            </a:ext>
          </a:extLst>
        </xdr:cNvPr>
        <xdr:cNvSpPr txBox="1">
          <a:spLocks noChangeArrowheads="1"/>
        </xdr:cNvSpPr>
      </xdr:nvSpPr>
      <xdr:spPr bwMode="auto">
        <a:xfrm>
          <a:off x="18935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28</xdr:col>
      <xdr:colOff>647700</xdr:colOff>
      <xdr:row>88</xdr:row>
      <xdr:rowOff>0</xdr:rowOff>
    </xdr:to>
    <xdr:sp macro="" textlink="">
      <xdr:nvSpPr>
        <xdr:cNvPr id="374955" name="Text Box 171" hidden="1">
          <a:extLst>
            <a:ext uri="{FF2B5EF4-FFF2-40B4-BE49-F238E27FC236}">
              <a16:creationId xmlns:a16="http://schemas.microsoft.com/office/drawing/2014/main" id="{A04461F3-D417-A665-7858-8137F657439B}"/>
            </a:ext>
          </a:extLst>
        </xdr:cNvPr>
        <xdr:cNvSpPr txBox="1">
          <a:spLocks noChangeArrowheads="1"/>
        </xdr:cNvSpPr>
      </xdr:nvSpPr>
      <xdr:spPr bwMode="auto">
        <a:xfrm>
          <a:off x="21983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32</xdr:col>
      <xdr:colOff>647700</xdr:colOff>
      <xdr:row>88</xdr:row>
      <xdr:rowOff>0</xdr:rowOff>
    </xdr:to>
    <xdr:sp macro="" textlink="">
      <xdr:nvSpPr>
        <xdr:cNvPr id="374954" name="Text Box 170" hidden="1">
          <a:extLst>
            <a:ext uri="{FF2B5EF4-FFF2-40B4-BE49-F238E27FC236}">
              <a16:creationId xmlns:a16="http://schemas.microsoft.com/office/drawing/2014/main" id="{13254D05-4AC1-98BA-3A87-3906C346CD9E}"/>
            </a:ext>
          </a:extLst>
        </xdr:cNvPr>
        <xdr:cNvSpPr txBox="1">
          <a:spLocks noChangeArrowheads="1"/>
        </xdr:cNvSpPr>
      </xdr:nvSpPr>
      <xdr:spPr bwMode="auto">
        <a:xfrm>
          <a:off x="25031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53" name="Text Box 169" hidden="1">
          <a:extLst>
            <a:ext uri="{FF2B5EF4-FFF2-40B4-BE49-F238E27FC236}">
              <a16:creationId xmlns:a16="http://schemas.microsoft.com/office/drawing/2014/main" id="{2A18D3E5-F799-C629-A0E5-7B62AF5A9100}"/>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52" name="Text Box 168" hidden="1">
          <a:extLst>
            <a:ext uri="{FF2B5EF4-FFF2-40B4-BE49-F238E27FC236}">
              <a16:creationId xmlns:a16="http://schemas.microsoft.com/office/drawing/2014/main" id="{508F549C-8B37-58AB-A23E-B47294F59944}"/>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104775</xdr:colOff>
      <xdr:row>31</xdr:row>
      <xdr:rowOff>342900</xdr:rowOff>
    </xdr:from>
    <xdr:to>
      <xdr:col>28</xdr:col>
      <xdr:colOff>647700</xdr:colOff>
      <xdr:row>52</xdr:row>
      <xdr:rowOff>0</xdr:rowOff>
    </xdr:to>
    <xdr:sp macro="" textlink="">
      <xdr:nvSpPr>
        <xdr:cNvPr id="374951" name="Text Box 167" hidden="1">
          <a:extLst>
            <a:ext uri="{FF2B5EF4-FFF2-40B4-BE49-F238E27FC236}">
              <a16:creationId xmlns:a16="http://schemas.microsoft.com/office/drawing/2014/main" id="{D6BC26FE-38EE-C613-6752-5ADA8EEA7196}"/>
            </a:ext>
          </a:extLst>
        </xdr:cNvPr>
        <xdr:cNvSpPr txBox="1">
          <a:spLocks noChangeArrowheads="1"/>
        </xdr:cNvSpPr>
      </xdr:nvSpPr>
      <xdr:spPr bwMode="auto">
        <a:xfrm>
          <a:off x="21971000" y="6610350"/>
          <a:ext cx="435610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0</xdr:rowOff>
    </xdr:from>
    <xdr:to>
      <xdr:col>28</xdr:col>
      <xdr:colOff>57150</xdr:colOff>
      <xdr:row>66</xdr:row>
      <xdr:rowOff>0</xdr:rowOff>
    </xdr:to>
    <xdr:sp macro="" textlink="">
      <xdr:nvSpPr>
        <xdr:cNvPr id="374950" name="Text Box 166" hidden="1">
          <a:extLst>
            <a:ext uri="{FF2B5EF4-FFF2-40B4-BE49-F238E27FC236}">
              <a16:creationId xmlns:a16="http://schemas.microsoft.com/office/drawing/2014/main" id="{FBF84AF9-AC8C-615E-A973-AF0E1141451A}"/>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49" name="Text Box 165" hidden="1">
          <a:extLst>
            <a:ext uri="{FF2B5EF4-FFF2-40B4-BE49-F238E27FC236}">
              <a16:creationId xmlns:a16="http://schemas.microsoft.com/office/drawing/2014/main" id="{AB091777-8D81-BA42-D488-5426E30D447B}"/>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0</xdr:rowOff>
    </xdr:to>
    <xdr:sp macro="" textlink="">
      <xdr:nvSpPr>
        <xdr:cNvPr id="374948" name="Text Box 164" hidden="1">
          <a:extLst>
            <a:ext uri="{FF2B5EF4-FFF2-40B4-BE49-F238E27FC236}">
              <a16:creationId xmlns:a16="http://schemas.microsoft.com/office/drawing/2014/main" id="{84A8F4B4-266A-1B5D-8E47-DC14AE5AADF1}"/>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104775</xdr:colOff>
      <xdr:row>63</xdr:row>
      <xdr:rowOff>133350</xdr:rowOff>
    </xdr:from>
    <xdr:to>
      <xdr:col>36</xdr:col>
      <xdr:colOff>676275</xdr:colOff>
      <xdr:row>83</xdr:row>
      <xdr:rowOff>133350</xdr:rowOff>
    </xdr:to>
    <xdr:sp macro="" textlink="">
      <xdr:nvSpPr>
        <xdr:cNvPr id="374947" name="Text Box 163" hidden="1">
          <a:extLst>
            <a:ext uri="{FF2B5EF4-FFF2-40B4-BE49-F238E27FC236}">
              <a16:creationId xmlns:a16="http://schemas.microsoft.com/office/drawing/2014/main" id="{46B860AA-A022-62F3-C150-B68A3104891A}"/>
            </a:ext>
          </a:extLst>
        </xdr:cNvPr>
        <xdr:cNvSpPr txBox="1">
          <a:spLocks noChangeArrowheads="1"/>
        </xdr:cNvSpPr>
      </xdr:nvSpPr>
      <xdr:spPr bwMode="auto">
        <a:xfrm>
          <a:off x="2806700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419862" name="Text Box 1046" hidden="1">
          <a:extLst>
            <a:ext uri="{FF2B5EF4-FFF2-40B4-BE49-F238E27FC236}">
              <a16:creationId xmlns:a16="http://schemas.microsoft.com/office/drawing/2014/main" id="{6D132095-999E-1283-42E2-6279CAE2EC2A}"/>
            </a:ext>
          </a:extLst>
        </xdr:cNvPr>
        <xdr:cNvSpPr txBox="1">
          <a:spLocks noChangeArrowheads="1"/>
        </xdr:cNvSpPr>
      </xdr:nvSpPr>
      <xdr:spPr bwMode="auto">
        <a:xfrm>
          <a:off x="21120100" y="1079500"/>
          <a:ext cx="5035550" cy="4718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419861" name="Text Box 1045" hidden="1">
          <a:extLst>
            <a:ext uri="{FF2B5EF4-FFF2-40B4-BE49-F238E27FC236}">
              <a16:creationId xmlns:a16="http://schemas.microsoft.com/office/drawing/2014/main" id="{F828C53A-7DD4-D28B-BC40-44A77B89B52C}"/>
            </a:ext>
          </a:extLst>
        </xdr:cNvPr>
        <xdr:cNvSpPr txBox="1">
          <a:spLocks noChangeArrowheads="1"/>
        </xdr:cNvSpPr>
      </xdr:nvSpPr>
      <xdr:spPr bwMode="auto">
        <a:xfrm>
          <a:off x="19608800" y="5530850"/>
          <a:ext cx="4102100" cy="591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419860" name="Text Box 1044" hidden="1">
          <a:extLst>
            <a:ext uri="{FF2B5EF4-FFF2-40B4-BE49-F238E27FC236}">
              <a16:creationId xmlns:a16="http://schemas.microsoft.com/office/drawing/2014/main" id="{319AB0CB-6828-D38F-3873-B1ECBA2DBACA}"/>
            </a:ext>
          </a:extLst>
        </xdr:cNvPr>
        <xdr:cNvSpPr txBox="1">
          <a:spLocks noChangeArrowheads="1"/>
        </xdr:cNvSpPr>
      </xdr:nvSpPr>
      <xdr:spPr bwMode="auto">
        <a:xfrm>
          <a:off x="21875750" y="7004050"/>
          <a:ext cx="50355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419859" name="Text Box 1043" hidden="1">
          <a:extLst>
            <a:ext uri="{FF2B5EF4-FFF2-40B4-BE49-F238E27FC236}">
              <a16:creationId xmlns:a16="http://schemas.microsoft.com/office/drawing/2014/main" id="{883D3A52-A6E9-CED1-F27F-37C6D2AB4ACE}"/>
            </a:ext>
          </a:extLst>
        </xdr:cNvPr>
        <xdr:cNvSpPr txBox="1">
          <a:spLocks noChangeArrowheads="1"/>
        </xdr:cNvSpPr>
      </xdr:nvSpPr>
      <xdr:spPr bwMode="auto">
        <a:xfrm>
          <a:off x="18853150" y="700405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419858" name="Text Box 1042" hidden="1">
          <a:extLst>
            <a:ext uri="{FF2B5EF4-FFF2-40B4-BE49-F238E27FC236}">
              <a16:creationId xmlns:a16="http://schemas.microsoft.com/office/drawing/2014/main" id="{51684DA8-9B05-8AC9-A68E-FAE776579BB1}"/>
            </a:ext>
          </a:extLst>
        </xdr:cNvPr>
        <xdr:cNvSpPr txBox="1">
          <a:spLocks noChangeArrowheads="1"/>
        </xdr:cNvSpPr>
      </xdr:nvSpPr>
      <xdr:spPr bwMode="auto">
        <a:xfrm>
          <a:off x="20364450" y="700405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419857" name="Text Box 1041" hidden="1">
          <a:extLst>
            <a:ext uri="{FF2B5EF4-FFF2-40B4-BE49-F238E27FC236}">
              <a16:creationId xmlns:a16="http://schemas.microsoft.com/office/drawing/2014/main" id="{3D9F5B9C-2544-9860-CF96-9E93477AA382}"/>
            </a:ext>
          </a:extLst>
        </xdr:cNvPr>
        <xdr:cNvSpPr txBox="1">
          <a:spLocks noChangeArrowheads="1"/>
        </xdr:cNvSpPr>
      </xdr:nvSpPr>
      <xdr:spPr bwMode="auto">
        <a:xfrm>
          <a:off x="18853150" y="7708900"/>
          <a:ext cx="4102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419856" name="Text Box 1040" hidden="1">
          <a:extLst>
            <a:ext uri="{FF2B5EF4-FFF2-40B4-BE49-F238E27FC236}">
              <a16:creationId xmlns:a16="http://schemas.microsoft.com/office/drawing/2014/main" id="{6F5EF628-3383-2B14-C7C7-346ACCACD9BD}"/>
            </a:ext>
          </a:extLst>
        </xdr:cNvPr>
        <xdr:cNvSpPr txBox="1">
          <a:spLocks noChangeArrowheads="1"/>
        </xdr:cNvSpPr>
      </xdr:nvSpPr>
      <xdr:spPr bwMode="auto">
        <a:xfrm>
          <a:off x="5829300" y="9855200"/>
          <a:ext cx="4616450" cy="418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419855" name="Text Box 1039" hidden="1">
          <a:extLst>
            <a:ext uri="{FF2B5EF4-FFF2-40B4-BE49-F238E27FC236}">
              <a16:creationId xmlns:a16="http://schemas.microsoft.com/office/drawing/2014/main" id="{19F6E970-F4F3-1984-08E5-A1D7753812BF}"/>
            </a:ext>
          </a:extLst>
        </xdr:cNvPr>
        <xdr:cNvSpPr txBox="1">
          <a:spLocks noChangeArrowheads="1"/>
        </xdr:cNvSpPr>
      </xdr:nvSpPr>
      <xdr:spPr bwMode="auto">
        <a:xfrm>
          <a:off x="5829300" y="14693900"/>
          <a:ext cx="4616450" cy="415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419854" name="Text Box 1038" hidden="1">
          <a:extLst>
            <a:ext uri="{FF2B5EF4-FFF2-40B4-BE49-F238E27FC236}">
              <a16:creationId xmlns:a16="http://schemas.microsoft.com/office/drawing/2014/main" id="{3FEA96D0-6940-B5D5-45B9-A463A0C6EE87}"/>
            </a:ext>
          </a:extLst>
        </xdr:cNvPr>
        <xdr:cNvSpPr txBox="1">
          <a:spLocks noChangeArrowheads="1"/>
        </xdr:cNvSpPr>
      </xdr:nvSpPr>
      <xdr:spPr bwMode="auto">
        <a:xfrm>
          <a:off x="21875750" y="18148300"/>
          <a:ext cx="5035550" cy="570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419853" name="Text Box 1037" hidden="1">
          <a:extLst>
            <a:ext uri="{FF2B5EF4-FFF2-40B4-BE49-F238E27FC236}">
              <a16:creationId xmlns:a16="http://schemas.microsoft.com/office/drawing/2014/main" id="{A9E0AD97-F157-EDC0-9391-E80EE571D9B8}"/>
            </a:ext>
          </a:extLst>
        </xdr:cNvPr>
        <xdr:cNvSpPr txBox="1">
          <a:spLocks noChangeArrowheads="1"/>
        </xdr:cNvSpPr>
      </xdr:nvSpPr>
      <xdr:spPr bwMode="auto">
        <a:xfrm>
          <a:off x="12039600" y="23444200"/>
          <a:ext cx="41211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419852" name="Text Box 1036" hidden="1">
          <a:extLst>
            <a:ext uri="{FF2B5EF4-FFF2-40B4-BE49-F238E27FC236}">
              <a16:creationId xmlns:a16="http://schemas.microsoft.com/office/drawing/2014/main" id="{157033B7-F94F-6F32-B8D7-0FCB9C46BB1C}"/>
            </a:ext>
          </a:extLst>
        </xdr:cNvPr>
        <xdr:cNvSpPr txBox="1">
          <a:spLocks noChangeArrowheads="1"/>
        </xdr:cNvSpPr>
      </xdr:nvSpPr>
      <xdr:spPr bwMode="auto">
        <a:xfrm>
          <a:off x="14306550" y="23444200"/>
          <a:ext cx="50355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419851" name="Text Box 1035" hidden="1">
          <a:extLst>
            <a:ext uri="{FF2B5EF4-FFF2-40B4-BE49-F238E27FC236}">
              <a16:creationId xmlns:a16="http://schemas.microsoft.com/office/drawing/2014/main" id="{64C4CC3B-1540-6726-32DC-64090251A3FA}"/>
            </a:ext>
          </a:extLst>
        </xdr:cNvPr>
        <xdr:cNvSpPr txBox="1">
          <a:spLocks noChangeArrowheads="1"/>
        </xdr:cNvSpPr>
      </xdr:nvSpPr>
      <xdr:spPr bwMode="auto">
        <a:xfrm>
          <a:off x="20364450" y="2344420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419850" name="Text Box 1034" hidden="1">
          <a:extLst>
            <a:ext uri="{FF2B5EF4-FFF2-40B4-BE49-F238E27FC236}">
              <a16:creationId xmlns:a16="http://schemas.microsoft.com/office/drawing/2014/main" id="{E3D36EF8-5CE8-11DC-B2FE-CFAF465A8D6E}"/>
            </a:ext>
          </a:extLst>
        </xdr:cNvPr>
        <xdr:cNvSpPr txBox="1">
          <a:spLocks noChangeArrowheads="1"/>
        </xdr:cNvSpPr>
      </xdr:nvSpPr>
      <xdr:spPr bwMode="auto">
        <a:xfrm>
          <a:off x="23374350" y="23444200"/>
          <a:ext cx="41211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419849" name="Text Box 1033" hidden="1">
          <a:extLst>
            <a:ext uri="{FF2B5EF4-FFF2-40B4-BE49-F238E27FC236}">
              <a16:creationId xmlns:a16="http://schemas.microsoft.com/office/drawing/2014/main" id="{2F94A7FE-3E58-375F-0D93-AD95F51638D4}"/>
            </a:ext>
          </a:extLst>
        </xdr:cNvPr>
        <xdr:cNvSpPr txBox="1">
          <a:spLocks noChangeArrowheads="1"/>
        </xdr:cNvSpPr>
      </xdr:nvSpPr>
      <xdr:spPr bwMode="auto">
        <a:xfrm>
          <a:off x="26396950" y="23444200"/>
          <a:ext cx="48704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419848" name="Text Box 1032" hidden="1">
          <a:extLst>
            <a:ext uri="{FF2B5EF4-FFF2-40B4-BE49-F238E27FC236}">
              <a16:creationId xmlns:a16="http://schemas.microsoft.com/office/drawing/2014/main" id="{BC5EB5B6-E9A0-AD72-AB23-CD07785F269F}"/>
            </a:ext>
          </a:extLst>
        </xdr:cNvPr>
        <xdr:cNvSpPr txBox="1">
          <a:spLocks noChangeArrowheads="1"/>
        </xdr:cNvSpPr>
      </xdr:nvSpPr>
      <xdr:spPr bwMode="auto">
        <a:xfrm>
          <a:off x="20364450" y="26777950"/>
          <a:ext cx="410210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419847" name="Text Box 1031" hidden="1">
          <a:extLst>
            <a:ext uri="{FF2B5EF4-FFF2-40B4-BE49-F238E27FC236}">
              <a16:creationId xmlns:a16="http://schemas.microsoft.com/office/drawing/2014/main" id="{2502A306-200D-7D52-A538-39FDDB7E7C9D}"/>
            </a:ext>
          </a:extLst>
        </xdr:cNvPr>
        <xdr:cNvSpPr txBox="1">
          <a:spLocks noChangeArrowheads="1"/>
        </xdr:cNvSpPr>
      </xdr:nvSpPr>
      <xdr:spPr bwMode="auto">
        <a:xfrm>
          <a:off x="23374350" y="26777950"/>
          <a:ext cx="412115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419846" name="Text Box 1030" hidden="1">
          <a:extLst>
            <a:ext uri="{FF2B5EF4-FFF2-40B4-BE49-F238E27FC236}">
              <a16:creationId xmlns:a16="http://schemas.microsoft.com/office/drawing/2014/main" id="{50995564-1A3C-C4E4-2BFF-6CEDB17D6E90}"/>
            </a:ext>
          </a:extLst>
        </xdr:cNvPr>
        <xdr:cNvSpPr txBox="1">
          <a:spLocks noChangeArrowheads="1"/>
        </xdr:cNvSpPr>
      </xdr:nvSpPr>
      <xdr:spPr bwMode="auto">
        <a:xfrm>
          <a:off x="26396950" y="26777950"/>
          <a:ext cx="487045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419845" name="Text Box 1029" hidden="1">
          <a:extLst>
            <a:ext uri="{FF2B5EF4-FFF2-40B4-BE49-F238E27FC236}">
              <a16:creationId xmlns:a16="http://schemas.microsoft.com/office/drawing/2014/main" id="{DFB0C9E3-E008-71C7-0AEF-86BB75D5153B}"/>
            </a:ext>
          </a:extLst>
        </xdr:cNvPr>
        <xdr:cNvSpPr txBox="1">
          <a:spLocks noChangeArrowheads="1"/>
        </xdr:cNvSpPr>
      </xdr:nvSpPr>
      <xdr:spPr bwMode="auto">
        <a:xfrm>
          <a:off x="5829300" y="31851600"/>
          <a:ext cx="4616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419844" name="Text Box 1028" hidden="1">
          <a:extLst>
            <a:ext uri="{FF2B5EF4-FFF2-40B4-BE49-F238E27FC236}">
              <a16:creationId xmlns:a16="http://schemas.microsoft.com/office/drawing/2014/main" id="{AC975841-CBE5-B116-C117-9DDB0E489CA2}"/>
            </a:ext>
          </a:extLst>
        </xdr:cNvPr>
        <xdr:cNvSpPr txBox="1">
          <a:spLocks noChangeArrowheads="1"/>
        </xdr:cNvSpPr>
      </xdr:nvSpPr>
      <xdr:spPr bwMode="auto">
        <a:xfrm>
          <a:off x="21120100" y="3911600"/>
          <a:ext cx="5035550" cy="645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419843" name="Text Box 1027" hidden="1">
          <a:extLst>
            <a:ext uri="{FF2B5EF4-FFF2-40B4-BE49-F238E27FC236}">
              <a16:creationId xmlns:a16="http://schemas.microsoft.com/office/drawing/2014/main" id="{C9C3C31F-D4AA-FF4F-CA63-F4652824C796}"/>
            </a:ext>
          </a:extLst>
        </xdr:cNvPr>
        <xdr:cNvSpPr txBox="1">
          <a:spLocks noChangeArrowheads="1"/>
        </xdr:cNvSpPr>
      </xdr:nvSpPr>
      <xdr:spPr bwMode="auto">
        <a:xfrm>
          <a:off x="18853150" y="1289050"/>
          <a:ext cx="4102100" cy="477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419842" name="Text Box 1026" hidden="1">
          <a:extLst>
            <a:ext uri="{FF2B5EF4-FFF2-40B4-BE49-F238E27FC236}">
              <a16:creationId xmlns:a16="http://schemas.microsoft.com/office/drawing/2014/main" id="{9EF73C62-B02B-A521-5566-21CF1451D3FE}"/>
            </a:ext>
          </a:extLst>
        </xdr:cNvPr>
        <xdr:cNvSpPr txBox="1">
          <a:spLocks noChangeArrowheads="1"/>
        </xdr:cNvSpPr>
      </xdr:nvSpPr>
      <xdr:spPr bwMode="auto">
        <a:xfrm>
          <a:off x="20364450" y="1289050"/>
          <a:ext cx="4102100" cy="477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419841" name="Text Box 1025" hidden="1">
          <a:extLst>
            <a:ext uri="{FF2B5EF4-FFF2-40B4-BE49-F238E27FC236}">
              <a16:creationId xmlns:a16="http://schemas.microsoft.com/office/drawing/2014/main" id="{194AF90A-3DE2-DCA6-619F-1A30F56A01AC}"/>
            </a:ext>
          </a:extLst>
        </xdr:cNvPr>
        <xdr:cNvSpPr txBox="1">
          <a:spLocks noChangeArrowheads="1"/>
        </xdr:cNvSpPr>
      </xdr:nvSpPr>
      <xdr:spPr bwMode="auto">
        <a:xfrm>
          <a:off x="21875750" y="3746500"/>
          <a:ext cx="5035550" cy="614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6006" name="Text Box 198" hidden="1">
          <a:extLst>
            <a:ext uri="{FF2B5EF4-FFF2-40B4-BE49-F238E27FC236}">
              <a16:creationId xmlns:a16="http://schemas.microsoft.com/office/drawing/2014/main" id="{7C0D2343-D7AD-5313-ACB6-4682FE4EDAEC}"/>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6005" name="Text Box 197" hidden="1">
          <a:extLst>
            <a:ext uri="{FF2B5EF4-FFF2-40B4-BE49-F238E27FC236}">
              <a16:creationId xmlns:a16="http://schemas.microsoft.com/office/drawing/2014/main" id="{F1531FC6-BF3C-FBC1-A828-CBCA40519983}"/>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6004" name="Text Box 196" hidden="1">
          <a:extLst>
            <a:ext uri="{FF2B5EF4-FFF2-40B4-BE49-F238E27FC236}">
              <a16:creationId xmlns:a16="http://schemas.microsoft.com/office/drawing/2014/main" id="{10650F85-7FEE-DC55-1917-D21A87BE7495}"/>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6003" name="Text Box 195" hidden="1">
          <a:extLst>
            <a:ext uri="{FF2B5EF4-FFF2-40B4-BE49-F238E27FC236}">
              <a16:creationId xmlns:a16="http://schemas.microsoft.com/office/drawing/2014/main" id="{D71CE07B-652A-5A19-5ADC-E1FBDEA17C98}"/>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6002" name="Text Box 194" hidden="1">
          <a:extLst>
            <a:ext uri="{FF2B5EF4-FFF2-40B4-BE49-F238E27FC236}">
              <a16:creationId xmlns:a16="http://schemas.microsoft.com/office/drawing/2014/main" id="{96D27797-0D6A-1708-F517-03CF83DBA3CD}"/>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6001" name="Text Box 193" hidden="1">
          <a:extLst>
            <a:ext uri="{FF2B5EF4-FFF2-40B4-BE49-F238E27FC236}">
              <a16:creationId xmlns:a16="http://schemas.microsoft.com/office/drawing/2014/main" id="{5D6EFA2E-2466-7B9C-0269-FB532B43F5D7}"/>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6000" name="Text Box 192" hidden="1">
          <a:extLst>
            <a:ext uri="{FF2B5EF4-FFF2-40B4-BE49-F238E27FC236}">
              <a16:creationId xmlns:a16="http://schemas.microsoft.com/office/drawing/2014/main" id="{2EA0EF00-264B-C5C4-805E-1323081F035A}"/>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99" name="Text Box 191" hidden="1">
          <a:extLst>
            <a:ext uri="{FF2B5EF4-FFF2-40B4-BE49-F238E27FC236}">
              <a16:creationId xmlns:a16="http://schemas.microsoft.com/office/drawing/2014/main" id="{1B4B5E5D-01EC-8A56-3BE7-5EBB45CB2991}"/>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98" name="Text Box 190" hidden="1">
          <a:extLst>
            <a:ext uri="{FF2B5EF4-FFF2-40B4-BE49-F238E27FC236}">
              <a16:creationId xmlns:a16="http://schemas.microsoft.com/office/drawing/2014/main" id="{4EF0C213-A077-D02F-B399-24CD7BC81536}"/>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97" name="Text Box 189" hidden="1">
          <a:extLst>
            <a:ext uri="{FF2B5EF4-FFF2-40B4-BE49-F238E27FC236}">
              <a16:creationId xmlns:a16="http://schemas.microsoft.com/office/drawing/2014/main" id="{C90ED2A5-F34A-39DA-06CE-5A57AB3FBB0A}"/>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96" name="Text Box 188" hidden="1">
          <a:extLst>
            <a:ext uri="{FF2B5EF4-FFF2-40B4-BE49-F238E27FC236}">
              <a16:creationId xmlns:a16="http://schemas.microsoft.com/office/drawing/2014/main" id="{047F2FFF-436B-C1EF-8FE0-9759B17ACBEA}"/>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95" name="Text Box 187" hidden="1">
          <a:extLst>
            <a:ext uri="{FF2B5EF4-FFF2-40B4-BE49-F238E27FC236}">
              <a16:creationId xmlns:a16="http://schemas.microsoft.com/office/drawing/2014/main" id="{B44DB17F-1C36-014C-9234-19E79246ECE2}"/>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94" name="Text Box 186" hidden="1">
          <a:extLst>
            <a:ext uri="{FF2B5EF4-FFF2-40B4-BE49-F238E27FC236}">
              <a16:creationId xmlns:a16="http://schemas.microsoft.com/office/drawing/2014/main" id="{11D39A68-B02D-E417-A536-5B217D9E1928}"/>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93" name="Text Box 185" hidden="1">
          <a:extLst>
            <a:ext uri="{FF2B5EF4-FFF2-40B4-BE49-F238E27FC236}">
              <a16:creationId xmlns:a16="http://schemas.microsoft.com/office/drawing/2014/main" id="{DBF87D11-A99E-35FF-9612-AC56829CF6B5}"/>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92" name="Text Box 184" hidden="1">
          <a:extLst>
            <a:ext uri="{FF2B5EF4-FFF2-40B4-BE49-F238E27FC236}">
              <a16:creationId xmlns:a16="http://schemas.microsoft.com/office/drawing/2014/main" id="{CADA3954-2FE8-C127-A094-5D0249C1AA18}"/>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91" name="Text Box 183" hidden="1">
          <a:extLst>
            <a:ext uri="{FF2B5EF4-FFF2-40B4-BE49-F238E27FC236}">
              <a16:creationId xmlns:a16="http://schemas.microsoft.com/office/drawing/2014/main" id="{46B13CBF-B4C0-D054-C8C0-B6434C73C3DF}"/>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90" name="Text Box 182" hidden="1">
          <a:extLst>
            <a:ext uri="{FF2B5EF4-FFF2-40B4-BE49-F238E27FC236}">
              <a16:creationId xmlns:a16="http://schemas.microsoft.com/office/drawing/2014/main" id="{3C5244D1-2438-C4AB-A4FE-389F2AA1F28F}"/>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89" name="Text Box 181" hidden="1">
          <a:extLst>
            <a:ext uri="{FF2B5EF4-FFF2-40B4-BE49-F238E27FC236}">
              <a16:creationId xmlns:a16="http://schemas.microsoft.com/office/drawing/2014/main" id="{D6C53E87-26D5-0A1C-3695-9696C0065A46}"/>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88" name="Text Box 180" hidden="1">
          <a:extLst>
            <a:ext uri="{FF2B5EF4-FFF2-40B4-BE49-F238E27FC236}">
              <a16:creationId xmlns:a16="http://schemas.microsoft.com/office/drawing/2014/main" id="{307EF071-82EE-C2AD-7964-7F79DB5ADB25}"/>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87" name="Text Box 179" hidden="1">
          <a:extLst>
            <a:ext uri="{FF2B5EF4-FFF2-40B4-BE49-F238E27FC236}">
              <a16:creationId xmlns:a16="http://schemas.microsoft.com/office/drawing/2014/main" id="{E078C877-54F4-6F97-F5BF-69B707EE87CD}"/>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86" name="Text Box 178" hidden="1">
          <a:extLst>
            <a:ext uri="{FF2B5EF4-FFF2-40B4-BE49-F238E27FC236}">
              <a16:creationId xmlns:a16="http://schemas.microsoft.com/office/drawing/2014/main" id="{0068FC3A-BBB2-E628-1F6B-CC9E65D798E7}"/>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85" name="Text Box 177" hidden="1">
          <a:extLst>
            <a:ext uri="{FF2B5EF4-FFF2-40B4-BE49-F238E27FC236}">
              <a16:creationId xmlns:a16="http://schemas.microsoft.com/office/drawing/2014/main" id="{DDD75188-D2A0-03A2-148B-97C249D0E863}"/>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3</xdr:col>
      <xdr:colOff>2781300</xdr:colOff>
      <xdr:row>72</xdr:row>
      <xdr:rowOff>69021</xdr:rowOff>
    </xdr:from>
    <xdr:to>
      <xdr:col>5</xdr:col>
      <xdr:colOff>190500</xdr:colOff>
      <xdr:row>78</xdr:row>
      <xdr:rowOff>122272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73</xdr:row>
      <xdr:rowOff>153391</xdr:rowOff>
    </xdr:from>
    <xdr:to>
      <xdr:col>5</xdr:col>
      <xdr:colOff>190500</xdr:colOff>
      <xdr:row>78</xdr:row>
      <xdr:rowOff>314948</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45103</xdr:rowOff>
    </xdr:from>
    <xdr:to>
      <xdr:col>5</xdr:col>
      <xdr:colOff>190500</xdr:colOff>
      <xdr:row>79</xdr:row>
      <xdr:rowOff>65113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64323</xdr:rowOff>
    </xdr:from>
    <xdr:to>
      <xdr:col>5</xdr:col>
      <xdr:colOff>190500</xdr:colOff>
      <xdr:row>81</xdr:row>
      <xdr:rowOff>8689</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99</xdr:row>
      <xdr:rowOff>153339</xdr:rowOff>
    </xdr:from>
    <xdr:to>
      <xdr:col>5</xdr:col>
      <xdr:colOff>190500</xdr:colOff>
      <xdr:row>127</xdr:row>
      <xdr:rowOff>27480</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100</xdr:row>
      <xdr:rowOff>64449</xdr:rowOff>
    </xdr:from>
    <xdr:to>
      <xdr:col>5</xdr:col>
      <xdr:colOff>190500</xdr:colOff>
      <xdr:row>111</xdr:row>
      <xdr:rowOff>76491</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67750</xdr:rowOff>
    </xdr:from>
    <xdr:to>
      <xdr:col>5</xdr:col>
      <xdr:colOff>190500</xdr:colOff>
      <xdr:row>72</xdr:row>
      <xdr:rowOff>88132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67750</xdr:rowOff>
    </xdr:from>
    <xdr:to>
      <xdr:col>5</xdr:col>
      <xdr:colOff>190500</xdr:colOff>
      <xdr:row>68</xdr:row>
      <xdr:rowOff>106807</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67750</xdr:rowOff>
    </xdr:from>
    <xdr:to>
      <xdr:col>5</xdr:col>
      <xdr:colOff>190500</xdr:colOff>
      <xdr:row>61</xdr:row>
      <xdr:rowOff>122647</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183219</xdr:rowOff>
    </xdr:from>
    <xdr:to>
      <xdr:col>5</xdr:col>
      <xdr:colOff>190500</xdr:colOff>
      <xdr:row>61</xdr:row>
      <xdr:rowOff>27580</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58533</xdr:rowOff>
    </xdr:from>
    <xdr:to>
      <xdr:col>5</xdr:col>
      <xdr:colOff>190500</xdr:colOff>
      <xdr:row>60</xdr:row>
      <xdr:rowOff>46415</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100</xdr:row>
      <xdr:rowOff>115670</xdr:rowOff>
    </xdr:from>
    <xdr:to>
      <xdr:col>6</xdr:col>
      <xdr:colOff>38100</xdr:colOff>
      <xdr:row>109</xdr:row>
      <xdr:rowOff>29936</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106680</xdr:rowOff>
    </xdr:from>
    <xdr:to>
      <xdr:col>18</xdr:col>
      <xdr:colOff>18311</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164889</xdr:rowOff>
    </xdr:from>
    <xdr:to>
      <xdr:col>19</xdr:col>
      <xdr:colOff>2651</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321615</xdr:rowOff>
    </xdr:from>
    <xdr:to>
      <xdr:col>5</xdr:col>
      <xdr:colOff>190500</xdr:colOff>
      <xdr:row>60</xdr:row>
      <xdr:rowOff>18870</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123048</xdr:rowOff>
    </xdr:from>
    <xdr:to>
      <xdr:col>5</xdr:col>
      <xdr:colOff>190500</xdr:colOff>
      <xdr:row>60</xdr:row>
      <xdr:rowOff>139889</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340841</xdr:rowOff>
    </xdr:from>
    <xdr:to>
      <xdr:col>5</xdr:col>
      <xdr:colOff>190500</xdr:colOff>
      <xdr:row>61</xdr:row>
      <xdr:rowOff>123464</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140197</xdr:rowOff>
    </xdr:from>
    <xdr:to>
      <xdr:col>5</xdr:col>
      <xdr:colOff>190500</xdr:colOff>
      <xdr:row>62</xdr:row>
      <xdr:rowOff>86555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81</xdr:row>
      <xdr:rowOff>46227</xdr:rowOff>
    </xdr:from>
    <xdr:to>
      <xdr:col>5</xdr:col>
      <xdr:colOff>190500</xdr:colOff>
      <xdr:row>106</xdr:row>
      <xdr:rowOff>122907</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82</xdr:row>
      <xdr:rowOff>46527</xdr:rowOff>
    </xdr:from>
    <xdr:to>
      <xdr:col>5</xdr:col>
      <xdr:colOff>190500</xdr:colOff>
      <xdr:row>93</xdr:row>
      <xdr:rowOff>64884</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370178</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447313</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125057</xdr:rowOff>
    </xdr:from>
    <xdr:to>
      <xdr:col>6</xdr:col>
      <xdr:colOff>38100</xdr:colOff>
      <xdr:row>91</xdr:row>
      <xdr:rowOff>68542</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106680</xdr:rowOff>
    </xdr:from>
    <xdr:to>
      <xdr:col>18</xdr:col>
      <xdr:colOff>18311</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126789</xdr:rowOff>
    </xdr:from>
    <xdr:to>
      <xdr:col>18</xdr:col>
      <xdr:colOff>760476</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75</xdr:row>
      <xdr:rowOff>170734</xdr:rowOff>
    </xdr:from>
    <xdr:to>
      <xdr:col>5</xdr:col>
      <xdr:colOff>190500</xdr:colOff>
      <xdr:row>80</xdr:row>
      <xdr:rowOff>76854</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76</xdr:row>
      <xdr:rowOff>160773</xdr:rowOff>
    </xdr:from>
    <xdr:to>
      <xdr:col>5</xdr:col>
      <xdr:colOff>190500</xdr:colOff>
      <xdr:row>81</xdr:row>
      <xdr:rowOff>46377</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160413</xdr:rowOff>
    </xdr:from>
    <xdr:to>
      <xdr:col>5</xdr:col>
      <xdr:colOff>190500</xdr:colOff>
      <xdr:row>82</xdr:row>
      <xdr:rowOff>25488</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257183</xdr:rowOff>
    </xdr:from>
    <xdr:to>
      <xdr:col>5</xdr:col>
      <xdr:colOff>190500</xdr:colOff>
      <xdr:row>82</xdr:row>
      <xdr:rowOff>134491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103</xdr:row>
      <xdr:rowOff>50255</xdr:rowOff>
    </xdr:from>
    <xdr:to>
      <xdr:col>5</xdr:col>
      <xdr:colOff>190500</xdr:colOff>
      <xdr:row>118</xdr:row>
      <xdr:rowOff>45314</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65499</xdr:rowOff>
    </xdr:from>
    <xdr:to>
      <xdr:col>5</xdr:col>
      <xdr:colOff>190500</xdr:colOff>
      <xdr:row>78</xdr:row>
      <xdr:rowOff>73233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7016</xdr:rowOff>
    </xdr:from>
    <xdr:to>
      <xdr:col>5</xdr:col>
      <xdr:colOff>190500</xdr:colOff>
      <xdr:row>72</xdr:row>
      <xdr:rowOff>50575</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27913</xdr:rowOff>
    </xdr:from>
    <xdr:to>
      <xdr:col>5</xdr:col>
      <xdr:colOff>190500</xdr:colOff>
      <xdr:row>66</xdr:row>
      <xdr:rowOff>82993</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63</xdr:row>
      <xdr:rowOff>115250</xdr:rowOff>
    </xdr:from>
    <xdr:to>
      <xdr:col>5</xdr:col>
      <xdr:colOff>190500</xdr:colOff>
      <xdr:row>65</xdr:row>
      <xdr:rowOff>124271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104075</xdr:rowOff>
    </xdr:from>
    <xdr:to>
      <xdr:col>5</xdr:col>
      <xdr:colOff>190500</xdr:colOff>
      <xdr:row>64</xdr:row>
      <xdr:rowOff>104075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50255</xdr:rowOff>
    </xdr:from>
    <xdr:to>
      <xdr:col>6</xdr:col>
      <xdr:colOff>38100</xdr:colOff>
      <xdr:row>116</xdr:row>
      <xdr:rowOff>103569</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45434</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168876</xdr:rowOff>
    </xdr:from>
    <xdr:to>
      <xdr:col>5</xdr:col>
      <xdr:colOff>190500</xdr:colOff>
      <xdr:row>93</xdr:row>
      <xdr:rowOff>46936</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168876</xdr:rowOff>
    </xdr:from>
    <xdr:to>
      <xdr:col>6</xdr:col>
      <xdr:colOff>38100</xdr:colOff>
      <xdr:row>91</xdr:row>
      <xdr:rowOff>21412</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168876</xdr:rowOff>
    </xdr:from>
    <xdr:to>
      <xdr:col>5</xdr:col>
      <xdr:colOff>190500</xdr:colOff>
      <xdr:row>93</xdr:row>
      <xdr:rowOff>46936</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168876</xdr:rowOff>
    </xdr:from>
    <xdr:to>
      <xdr:col>6</xdr:col>
      <xdr:colOff>38100</xdr:colOff>
      <xdr:row>91</xdr:row>
      <xdr:rowOff>21412</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122573</xdr:rowOff>
    </xdr:from>
    <xdr:to>
      <xdr:col>5</xdr:col>
      <xdr:colOff>190500</xdr:colOff>
      <xdr:row>93</xdr:row>
      <xdr:rowOff>46936</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168876</xdr:rowOff>
    </xdr:from>
    <xdr:to>
      <xdr:col>6</xdr:col>
      <xdr:colOff>38100</xdr:colOff>
      <xdr:row>91</xdr:row>
      <xdr:rowOff>21412</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122573</xdr:rowOff>
    </xdr:from>
    <xdr:to>
      <xdr:col>5</xdr:col>
      <xdr:colOff>190500</xdr:colOff>
      <xdr:row>93</xdr:row>
      <xdr:rowOff>46936</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122573</xdr:rowOff>
    </xdr:from>
    <xdr:to>
      <xdr:col>6</xdr:col>
      <xdr:colOff>38100</xdr:colOff>
      <xdr:row>91</xdr:row>
      <xdr:rowOff>21412</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29166</xdr:rowOff>
    </xdr:from>
    <xdr:to>
      <xdr:col>5</xdr:col>
      <xdr:colOff>640715</xdr:colOff>
      <xdr:row>62</xdr:row>
      <xdr:rowOff>188602</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7227</xdr:rowOff>
    </xdr:from>
    <xdr:to>
      <xdr:col>5</xdr:col>
      <xdr:colOff>640715</xdr:colOff>
      <xdr:row>63</xdr:row>
      <xdr:rowOff>114826</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84407</xdr:rowOff>
    </xdr:from>
    <xdr:to>
      <xdr:col>5</xdr:col>
      <xdr:colOff>640715</xdr:colOff>
      <xdr:row>64</xdr:row>
      <xdr:rowOff>122700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142271</xdr:rowOff>
    </xdr:from>
    <xdr:to>
      <xdr:col>5</xdr:col>
      <xdr:colOff>640715</xdr:colOff>
      <xdr:row>65</xdr:row>
      <xdr:rowOff>123965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8567</xdr:rowOff>
    </xdr:from>
    <xdr:to>
      <xdr:col>5</xdr:col>
      <xdr:colOff>640715</xdr:colOff>
      <xdr:row>84</xdr:row>
      <xdr:rowOff>154633</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640715</xdr:colOff>
      <xdr:row>86</xdr:row>
      <xdr:rowOff>85240</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640715</xdr:colOff>
      <xdr:row>88</xdr:row>
      <xdr:rowOff>116603</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29166</xdr:rowOff>
    </xdr:from>
    <xdr:to>
      <xdr:col>5</xdr:col>
      <xdr:colOff>640715</xdr:colOff>
      <xdr:row>62</xdr:row>
      <xdr:rowOff>188602</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7227</xdr:rowOff>
    </xdr:from>
    <xdr:to>
      <xdr:col>5</xdr:col>
      <xdr:colOff>640715</xdr:colOff>
      <xdr:row>63</xdr:row>
      <xdr:rowOff>114826</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84407</xdr:rowOff>
    </xdr:from>
    <xdr:to>
      <xdr:col>5</xdr:col>
      <xdr:colOff>640715</xdr:colOff>
      <xdr:row>64</xdr:row>
      <xdr:rowOff>122700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142271</xdr:rowOff>
    </xdr:from>
    <xdr:to>
      <xdr:col>5</xdr:col>
      <xdr:colOff>640715</xdr:colOff>
      <xdr:row>65</xdr:row>
      <xdr:rowOff>123965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8567</xdr:rowOff>
    </xdr:from>
    <xdr:to>
      <xdr:col>5</xdr:col>
      <xdr:colOff>640715</xdr:colOff>
      <xdr:row>84</xdr:row>
      <xdr:rowOff>154633</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640715</xdr:colOff>
      <xdr:row>86</xdr:row>
      <xdr:rowOff>85240</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640715</xdr:colOff>
      <xdr:row>88</xdr:row>
      <xdr:rowOff>116603</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640715</xdr:colOff>
      <xdr:row>62</xdr:row>
      <xdr:rowOff>188602</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640715</xdr:colOff>
      <xdr:row>63</xdr:row>
      <xdr:rowOff>114826</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640715</xdr:colOff>
      <xdr:row>64</xdr:row>
      <xdr:rowOff>122700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640715</xdr:colOff>
      <xdr:row>65</xdr:row>
      <xdr:rowOff>123965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640715</xdr:colOff>
      <xdr:row>84</xdr:row>
      <xdr:rowOff>154633</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640715</xdr:colOff>
      <xdr:row>86</xdr:row>
      <xdr:rowOff>85240</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640715</xdr:colOff>
      <xdr:row>88</xdr:row>
      <xdr:rowOff>116603</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609600</xdr:colOff>
      <xdr:row>62</xdr:row>
      <xdr:rowOff>188602</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609600</xdr:colOff>
      <xdr:row>63</xdr:row>
      <xdr:rowOff>114826</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609600</xdr:colOff>
      <xdr:row>64</xdr:row>
      <xdr:rowOff>122700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609600</xdr:colOff>
      <xdr:row>65</xdr:row>
      <xdr:rowOff>123965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609600</xdr:colOff>
      <xdr:row>84</xdr:row>
      <xdr:rowOff>154633</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609600</xdr:colOff>
      <xdr:row>86</xdr:row>
      <xdr:rowOff>85240</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609600</xdr:colOff>
      <xdr:row>88</xdr:row>
      <xdr:rowOff>116603</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609600</xdr:colOff>
      <xdr:row>62</xdr:row>
      <xdr:rowOff>188602</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609600</xdr:colOff>
      <xdr:row>63</xdr:row>
      <xdr:rowOff>114826</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609600</xdr:colOff>
      <xdr:row>64</xdr:row>
      <xdr:rowOff>122700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609600</xdr:colOff>
      <xdr:row>65</xdr:row>
      <xdr:rowOff>123965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609600</xdr:colOff>
      <xdr:row>84</xdr:row>
      <xdr:rowOff>154633</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609600</xdr:colOff>
      <xdr:row>86</xdr:row>
      <xdr:rowOff>85240</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609600</xdr:colOff>
      <xdr:row>88</xdr:row>
      <xdr:rowOff>116603</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609600</xdr:colOff>
      <xdr:row>62</xdr:row>
      <xdr:rowOff>188602</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609600</xdr:colOff>
      <xdr:row>63</xdr:row>
      <xdr:rowOff>114826</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609600</xdr:colOff>
      <xdr:row>64</xdr:row>
      <xdr:rowOff>122700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609600</xdr:colOff>
      <xdr:row>65</xdr:row>
      <xdr:rowOff>123965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609600</xdr:colOff>
      <xdr:row>84</xdr:row>
      <xdr:rowOff>154633</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609600</xdr:colOff>
      <xdr:row>86</xdr:row>
      <xdr:rowOff>85240</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609600</xdr:colOff>
      <xdr:row>88</xdr:row>
      <xdr:rowOff>116603</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59900</xdr:rowOff>
    </xdr:from>
    <xdr:to>
      <xdr:col>6</xdr:col>
      <xdr:colOff>38100</xdr:colOff>
      <xdr:row>94</xdr:row>
      <xdr:rowOff>57647</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53</xdr:row>
      <xdr:rowOff>245771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53</xdr:row>
      <xdr:rowOff>302127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12039</xdr:rowOff>
    </xdr:from>
    <xdr:to>
      <xdr:col>5</xdr:col>
      <xdr:colOff>609600</xdr:colOff>
      <xdr:row>66</xdr:row>
      <xdr:rowOff>102466</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200995</xdr:rowOff>
    </xdr:from>
    <xdr:to>
      <xdr:col>5</xdr:col>
      <xdr:colOff>609600</xdr:colOff>
      <xdr:row>67</xdr:row>
      <xdr:rowOff>102580</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44851</xdr:rowOff>
    </xdr:from>
    <xdr:to>
      <xdr:col>5</xdr:col>
      <xdr:colOff>609600</xdr:colOff>
      <xdr:row>68</xdr:row>
      <xdr:rowOff>63793</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48984</xdr:rowOff>
    </xdr:from>
    <xdr:to>
      <xdr:col>5</xdr:col>
      <xdr:colOff>609600</xdr:colOff>
      <xdr:row>69</xdr:row>
      <xdr:rowOff>46800</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171520</xdr:rowOff>
    </xdr:from>
    <xdr:to>
      <xdr:col>5</xdr:col>
      <xdr:colOff>609600</xdr:colOff>
      <xdr:row>88</xdr:row>
      <xdr:rowOff>140603</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140603</xdr:rowOff>
    </xdr:from>
    <xdr:to>
      <xdr:col>5</xdr:col>
      <xdr:colOff>609600</xdr:colOff>
      <xdr:row>95</xdr:row>
      <xdr:rowOff>150937</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140603</xdr:rowOff>
    </xdr:from>
    <xdr:to>
      <xdr:col>5</xdr:col>
      <xdr:colOff>609600</xdr:colOff>
      <xdr:row>94</xdr:row>
      <xdr:rowOff>170905</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104</xdr:row>
      <xdr:rowOff>68364</xdr:rowOff>
    </xdr:from>
    <xdr:to>
      <xdr:col>6</xdr:col>
      <xdr:colOff>69215</xdr:colOff>
      <xdr:row>117</xdr:row>
      <xdr:rowOff>87383</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64</xdr:row>
      <xdr:rowOff>103017</xdr:rowOff>
    </xdr:from>
    <xdr:to>
      <xdr:col>5</xdr:col>
      <xdr:colOff>609600</xdr:colOff>
      <xdr:row>77</xdr:row>
      <xdr:rowOff>162293</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62</xdr:row>
      <xdr:rowOff>132244</xdr:rowOff>
    </xdr:from>
    <xdr:to>
      <xdr:col>5</xdr:col>
      <xdr:colOff>640715</xdr:colOff>
      <xdr:row>75</xdr:row>
      <xdr:rowOff>83927</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174456</xdr:rowOff>
    </xdr:from>
    <xdr:to>
      <xdr:col>5</xdr:col>
      <xdr:colOff>609600</xdr:colOff>
      <xdr:row>70</xdr:row>
      <xdr:rowOff>29123</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50744</xdr:rowOff>
    </xdr:from>
    <xdr:to>
      <xdr:col>5</xdr:col>
      <xdr:colOff>609600</xdr:colOff>
      <xdr:row>70</xdr:row>
      <xdr:rowOff>125390</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8020</xdr:rowOff>
    </xdr:from>
    <xdr:to>
      <xdr:col>5</xdr:col>
      <xdr:colOff>609600</xdr:colOff>
      <xdr:row>70</xdr:row>
      <xdr:rowOff>274985</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83</xdr:row>
      <xdr:rowOff>152707</xdr:rowOff>
    </xdr:from>
    <xdr:to>
      <xdr:col>5</xdr:col>
      <xdr:colOff>609600</xdr:colOff>
      <xdr:row>88</xdr:row>
      <xdr:rowOff>123651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84</xdr:row>
      <xdr:rowOff>149657</xdr:rowOff>
    </xdr:from>
    <xdr:to>
      <xdr:col>5</xdr:col>
      <xdr:colOff>609600</xdr:colOff>
      <xdr:row>89</xdr:row>
      <xdr:rowOff>88775</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163733</xdr:rowOff>
    </xdr:from>
    <xdr:to>
      <xdr:col>5</xdr:col>
      <xdr:colOff>609600</xdr:colOff>
      <xdr:row>90</xdr:row>
      <xdr:rowOff>98066</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47605</xdr:rowOff>
    </xdr:from>
    <xdr:to>
      <xdr:col>5</xdr:col>
      <xdr:colOff>609600</xdr:colOff>
      <xdr:row>91</xdr:row>
      <xdr:rowOff>102891</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110</xdr:row>
      <xdr:rowOff>122399</xdr:rowOff>
    </xdr:from>
    <xdr:to>
      <xdr:col>5</xdr:col>
      <xdr:colOff>609600</xdr:colOff>
      <xdr:row>110</xdr:row>
      <xdr:rowOff>122483</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111</xdr:row>
      <xdr:rowOff>139865</xdr:rowOff>
    </xdr:from>
    <xdr:to>
      <xdr:col>5</xdr:col>
      <xdr:colOff>609600</xdr:colOff>
      <xdr:row>134</xdr:row>
      <xdr:rowOff>154254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111</xdr:row>
      <xdr:rowOff>139865</xdr:rowOff>
    </xdr:from>
    <xdr:to>
      <xdr:col>5</xdr:col>
      <xdr:colOff>609600</xdr:colOff>
      <xdr:row>133</xdr:row>
      <xdr:rowOff>67946</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108</xdr:row>
      <xdr:rowOff>77115</xdr:rowOff>
    </xdr:from>
    <xdr:to>
      <xdr:col>6</xdr:col>
      <xdr:colOff>57150</xdr:colOff>
      <xdr:row>122</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66</xdr:row>
      <xdr:rowOff>121750</xdr:rowOff>
    </xdr:from>
    <xdr:to>
      <xdr:col>5</xdr:col>
      <xdr:colOff>628650</xdr:colOff>
      <xdr:row>80</xdr:row>
      <xdr:rowOff>57168</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66</xdr:row>
      <xdr:rowOff>174456</xdr:rowOff>
    </xdr:from>
    <xdr:to>
      <xdr:col>5</xdr:col>
      <xdr:colOff>628650</xdr:colOff>
      <xdr:row>80</xdr:row>
      <xdr:rowOff>27558</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39797</xdr:rowOff>
    </xdr:from>
    <xdr:to>
      <xdr:col>5</xdr:col>
      <xdr:colOff>628650</xdr:colOff>
      <xdr:row>71</xdr:row>
      <xdr:rowOff>154876</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171230</xdr:rowOff>
    </xdr:from>
    <xdr:to>
      <xdr:col>5</xdr:col>
      <xdr:colOff>628650</xdr:colOff>
      <xdr:row>70</xdr:row>
      <xdr:rowOff>374000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73</xdr:row>
      <xdr:rowOff>142811</xdr:rowOff>
    </xdr:from>
    <xdr:to>
      <xdr:col>5</xdr:col>
      <xdr:colOff>609600</xdr:colOff>
      <xdr:row>75</xdr:row>
      <xdr:rowOff>103824</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89</xdr:row>
      <xdr:rowOff>46061</xdr:rowOff>
    </xdr:from>
    <xdr:to>
      <xdr:col>5</xdr:col>
      <xdr:colOff>609600</xdr:colOff>
      <xdr:row>93</xdr:row>
      <xdr:rowOff>77341</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90</xdr:row>
      <xdr:rowOff>20039</xdr:rowOff>
    </xdr:from>
    <xdr:to>
      <xdr:col>5</xdr:col>
      <xdr:colOff>609600</xdr:colOff>
      <xdr:row>94</xdr:row>
      <xdr:rowOff>76960</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30820</xdr:rowOff>
    </xdr:from>
    <xdr:to>
      <xdr:col>5</xdr:col>
      <xdr:colOff>609600</xdr:colOff>
      <xdr:row>95</xdr:row>
      <xdr:rowOff>11207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25859</xdr:rowOff>
    </xdr:from>
    <xdr:to>
      <xdr:col>5</xdr:col>
      <xdr:colOff>609600</xdr:colOff>
      <xdr:row>95</xdr:row>
      <xdr:rowOff>151970</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115</xdr:row>
      <xdr:rowOff>149425</xdr:rowOff>
    </xdr:from>
    <xdr:to>
      <xdr:col>5</xdr:col>
      <xdr:colOff>609600</xdr:colOff>
      <xdr:row>116</xdr:row>
      <xdr:rowOff>7479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116</xdr:row>
      <xdr:rowOff>84585</xdr:rowOff>
    </xdr:from>
    <xdr:to>
      <xdr:col>5</xdr:col>
      <xdr:colOff>609600</xdr:colOff>
      <xdr:row>184</xdr:row>
      <xdr:rowOff>30439</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116</xdr:row>
      <xdr:rowOff>84585</xdr:rowOff>
    </xdr:from>
    <xdr:to>
      <xdr:col>5</xdr:col>
      <xdr:colOff>609600</xdr:colOff>
      <xdr:row>182</xdr:row>
      <xdr:rowOff>123036</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141536</xdr:rowOff>
    </xdr:from>
    <xdr:to>
      <xdr:col>6</xdr:col>
      <xdr:colOff>57150</xdr:colOff>
      <xdr:row>99</xdr:row>
      <xdr:rowOff>45986</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57</xdr:row>
      <xdr:rowOff>184064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57</xdr:row>
      <xdr:rowOff>183712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187446</xdr:rowOff>
    </xdr:from>
    <xdr:to>
      <xdr:col>5</xdr:col>
      <xdr:colOff>628650</xdr:colOff>
      <xdr:row>54</xdr:row>
      <xdr:rowOff>246246</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387423</xdr:rowOff>
    </xdr:from>
    <xdr:to>
      <xdr:col>5</xdr:col>
      <xdr:colOff>628650</xdr:colOff>
      <xdr:row>54</xdr:row>
      <xdr:rowOff>143405</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226776</xdr:rowOff>
    </xdr:from>
    <xdr:to>
      <xdr:col>5</xdr:col>
      <xdr:colOff>609600</xdr:colOff>
      <xdr:row>56</xdr:row>
      <xdr:rowOff>207901</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145608</xdr:rowOff>
    </xdr:from>
    <xdr:to>
      <xdr:col>5</xdr:col>
      <xdr:colOff>609600</xdr:colOff>
      <xdr:row>71</xdr:row>
      <xdr:rowOff>154643</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140108</xdr:rowOff>
    </xdr:from>
    <xdr:to>
      <xdr:col>5</xdr:col>
      <xdr:colOff>609600</xdr:colOff>
      <xdr:row>72</xdr:row>
      <xdr:rowOff>122902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54958</xdr:rowOff>
    </xdr:from>
    <xdr:to>
      <xdr:col>5</xdr:col>
      <xdr:colOff>609600</xdr:colOff>
      <xdr:row>73</xdr:row>
      <xdr:rowOff>153538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220128</xdr:rowOff>
    </xdr:from>
    <xdr:to>
      <xdr:col>5</xdr:col>
      <xdr:colOff>609600</xdr:colOff>
      <xdr:row>74</xdr:row>
      <xdr:rowOff>153028</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49958</xdr:rowOff>
    </xdr:from>
    <xdr:to>
      <xdr:col>5</xdr:col>
      <xdr:colOff>609600</xdr:colOff>
      <xdr:row>95</xdr:row>
      <xdr:rowOff>113185</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208536</xdr:rowOff>
    </xdr:from>
    <xdr:to>
      <xdr:col>5</xdr:col>
      <xdr:colOff>609600</xdr:colOff>
      <xdr:row>117</xdr:row>
      <xdr:rowOff>149587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208536</xdr:rowOff>
    </xdr:from>
    <xdr:to>
      <xdr:col>5</xdr:col>
      <xdr:colOff>609600</xdr:colOff>
      <xdr:row>116</xdr:row>
      <xdr:rowOff>121107</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27915</xdr:rowOff>
    </xdr:from>
    <xdr:to>
      <xdr:col>6</xdr:col>
      <xdr:colOff>38100</xdr:colOff>
      <xdr:row>92</xdr:row>
      <xdr:rowOff>79065</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53</xdr:row>
      <xdr:rowOff>216279</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339884</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142130</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55170</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104893</xdr:rowOff>
    </xdr:from>
    <xdr:to>
      <xdr:col>5</xdr:col>
      <xdr:colOff>609600</xdr:colOff>
      <xdr:row>90</xdr:row>
      <xdr:rowOff>149543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85112</xdr:rowOff>
    </xdr:from>
    <xdr:to>
      <xdr:col>5</xdr:col>
      <xdr:colOff>609600</xdr:colOff>
      <xdr:row>117</xdr:row>
      <xdr:rowOff>67103</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85112</xdr:rowOff>
    </xdr:from>
    <xdr:to>
      <xdr:col>5</xdr:col>
      <xdr:colOff>609600</xdr:colOff>
      <xdr:row>117</xdr:row>
      <xdr:rowOff>67103</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27915</xdr:rowOff>
    </xdr:from>
    <xdr:to>
      <xdr:col>6</xdr:col>
      <xdr:colOff>38100</xdr:colOff>
      <xdr:row>92</xdr:row>
      <xdr:rowOff>79065</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65523</xdr:rowOff>
    </xdr:from>
    <xdr:to>
      <xdr:col>5</xdr:col>
      <xdr:colOff>609600</xdr:colOff>
      <xdr:row>90</xdr:row>
      <xdr:rowOff>134515</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27915</xdr:rowOff>
    </xdr:from>
    <xdr:to>
      <xdr:col>6</xdr:col>
      <xdr:colOff>38100</xdr:colOff>
      <xdr:row>92</xdr:row>
      <xdr:rowOff>79065</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65523</xdr:rowOff>
    </xdr:from>
    <xdr:to>
      <xdr:col>5</xdr:col>
      <xdr:colOff>609600</xdr:colOff>
      <xdr:row>90</xdr:row>
      <xdr:rowOff>134515</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30510</xdr:rowOff>
    </xdr:from>
    <xdr:to>
      <xdr:col>6</xdr:col>
      <xdr:colOff>38100</xdr:colOff>
      <xdr:row>191</xdr:row>
      <xdr:rowOff>142588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48195</xdr:rowOff>
    </xdr:from>
    <xdr:to>
      <xdr:col>5</xdr:col>
      <xdr:colOff>609600</xdr:colOff>
      <xdr:row>189</xdr:row>
      <xdr:rowOff>48748</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95</xdr:row>
      <xdr:rowOff>228856</xdr:rowOff>
    </xdr:from>
    <xdr:to>
      <xdr:col>5</xdr:col>
      <xdr:colOff>621665</xdr:colOff>
      <xdr:row>97</xdr:row>
      <xdr:rowOff>27622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133193</xdr:rowOff>
    </xdr:from>
    <xdr:to>
      <xdr:col>5</xdr:col>
      <xdr:colOff>621665</xdr:colOff>
      <xdr:row>98</xdr:row>
      <xdr:rowOff>103542</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126411</xdr:rowOff>
    </xdr:from>
    <xdr:to>
      <xdr:col>5</xdr:col>
      <xdr:colOff>621665</xdr:colOff>
      <xdr:row>101</xdr:row>
      <xdr:rowOff>133747</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68525</xdr:rowOff>
    </xdr:from>
    <xdr:to>
      <xdr:col>5</xdr:col>
      <xdr:colOff>621665</xdr:colOff>
      <xdr:row>102</xdr:row>
      <xdr:rowOff>120843</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87</xdr:row>
      <xdr:rowOff>45234</xdr:rowOff>
    </xdr:from>
    <xdr:to>
      <xdr:col>5</xdr:col>
      <xdr:colOff>621665</xdr:colOff>
      <xdr:row>91</xdr:row>
      <xdr:rowOff>102892</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58103</xdr:rowOff>
    </xdr:from>
    <xdr:to>
      <xdr:col>5</xdr:col>
      <xdr:colOff>621665</xdr:colOff>
      <xdr:row>92</xdr:row>
      <xdr:rowOff>58957</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69031</xdr:rowOff>
    </xdr:from>
    <xdr:to>
      <xdr:col>5</xdr:col>
      <xdr:colOff>621665</xdr:colOff>
      <xdr:row>93</xdr:row>
      <xdr:rowOff>96391</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39089</xdr:rowOff>
    </xdr:from>
    <xdr:to>
      <xdr:col>5</xdr:col>
      <xdr:colOff>621665</xdr:colOff>
      <xdr:row>94</xdr:row>
      <xdr:rowOff>76960</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30510</xdr:rowOff>
    </xdr:from>
    <xdr:to>
      <xdr:col>6</xdr:col>
      <xdr:colOff>38100</xdr:colOff>
      <xdr:row>191</xdr:row>
      <xdr:rowOff>142588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48195</xdr:rowOff>
    </xdr:from>
    <xdr:to>
      <xdr:col>5</xdr:col>
      <xdr:colOff>609600</xdr:colOff>
      <xdr:row>189</xdr:row>
      <xdr:rowOff>48748</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95</xdr:row>
      <xdr:rowOff>228856</xdr:rowOff>
    </xdr:from>
    <xdr:to>
      <xdr:col>5</xdr:col>
      <xdr:colOff>621665</xdr:colOff>
      <xdr:row>97</xdr:row>
      <xdr:rowOff>27622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133193</xdr:rowOff>
    </xdr:from>
    <xdr:to>
      <xdr:col>5</xdr:col>
      <xdr:colOff>621665</xdr:colOff>
      <xdr:row>98</xdr:row>
      <xdr:rowOff>103542</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126411</xdr:rowOff>
    </xdr:from>
    <xdr:to>
      <xdr:col>5</xdr:col>
      <xdr:colOff>621665</xdr:colOff>
      <xdr:row>101</xdr:row>
      <xdr:rowOff>133747</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68525</xdr:rowOff>
    </xdr:from>
    <xdr:to>
      <xdr:col>5</xdr:col>
      <xdr:colOff>621665</xdr:colOff>
      <xdr:row>102</xdr:row>
      <xdr:rowOff>120843</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87</xdr:row>
      <xdr:rowOff>45234</xdr:rowOff>
    </xdr:from>
    <xdr:to>
      <xdr:col>5</xdr:col>
      <xdr:colOff>621665</xdr:colOff>
      <xdr:row>91</xdr:row>
      <xdr:rowOff>102892</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58103</xdr:rowOff>
    </xdr:from>
    <xdr:to>
      <xdr:col>5</xdr:col>
      <xdr:colOff>621665</xdr:colOff>
      <xdr:row>92</xdr:row>
      <xdr:rowOff>58957</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69031</xdr:rowOff>
    </xdr:from>
    <xdr:to>
      <xdr:col>5</xdr:col>
      <xdr:colOff>621665</xdr:colOff>
      <xdr:row>93</xdr:row>
      <xdr:rowOff>96391</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39089</xdr:rowOff>
    </xdr:from>
    <xdr:to>
      <xdr:col>5</xdr:col>
      <xdr:colOff>621665</xdr:colOff>
      <xdr:row>94</xdr:row>
      <xdr:rowOff>76960</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30510</xdr:rowOff>
    </xdr:from>
    <xdr:to>
      <xdr:col>6</xdr:col>
      <xdr:colOff>38100</xdr:colOff>
      <xdr:row>191</xdr:row>
      <xdr:rowOff>142588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48195</xdr:rowOff>
    </xdr:from>
    <xdr:to>
      <xdr:col>5</xdr:col>
      <xdr:colOff>609600</xdr:colOff>
      <xdr:row>189</xdr:row>
      <xdr:rowOff>48748</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95</xdr:row>
      <xdr:rowOff>228856</xdr:rowOff>
    </xdr:from>
    <xdr:to>
      <xdr:col>5</xdr:col>
      <xdr:colOff>621665</xdr:colOff>
      <xdr:row>97</xdr:row>
      <xdr:rowOff>27622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133193</xdr:rowOff>
    </xdr:from>
    <xdr:to>
      <xdr:col>5</xdr:col>
      <xdr:colOff>621665</xdr:colOff>
      <xdr:row>98</xdr:row>
      <xdr:rowOff>103542</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126411</xdr:rowOff>
    </xdr:from>
    <xdr:to>
      <xdr:col>5</xdr:col>
      <xdr:colOff>621665</xdr:colOff>
      <xdr:row>101</xdr:row>
      <xdr:rowOff>133747</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68525</xdr:rowOff>
    </xdr:from>
    <xdr:to>
      <xdr:col>5</xdr:col>
      <xdr:colOff>621665</xdr:colOff>
      <xdr:row>102</xdr:row>
      <xdr:rowOff>120843</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87</xdr:row>
      <xdr:rowOff>45234</xdr:rowOff>
    </xdr:from>
    <xdr:to>
      <xdr:col>5</xdr:col>
      <xdr:colOff>621665</xdr:colOff>
      <xdr:row>91</xdr:row>
      <xdr:rowOff>102892</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58103</xdr:rowOff>
    </xdr:from>
    <xdr:to>
      <xdr:col>5</xdr:col>
      <xdr:colOff>621665</xdr:colOff>
      <xdr:row>92</xdr:row>
      <xdr:rowOff>58957</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69031</xdr:rowOff>
    </xdr:from>
    <xdr:to>
      <xdr:col>5</xdr:col>
      <xdr:colOff>621665</xdr:colOff>
      <xdr:row>93</xdr:row>
      <xdr:rowOff>96391</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39089</xdr:rowOff>
    </xdr:from>
    <xdr:to>
      <xdr:col>5</xdr:col>
      <xdr:colOff>621665</xdr:colOff>
      <xdr:row>94</xdr:row>
      <xdr:rowOff>76960</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48675</xdr:rowOff>
    </xdr:from>
    <xdr:to>
      <xdr:col>6</xdr:col>
      <xdr:colOff>38100</xdr:colOff>
      <xdr:row>191</xdr:row>
      <xdr:rowOff>142588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620395</xdr:colOff>
      <xdr:row>97</xdr:row>
      <xdr:rowOff>27622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620395</xdr:colOff>
      <xdr:row>98</xdr:row>
      <xdr:rowOff>103860</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620395</xdr:colOff>
      <xdr:row>101</xdr:row>
      <xdr:rowOff>133747</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620395</xdr:colOff>
      <xdr:row>102</xdr:row>
      <xdr:rowOff>120843</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620395</xdr:colOff>
      <xdr:row>91</xdr:row>
      <xdr:rowOff>102892</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620395</xdr:colOff>
      <xdr:row>92</xdr:row>
      <xdr:rowOff>58957</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620395</xdr:colOff>
      <xdr:row>93</xdr:row>
      <xdr:rowOff>96391</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620395</xdr:colOff>
      <xdr:row>94</xdr:row>
      <xdr:rowOff>76960</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48675</xdr:rowOff>
    </xdr:from>
    <xdr:to>
      <xdr:col>6</xdr:col>
      <xdr:colOff>38100</xdr:colOff>
      <xdr:row>191</xdr:row>
      <xdr:rowOff>142588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620395</xdr:colOff>
      <xdr:row>97</xdr:row>
      <xdr:rowOff>27622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620395</xdr:colOff>
      <xdr:row>98</xdr:row>
      <xdr:rowOff>103860</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620395</xdr:colOff>
      <xdr:row>101</xdr:row>
      <xdr:rowOff>133747</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620395</xdr:colOff>
      <xdr:row>102</xdr:row>
      <xdr:rowOff>120843</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620395</xdr:colOff>
      <xdr:row>91</xdr:row>
      <xdr:rowOff>102892</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620395</xdr:colOff>
      <xdr:row>92</xdr:row>
      <xdr:rowOff>58957</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620395</xdr:colOff>
      <xdr:row>93</xdr:row>
      <xdr:rowOff>96391</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620395</xdr:colOff>
      <xdr:row>94</xdr:row>
      <xdr:rowOff>76960</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48675</xdr:rowOff>
    </xdr:from>
    <xdr:to>
      <xdr:col>6</xdr:col>
      <xdr:colOff>38100</xdr:colOff>
      <xdr:row>191</xdr:row>
      <xdr:rowOff>142588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620395</xdr:colOff>
      <xdr:row>97</xdr:row>
      <xdr:rowOff>27622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620395</xdr:colOff>
      <xdr:row>98</xdr:row>
      <xdr:rowOff>103860</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620395</xdr:colOff>
      <xdr:row>101</xdr:row>
      <xdr:rowOff>133747</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620395</xdr:colOff>
      <xdr:row>102</xdr:row>
      <xdr:rowOff>120843</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620395</xdr:colOff>
      <xdr:row>91</xdr:row>
      <xdr:rowOff>102892</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620395</xdr:colOff>
      <xdr:row>92</xdr:row>
      <xdr:rowOff>58957</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620395</xdr:colOff>
      <xdr:row>93</xdr:row>
      <xdr:rowOff>96391</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620395</xdr:colOff>
      <xdr:row>94</xdr:row>
      <xdr:rowOff>76960</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20970</xdr:rowOff>
    </xdr:from>
    <xdr:to>
      <xdr:col>6</xdr:col>
      <xdr:colOff>38100</xdr:colOff>
      <xdr:row>191</xdr:row>
      <xdr:rowOff>142588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609600</xdr:colOff>
      <xdr:row>97</xdr:row>
      <xdr:rowOff>27622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609600</xdr:colOff>
      <xdr:row>98</xdr:row>
      <xdr:rowOff>103860</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609600</xdr:colOff>
      <xdr:row>101</xdr:row>
      <xdr:rowOff>133747</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609600</xdr:colOff>
      <xdr:row>102</xdr:row>
      <xdr:rowOff>120843</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609600</xdr:colOff>
      <xdr:row>91</xdr:row>
      <xdr:rowOff>102892</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609600</xdr:colOff>
      <xdr:row>92</xdr:row>
      <xdr:rowOff>58957</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609600</xdr:colOff>
      <xdr:row>93</xdr:row>
      <xdr:rowOff>96391</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609600</xdr:colOff>
      <xdr:row>94</xdr:row>
      <xdr:rowOff>76960</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154704</xdr:rowOff>
    </xdr:from>
    <xdr:to>
      <xdr:col>6</xdr:col>
      <xdr:colOff>38100</xdr:colOff>
      <xdr:row>92</xdr:row>
      <xdr:rowOff>79277</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140798</xdr:rowOff>
    </xdr:from>
    <xdr:to>
      <xdr:col>5</xdr:col>
      <xdr:colOff>609600</xdr:colOff>
      <xdr:row>89</xdr:row>
      <xdr:rowOff>46171</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149489</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149489</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87926</xdr:rowOff>
    </xdr:from>
    <xdr:to>
      <xdr:col>5</xdr:col>
      <xdr:colOff>609600</xdr:colOff>
      <xdr:row>191</xdr:row>
      <xdr:rowOff>27854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50312</xdr:rowOff>
    </xdr:from>
    <xdr:to>
      <xdr:col>5</xdr:col>
      <xdr:colOff>609600</xdr:colOff>
      <xdr:row>191</xdr:row>
      <xdr:rowOff>88402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27704</xdr:rowOff>
    </xdr:from>
    <xdr:to>
      <xdr:col>5</xdr:col>
      <xdr:colOff>609600</xdr:colOff>
      <xdr:row>194</xdr:row>
      <xdr:rowOff>142771</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27219</xdr:rowOff>
    </xdr:from>
    <xdr:to>
      <xdr:col>5</xdr:col>
      <xdr:colOff>609600</xdr:colOff>
      <xdr:row>195</xdr:row>
      <xdr:rowOff>140867</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131</xdr:row>
      <xdr:rowOff>141320</xdr:rowOff>
    </xdr:from>
    <xdr:to>
      <xdr:col>5</xdr:col>
      <xdr:colOff>609600</xdr:colOff>
      <xdr:row>137</xdr:row>
      <xdr:rowOff>77234</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142682</xdr:rowOff>
    </xdr:from>
    <xdr:to>
      <xdr:col>5</xdr:col>
      <xdr:colOff>609600</xdr:colOff>
      <xdr:row>182</xdr:row>
      <xdr:rowOff>65290</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141955</xdr:rowOff>
    </xdr:from>
    <xdr:to>
      <xdr:col>5</xdr:col>
      <xdr:colOff>609600</xdr:colOff>
      <xdr:row>182</xdr:row>
      <xdr:rowOff>136411</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141954</xdr:rowOff>
    </xdr:from>
    <xdr:to>
      <xdr:col>5</xdr:col>
      <xdr:colOff>609600</xdr:colOff>
      <xdr:row>184</xdr:row>
      <xdr:rowOff>1800</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66586</xdr:rowOff>
    </xdr:from>
    <xdr:to>
      <xdr:col>6</xdr:col>
      <xdr:colOff>38100</xdr:colOff>
      <xdr:row>92</xdr:row>
      <xdr:rowOff>39907</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123653</xdr:rowOff>
    </xdr:from>
    <xdr:to>
      <xdr:col>5</xdr:col>
      <xdr:colOff>609600</xdr:colOff>
      <xdr:row>89</xdr:row>
      <xdr:rowOff>8558</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150124</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150124</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67775</xdr:rowOff>
    </xdr:from>
    <xdr:to>
      <xdr:col>5</xdr:col>
      <xdr:colOff>609600</xdr:colOff>
      <xdr:row>191</xdr:row>
      <xdr:rowOff>27854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49667</xdr:rowOff>
    </xdr:from>
    <xdr:to>
      <xdr:col>5</xdr:col>
      <xdr:colOff>609600</xdr:colOff>
      <xdr:row>191</xdr:row>
      <xdr:rowOff>84078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49666</xdr:rowOff>
    </xdr:from>
    <xdr:to>
      <xdr:col>5</xdr:col>
      <xdr:colOff>609600</xdr:colOff>
      <xdr:row>194</xdr:row>
      <xdr:rowOff>125679</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2624</xdr:rowOff>
    </xdr:from>
    <xdr:to>
      <xdr:col>5</xdr:col>
      <xdr:colOff>609600</xdr:colOff>
      <xdr:row>195</xdr:row>
      <xdr:rowOff>140232</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131</xdr:row>
      <xdr:rowOff>142009</xdr:rowOff>
    </xdr:from>
    <xdr:to>
      <xdr:col>5</xdr:col>
      <xdr:colOff>609600</xdr:colOff>
      <xdr:row>137</xdr:row>
      <xdr:rowOff>77234</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142682</xdr:rowOff>
    </xdr:from>
    <xdr:to>
      <xdr:col>5</xdr:col>
      <xdr:colOff>609600</xdr:colOff>
      <xdr:row>182</xdr:row>
      <xdr:rowOff>65925</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142682</xdr:rowOff>
    </xdr:from>
    <xdr:to>
      <xdr:col>5</xdr:col>
      <xdr:colOff>609600</xdr:colOff>
      <xdr:row>182</xdr:row>
      <xdr:rowOff>123075</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142682</xdr:rowOff>
    </xdr:from>
    <xdr:to>
      <xdr:col>5</xdr:col>
      <xdr:colOff>609600</xdr:colOff>
      <xdr:row>184</xdr:row>
      <xdr:rowOff>1800</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140954</xdr:rowOff>
    </xdr:from>
    <xdr:to>
      <xdr:col>6</xdr:col>
      <xdr:colOff>38100</xdr:colOff>
      <xdr:row>93</xdr:row>
      <xdr:rowOff>77341</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464273</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368892</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464273</xdr:rowOff>
    </xdr:from>
    <xdr:to>
      <xdr:col>5</xdr:col>
      <xdr:colOff>609600</xdr:colOff>
      <xdr:row>55</xdr:row>
      <xdr:rowOff>125775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68</xdr:row>
      <xdr:rowOff>122853</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222245</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71</xdr:row>
      <xdr:rowOff>49548</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7578</xdr:rowOff>
    </xdr:from>
    <xdr:to>
      <xdr:col>5</xdr:col>
      <xdr:colOff>609600</xdr:colOff>
      <xdr:row>71</xdr:row>
      <xdr:rowOff>49548</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115932</xdr:rowOff>
    </xdr:from>
    <xdr:to>
      <xdr:col>5</xdr:col>
      <xdr:colOff>609600</xdr:colOff>
      <xdr:row>89</xdr:row>
      <xdr:rowOff>134982</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49667</xdr:rowOff>
    </xdr:from>
    <xdr:to>
      <xdr:col>5</xdr:col>
      <xdr:colOff>609600</xdr:colOff>
      <xdr:row>192</xdr:row>
      <xdr:rowOff>142587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49666</xdr:rowOff>
    </xdr:from>
    <xdr:to>
      <xdr:col>5</xdr:col>
      <xdr:colOff>609600</xdr:colOff>
      <xdr:row>192</xdr:row>
      <xdr:rowOff>103097</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27854</xdr:rowOff>
    </xdr:from>
    <xdr:to>
      <xdr:col>5</xdr:col>
      <xdr:colOff>609600</xdr:colOff>
      <xdr:row>195</xdr:row>
      <xdr:rowOff>125680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150233</xdr:rowOff>
    </xdr:from>
    <xdr:to>
      <xdr:col>5</xdr:col>
      <xdr:colOff>609600</xdr:colOff>
      <xdr:row>196</xdr:row>
      <xdr:rowOff>125680</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116775</xdr:rowOff>
    </xdr:from>
    <xdr:to>
      <xdr:col>5</xdr:col>
      <xdr:colOff>609600</xdr:colOff>
      <xdr:row>183</xdr:row>
      <xdr:rowOff>10237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142682</xdr:rowOff>
    </xdr:from>
    <xdr:to>
      <xdr:col>5</xdr:col>
      <xdr:colOff>609600</xdr:colOff>
      <xdr:row>183</xdr:row>
      <xdr:rowOff>44495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142682</xdr:rowOff>
    </xdr:from>
    <xdr:to>
      <xdr:col>5</xdr:col>
      <xdr:colOff>609600</xdr:colOff>
      <xdr:row>183</xdr:row>
      <xdr:rowOff>104820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120722</xdr:rowOff>
    </xdr:from>
    <xdr:to>
      <xdr:col>5</xdr:col>
      <xdr:colOff>609600</xdr:colOff>
      <xdr:row>184</xdr:row>
      <xdr:rowOff>159347</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140954</xdr:rowOff>
    </xdr:from>
    <xdr:to>
      <xdr:col>6</xdr:col>
      <xdr:colOff>38100</xdr:colOff>
      <xdr:row>93</xdr:row>
      <xdr:rowOff>77341</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464273</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368892</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464273</xdr:rowOff>
    </xdr:from>
    <xdr:to>
      <xdr:col>5</xdr:col>
      <xdr:colOff>609600</xdr:colOff>
      <xdr:row>55</xdr:row>
      <xdr:rowOff>125775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68</xdr:row>
      <xdr:rowOff>122853</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222245</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71</xdr:row>
      <xdr:rowOff>49548</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7578</xdr:rowOff>
    </xdr:from>
    <xdr:to>
      <xdr:col>5</xdr:col>
      <xdr:colOff>609600</xdr:colOff>
      <xdr:row>71</xdr:row>
      <xdr:rowOff>49548</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115932</xdr:rowOff>
    </xdr:from>
    <xdr:to>
      <xdr:col>5</xdr:col>
      <xdr:colOff>609600</xdr:colOff>
      <xdr:row>89</xdr:row>
      <xdr:rowOff>134982</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49667</xdr:rowOff>
    </xdr:from>
    <xdr:to>
      <xdr:col>5</xdr:col>
      <xdr:colOff>609600</xdr:colOff>
      <xdr:row>192</xdr:row>
      <xdr:rowOff>142587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49666</xdr:rowOff>
    </xdr:from>
    <xdr:to>
      <xdr:col>5</xdr:col>
      <xdr:colOff>609600</xdr:colOff>
      <xdr:row>192</xdr:row>
      <xdr:rowOff>103097</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27854</xdr:rowOff>
    </xdr:from>
    <xdr:to>
      <xdr:col>5</xdr:col>
      <xdr:colOff>609600</xdr:colOff>
      <xdr:row>195</xdr:row>
      <xdr:rowOff>125680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150233</xdr:rowOff>
    </xdr:from>
    <xdr:to>
      <xdr:col>5</xdr:col>
      <xdr:colOff>609600</xdr:colOff>
      <xdr:row>196</xdr:row>
      <xdr:rowOff>125680</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116775</xdr:rowOff>
    </xdr:from>
    <xdr:to>
      <xdr:col>5</xdr:col>
      <xdr:colOff>609600</xdr:colOff>
      <xdr:row>183</xdr:row>
      <xdr:rowOff>10237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142682</xdr:rowOff>
    </xdr:from>
    <xdr:to>
      <xdr:col>5</xdr:col>
      <xdr:colOff>609600</xdr:colOff>
      <xdr:row>183</xdr:row>
      <xdr:rowOff>44495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142682</xdr:rowOff>
    </xdr:from>
    <xdr:to>
      <xdr:col>5</xdr:col>
      <xdr:colOff>609600</xdr:colOff>
      <xdr:row>183</xdr:row>
      <xdr:rowOff>104820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120722</xdr:rowOff>
    </xdr:from>
    <xdr:to>
      <xdr:col>5</xdr:col>
      <xdr:colOff>609600</xdr:colOff>
      <xdr:row>184</xdr:row>
      <xdr:rowOff>159347</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47287</xdr:rowOff>
    </xdr:from>
    <xdr:to>
      <xdr:col>5</xdr:col>
      <xdr:colOff>609600</xdr:colOff>
      <xdr:row>234</xdr:row>
      <xdr:rowOff>63954</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20708</xdr:rowOff>
    </xdr:from>
    <xdr:to>
      <xdr:col>5</xdr:col>
      <xdr:colOff>609600</xdr:colOff>
      <xdr:row>233</xdr:row>
      <xdr:rowOff>142560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149438</xdr:rowOff>
    </xdr:from>
    <xdr:to>
      <xdr:col>5</xdr:col>
      <xdr:colOff>609600</xdr:colOff>
      <xdr:row>235</xdr:row>
      <xdr:rowOff>63955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149438</xdr:rowOff>
    </xdr:from>
    <xdr:to>
      <xdr:col>5</xdr:col>
      <xdr:colOff>609600</xdr:colOff>
      <xdr:row>222</xdr:row>
      <xdr:rowOff>149438</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150232</xdr:rowOff>
    </xdr:from>
    <xdr:to>
      <xdr:col>5</xdr:col>
      <xdr:colOff>609600</xdr:colOff>
      <xdr:row>199</xdr:row>
      <xdr:rowOff>142560</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26817</xdr:rowOff>
    </xdr:from>
    <xdr:to>
      <xdr:col>5</xdr:col>
      <xdr:colOff>609600</xdr:colOff>
      <xdr:row>201</xdr:row>
      <xdr:rowOff>1659</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11738</xdr:rowOff>
    </xdr:from>
    <xdr:to>
      <xdr:col>5</xdr:col>
      <xdr:colOff>609600</xdr:colOff>
      <xdr:row>202</xdr:row>
      <xdr:rowOff>63954</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149439</xdr:rowOff>
    </xdr:from>
    <xdr:to>
      <xdr:col>5</xdr:col>
      <xdr:colOff>609600</xdr:colOff>
      <xdr:row>209</xdr:row>
      <xdr:rowOff>20708</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54</xdr:row>
      <xdr:rowOff>339899</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27428</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46665</xdr:rowOff>
    </xdr:from>
    <xdr:to>
      <xdr:col>5</xdr:col>
      <xdr:colOff>628650</xdr:colOff>
      <xdr:row>55</xdr:row>
      <xdr:rowOff>361530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351668</xdr:rowOff>
    </xdr:from>
    <xdr:to>
      <xdr:col>5</xdr:col>
      <xdr:colOff>628650</xdr:colOff>
      <xdr:row>55</xdr:row>
      <xdr:rowOff>179511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197027</xdr:rowOff>
    </xdr:from>
    <xdr:to>
      <xdr:col>5</xdr:col>
      <xdr:colOff>628650</xdr:colOff>
      <xdr:row>57</xdr:row>
      <xdr:rowOff>106374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2254</xdr:rowOff>
    </xdr:from>
    <xdr:to>
      <xdr:col>5</xdr:col>
      <xdr:colOff>628650</xdr:colOff>
      <xdr:row>56</xdr:row>
      <xdr:rowOff>331865</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183878</xdr:rowOff>
    </xdr:from>
    <xdr:to>
      <xdr:col>5</xdr:col>
      <xdr:colOff>628650</xdr:colOff>
      <xdr:row>59</xdr:row>
      <xdr:rowOff>49761</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378759</xdr:rowOff>
    </xdr:from>
    <xdr:to>
      <xdr:col>5</xdr:col>
      <xdr:colOff>628650</xdr:colOff>
      <xdr:row>58</xdr:row>
      <xdr:rowOff>39978</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139818</xdr:rowOff>
    </xdr:from>
    <xdr:to>
      <xdr:col>5</xdr:col>
      <xdr:colOff>628650</xdr:colOff>
      <xdr:row>61</xdr:row>
      <xdr:rowOff>44530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2693</xdr:rowOff>
    </xdr:from>
    <xdr:to>
      <xdr:col>5</xdr:col>
      <xdr:colOff>628650</xdr:colOff>
      <xdr:row>60</xdr:row>
      <xdr:rowOff>65720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171951</xdr:rowOff>
    </xdr:from>
    <xdr:to>
      <xdr:col>5</xdr:col>
      <xdr:colOff>628650</xdr:colOff>
      <xdr:row>78</xdr:row>
      <xdr:rowOff>181409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173640</xdr:rowOff>
    </xdr:from>
    <xdr:to>
      <xdr:col>5</xdr:col>
      <xdr:colOff>628650</xdr:colOff>
      <xdr:row>78</xdr:row>
      <xdr:rowOff>28864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121515</xdr:rowOff>
    </xdr:from>
    <xdr:to>
      <xdr:col>5</xdr:col>
      <xdr:colOff>628650</xdr:colOff>
      <xdr:row>79</xdr:row>
      <xdr:rowOff>141275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151678</xdr:rowOff>
    </xdr:from>
    <xdr:to>
      <xdr:col>5</xdr:col>
      <xdr:colOff>628650</xdr:colOff>
      <xdr:row>78</xdr:row>
      <xdr:rowOff>364185</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121733</xdr:rowOff>
    </xdr:from>
    <xdr:to>
      <xdr:col>5</xdr:col>
      <xdr:colOff>628650</xdr:colOff>
      <xdr:row>81</xdr:row>
      <xdr:rowOff>120939</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145018</xdr:rowOff>
    </xdr:from>
    <xdr:to>
      <xdr:col>5</xdr:col>
      <xdr:colOff>628650</xdr:colOff>
      <xdr:row>80</xdr:row>
      <xdr:rowOff>142635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102646</xdr:rowOff>
    </xdr:from>
    <xdr:to>
      <xdr:col>5</xdr:col>
      <xdr:colOff>628650</xdr:colOff>
      <xdr:row>83</xdr:row>
      <xdr:rowOff>105366</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320911</xdr:rowOff>
    </xdr:from>
    <xdr:to>
      <xdr:col>5</xdr:col>
      <xdr:colOff>628650</xdr:colOff>
      <xdr:row>82</xdr:row>
      <xdr:rowOff>104982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68314</xdr:rowOff>
    </xdr:from>
    <xdr:to>
      <xdr:col>5</xdr:col>
      <xdr:colOff>628650</xdr:colOff>
      <xdr:row>106</xdr:row>
      <xdr:rowOff>29504</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100</xdr:row>
      <xdr:rowOff>75870</xdr:rowOff>
    </xdr:from>
    <xdr:to>
      <xdr:col>5</xdr:col>
      <xdr:colOff>628650</xdr:colOff>
      <xdr:row>105</xdr:row>
      <xdr:rowOff>12038</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102210</xdr:rowOff>
    </xdr:from>
    <xdr:to>
      <xdr:col>5</xdr:col>
      <xdr:colOff>628650</xdr:colOff>
      <xdr:row>107</xdr:row>
      <xdr:rowOff>182942</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65704</xdr:rowOff>
    </xdr:from>
    <xdr:to>
      <xdr:col>5</xdr:col>
      <xdr:colOff>628650</xdr:colOff>
      <xdr:row>106</xdr:row>
      <xdr:rowOff>164385</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101611</xdr:rowOff>
    </xdr:from>
    <xdr:to>
      <xdr:col>5</xdr:col>
      <xdr:colOff>628650</xdr:colOff>
      <xdr:row>109</xdr:row>
      <xdr:rowOff>65805</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134188</xdr:rowOff>
    </xdr:from>
    <xdr:to>
      <xdr:col>5</xdr:col>
      <xdr:colOff>628650</xdr:colOff>
      <xdr:row>108</xdr:row>
      <xdr:rowOff>44612</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104913</xdr:rowOff>
    </xdr:from>
    <xdr:to>
      <xdr:col>5</xdr:col>
      <xdr:colOff>628650</xdr:colOff>
      <xdr:row>111</xdr:row>
      <xdr:rowOff>65459</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122842</xdr:rowOff>
    </xdr:from>
    <xdr:to>
      <xdr:col>5</xdr:col>
      <xdr:colOff>628650</xdr:colOff>
      <xdr:row>110</xdr:row>
      <xdr:rowOff>65102</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47287</xdr:rowOff>
    </xdr:from>
    <xdr:to>
      <xdr:col>5</xdr:col>
      <xdr:colOff>609600</xdr:colOff>
      <xdr:row>234</xdr:row>
      <xdr:rowOff>63954</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20708</xdr:rowOff>
    </xdr:from>
    <xdr:to>
      <xdr:col>5</xdr:col>
      <xdr:colOff>609600</xdr:colOff>
      <xdr:row>233</xdr:row>
      <xdr:rowOff>142560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149438</xdr:rowOff>
    </xdr:from>
    <xdr:to>
      <xdr:col>5</xdr:col>
      <xdr:colOff>609600</xdr:colOff>
      <xdr:row>235</xdr:row>
      <xdr:rowOff>63955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149438</xdr:rowOff>
    </xdr:from>
    <xdr:to>
      <xdr:col>5</xdr:col>
      <xdr:colOff>609600</xdr:colOff>
      <xdr:row>222</xdr:row>
      <xdr:rowOff>149438</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150232</xdr:rowOff>
    </xdr:from>
    <xdr:to>
      <xdr:col>5</xdr:col>
      <xdr:colOff>609600</xdr:colOff>
      <xdr:row>199</xdr:row>
      <xdr:rowOff>142560</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26817</xdr:rowOff>
    </xdr:from>
    <xdr:to>
      <xdr:col>5</xdr:col>
      <xdr:colOff>609600</xdr:colOff>
      <xdr:row>201</xdr:row>
      <xdr:rowOff>1659</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11738</xdr:rowOff>
    </xdr:from>
    <xdr:to>
      <xdr:col>5</xdr:col>
      <xdr:colOff>609600</xdr:colOff>
      <xdr:row>202</xdr:row>
      <xdr:rowOff>63954</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149439</xdr:rowOff>
    </xdr:from>
    <xdr:to>
      <xdr:col>5</xdr:col>
      <xdr:colOff>609600</xdr:colOff>
      <xdr:row>209</xdr:row>
      <xdr:rowOff>20708</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54</xdr:row>
      <xdr:rowOff>339899</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27428</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46665</xdr:rowOff>
    </xdr:from>
    <xdr:to>
      <xdr:col>5</xdr:col>
      <xdr:colOff>628650</xdr:colOff>
      <xdr:row>55</xdr:row>
      <xdr:rowOff>361530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351668</xdr:rowOff>
    </xdr:from>
    <xdr:to>
      <xdr:col>5</xdr:col>
      <xdr:colOff>628650</xdr:colOff>
      <xdr:row>55</xdr:row>
      <xdr:rowOff>179511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197027</xdr:rowOff>
    </xdr:from>
    <xdr:to>
      <xdr:col>5</xdr:col>
      <xdr:colOff>628650</xdr:colOff>
      <xdr:row>57</xdr:row>
      <xdr:rowOff>106374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2254</xdr:rowOff>
    </xdr:from>
    <xdr:to>
      <xdr:col>5</xdr:col>
      <xdr:colOff>628650</xdr:colOff>
      <xdr:row>56</xdr:row>
      <xdr:rowOff>331865</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183878</xdr:rowOff>
    </xdr:from>
    <xdr:to>
      <xdr:col>5</xdr:col>
      <xdr:colOff>628650</xdr:colOff>
      <xdr:row>59</xdr:row>
      <xdr:rowOff>49761</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378759</xdr:rowOff>
    </xdr:from>
    <xdr:to>
      <xdr:col>5</xdr:col>
      <xdr:colOff>628650</xdr:colOff>
      <xdr:row>58</xdr:row>
      <xdr:rowOff>39978</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139818</xdr:rowOff>
    </xdr:from>
    <xdr:to>
      <xdr:col>5</xdr:col>
      <xdr:colOff>628650</xdr:colOff>
      <xdr:row>61</xdr:row>
      <xdr:rowOff>44530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2693</xdr:rowOff>
    </xdr:from>
    <xdr:to>
      <xdr:col>5</xdr:col>
      <xdr:colOff>628650</xdr:colOff>
      <xdr:row>60</xdr:row>
      <xdr:rowOff>65720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171951</xdr:rowOff>
    </xdr:from>
    <xdr:to>
      <xdr:col>5</xdr:col>
      <xdr:colOff>628650</xdr:colOff>
      <xdr:row>78</xdr:row>
      <xdr:rowOff>181409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173640</xdr:rowOff>
    </xdr:from>
    <xdr:to>
      <xdr:col>5</xdr:col>
      <xdr:colOff>628650</xdr:colOff>
      <xdr:row>78</xdr:row>
      <xdr:rowOff>28864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121515</xdr:rowOff>
    </xdr:from>
    <xdr:to>
      <xdr:col>5</xdr:col>
      <xdr:colOff>628650</xdr:colOff>
      <xdr:row>79</xdr:row>
      <xdr:rowOff>141275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151678</xdr:rowOff>
    </xdr:from>
    <xdr:to>
      <xdr:col>5</xdr:col>
      <xdr:colOff>628650</xdr:colOff>
      <xdr:row>78</xdr:row>
      <xdr:rowOff>364185</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121733</xdr:rowOff>
    </xdr:from>
    <xdr:to>
      <xdr:col>5</xdr:col>
      <xdr:colOff>628650</xdr:colOff>
      <xdr:row>81</xdr:row>
      <xdr:rowOff>120939</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145018</xdr:rowOff>
    </xdr:from>
    <xdr:to>
      <xdr:col>5</xdr:col>
      <xdr:colOff>628650</xdr:colOff>
      <xdr:row>80</xdr:row>
      <xdr:rowOff>142635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102646</xdr:rowOff>
    </xdr:from>
    <xdr:to>
      <xdr:col>5</xdr:col>
      <xdr:colOff>628650</xdr:colOff>
      <xdr:row>83</xdr:row>
      <xdr:rowOff>105366</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320911</xdr:rowOff>
    </xdr:from>
    <xdr:to>
      <xdr:col>5</xdr:col>
      <xdr:colOff>628650</xdr:colOff>
      <xdr:row>82</xdr:row>
      <xdr:rowOff>104982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68314</xdr:rowOff>
    </xdr:from>
    <xdr:to>
      <xdr:col>5</xdr:col>
      <xdr:colOff>628650</xdr:colOff>
      <xdr:row>106</xdr:row>
      <xdr:rowOff>29504</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100</xdr:row>
      <xdr:rowOff>75870</xdr:rowOff>
    </xdr:from>
    <xdr:to>
      <xdr:col>5</xdr:col>
      <xdr:colOff>628650</xdr:colOff>
      <xdr:row>105</xdr:row>
      <xdr:rowOff>12038</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102210</xdr:rowOff>
    </xdr:from>
    <xdr:to>
      <xdr:col>5</xdr:col>
      <xdr:colOff>628650</xdr:colOff>
      <xdr:row>107</xdr:row>
      <xdr:rowOff>182942</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65704</xdr:rowOff>
    </xdr:from>
    <xdr:to>
      <xdr:col>5</xdr:col>
      <xdr:colOff>628650</xdr:colOff>
      <xdr:row>106</xdr:row>
      <xdr:rowOff>164385</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101611</xdr:rowOff>
    </xdr:from>
    <xdr:to>
      <xdr:col>5</xdr:col>
      <xdr:colOff>628650</xdr:colOff>
      <xdr:row>109</xdr:row>
      <xdr:rowOff>65805</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134188</xdr:rowOff>
    </xdr:from>
    <xdr:to>
      <xdr:col>5</xdr:col>
      <xdr:colOff>628650</xdr:colOff>
      <xdr:row>108</xdr:row>
      <xdr:rowOff>44612</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104913</xdr:rowOff>
    </xdr:from>
    <xdr:to>
      <xdr:col>5</xdr:col>
      <xdr:colOff>628650</xdr:colOff>
      <xdr:row>111</xdr:row>
      <xdr:rowOff>65459</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122842</xdr:rowOff>
    </xdr:from>
    <xdr:to>
      <xdr:col>5</xdr:col>
      <xdr:colOff>628650</xdr:colOff>
      <xdr:row>110</xdr:row>
      <xdr:rowOff>65102</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47287</xdr:rowOff>
    </xdr:from>
    <xdr:to>
      <xdr:col>5</xdr:col>
      <xdr:colOff>609600</xdr:colOff>
      <xdr:row>234</xdr:row>
      <xdr:rowOff>63954</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20708</xdr:rowOff>
    </xdr:from>
    <xdr:to>
      <xdr:col>5</xdr:col>
      <xdr:colOff>609600</xdr:colOff>
      <xdr:row>233</xdr:row>
      <xdr:rowOff>142560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149438</xdr:rowOff>
    </xdr:from>
    <xdr:to>
      <xdr:col>5</xdr:col>
      <xdr:colOff>609600</xdr:colOff>
      <xdr:row>235</xdr:row>
      <xdr:rowOff>63955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149438</xdr:rowOff>
    </xdr:from>
    <xdr:to>
      <xdr:col>5</xdr:col>
      <xdr:colOff>609600</xdr:colOff>
      <xdr:row>222</xdr:row>
      <xdr:rowOff>149438</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150232</xdr:rowOff>
    </xdr:from>
    <xdr:to>
      <xdr:col>5</xdr:col>
      <xdr:colOff>609600</xdr:colOff>
      <xdr:row>199</xdr:row>
      <xdr:rowOff>142560</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26817</xdr:rowOff>
    </xdr:from>
    <xdr:to>
      <xdr:col>5</xdr:col>
      <xdr:colOff>609600</xdr:colOff>
      <xdr:row>201</xdr:row>
      <xdr:rowOff>1659</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11738</xdr:rowOff>
    </xdr:from>
    <xdr:to>
      <xdr:col>5</xdr:col>
      <xdr:colOff>609600</xdr:colOff>
      <xdr:row>202</xdr:row>
      <xdr:rowOff>63954</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149439</xdr:rowOff>
    </xdr:from>
    <xdr:to>
      <xdr:col>5</xdr:col>
      <xdr:colOff>609600</xdr:colOff>
      <xdr:row>209</xdr:row>
      <xdr:rowOff>20708</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54</xdr:row>
      <xdr:rowOff>339899</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27428</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46665</xdr:rowOff>
    </xdr:from>
    <xdr:to>
      <xdr:col>5</xdr:col>
      <xdr:colOff>628650</xdr:colOff>
      <xdr:row>55</xdr:row>
      <xdr:rowOff>361530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351668</xdr:rowOff>
    </xdr:from>
    <xdr:to>
      <xdr:col>5</xdr:col>
      <xdr:colOff>628650</xdr:colOff>
      <xdr:row>55</xdr:row>
      <xdr:rowOff>179511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197027</xdr:rowOff>
    </xdr:from>
    <xdr:to>
      <xdr:col>5</xdr:col>
      <xdr:colOff>628650</xdr:colOff>
      <xdr:row>57</xdr:row>
      <xdr:rowOff>106374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2254</xdr:rowOff>
    </xdr:from>
    <xdr:to>
      <xdr:col>5</xdr:col>
      <xdr:colOff>628650</xdr:colOff>
      <xdr:row>56</xdr:row>
      <xdr:rowOff>331865</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183878</xdr:rowOff>
    </xdr:from>
    <xdr:to>
      <xdr:col>5</xdr:col>
      <xdr:colOff>628650</xdr:colOff>
      <xdr:row>59</xdr:row>
      <xdr:rowOff>49761</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378759</xdr:rowOff>
    </xdr:from>
    <xdr:to>
      <xdr:col>5</xdr:col>
      <xdr:colOff>628650</xdr:colOff>
      <xdr:row>58</xdr:row>
      <xdr:rowOff>39978</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139818</xdr:rowOff>
    </xdr:from>
    <xdr:to>
      <xdr:col>5</xdr:col>
      <xdr:colOff>628650</xdr:colOff>
      <xdr:row>61</xdr:row>
      <xdr:rowOff>44530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2693</xdr:rowOff>
    </xdr:from>
    <xdr:to>
      <xdr:col>5</xdr:col>
      <xdr:colOff>628650</xdr:colOff>
      <xdr:row>60</xdr:row>
      <xdr:rowOff>65720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171951</xdr:rowOff>
    </xdr:from>
    <xdr:to>
      <xdr:col>5</xdr:col>
      <xdr:colOff>628650</xdr:colOff>
      <xdr:row>78</xdr:row>
      <xdr:rowOff>181409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173640</xdr:rowOff>
    </xdr:from>
    <xdr:to>
      <xdr:col>5</xdr:col>
      <xdr:colOff>628650</xdr:colOff>
      <xdr:row>78</xdr:row>
      <xdr:rowOff>28864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121515</xdr:rowOff>
    </xdr:from>
    <xdr:to>
      <xdr:col>5</xdr:col>
      <xdr:colOff>628650</xdr:colOff>
      <xdr:row>79</xdr:row>
      <xdr:rowOff>141275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151678</xdr:rowOff>
    </xdr:from>
    <xdr:to>
      <xdr:col>5</xdr:col>
      <xdr:colOff>628650</xdr:colOff>
      <xdr:row>78</xdr:row>
      <xdr:rowOff>364185</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121733</xdr:rowOff>
    </xdr:from>
    <xdr:to>
      <xdr:col>5</xdr:col>
      <xdr:colOff>628650</xdr:colOff>
      <xdr:row>81</xdr:row>
      <xdr:rowOff>120939</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145018</xdr:rowOff>
    </xdr:from>
    <xdr:to>
      <xdr:col>5</xdr:col>
      <xdr:colOff>628650</xdr:colOff>
      <xdr:row>80</xdr:row>
      <xdr:rowOff>142635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102646</xdr:rowOff>
    </xdr:from>
    <xdr:to>
      <xdr:col>5</xdr:col>
      <xdr:colOff>628650</xdr:colOff>
      <xdr:row>83</xdr:row>
      <xdr:rowOff>105366</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320911</xdr:rowOff>
    </xdr:from>
    <xdr:to>
      <xdr:col>5</xdr:col>
      <xdr:colOff>628650</xdr:colOff>
      <xdr:row>82</xdr:row>
      <xdr:rowOff>104982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68314</xdr:rowOff>
    </xdr:from>
    <xdr:to>
      <xdr:col>5</xdr:col>
      <xdr:colOff>628650</xdr:colOff>
      <xdr:row>106</xdr:row>
      <xdr:rowOff>29504</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100</xdr:row>
      <xdr:rowOff>75870</xdr:rowOff>
    </xdr:from>
    <xdr:to>
      <xdr:col>5</xdr:col>
      <xdr:colOff>628650</xdr:colOff>
      <xdr:row>105</xdr:row>
      <xdr:rowOff>12038</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102210</xdr:rowOff>
    </xdr:from>
    <xdr:to>
      <xdr:col>5</xdr:col>
      <xdr:colOff>628650</xdr:colOff>
      <xdr:row>107</xdr:row>
      <xdr:rowOff>182942</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65704</xdr:rowOff>
    </xdr:from>
    <xdr:to>
      <xdr:col>5</xdr:col>
      <xdr:colOff>628650</xdr:colOff>
      <xdr:row>106</xdr:row>
      <xdr:rowOff>164385</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101611</xdr:rowOff>
    </xdr:from>
    <xdr:to>
      <xdr:col>5</xdr:col>
      <xdr:colOff>628650</xdr:colOff>
      <xdr:row>109</xdr:row>
      <xdr:rowOff>65805</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134188</xdr:rowOff>
    </xdr:from>
    <xdr:to>
      <xdr:col>5</xdr:col>
      <xdr:colOff>628650</xdr:colOff>
      <xdr:row>108</xdr:row>
      <xdr:rowOff>44612</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104913</xdr:rowOff>
    </xdr:from>
    <xdr:to>
      <xdr:col>5</xdr:col>
      <xdr:colOff>628650</xdr:colOff>
      <xdr:row>111</xdr:row>
      <xdr:rowOff>65459</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122842</xdr:rowOff>
    </xdr:from>
    <xdr:to>
      <xdr:col>5</xdr:col>
      <xdr:colOff>628650</xdr:colOff>
      <xdr:row>110</xdr:row>
      <xdr:rowOff>65102</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63901</xdr:rowOff>
    </xdr:from>
    <xdr:to>
      <xdr:col>5</xdr:col>
      <xdr:colOff>609600</xdr:colOff>
      <xdr:row>221</xdr:row>
      <xdr:rowOff>48819</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9542</xdr:rowOff>
    </xdr:from>
    <xdr:to>
      <xdr:col>5</xdr:col>
      <xdr:colOff>609600</xdr:colOff>
      <xdr:row>220</xdr:row>
      <xdr:rowOff>142747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150010</xdr:rowOff>
    </xdr:from>
    <xdr:to>
      <xdr:col>5</xdr:col>
      <xdr:colOff>609600</xdr:colOff>
      <xdr:row>222</xdr:row>
      <xdr:rowOff>48819</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150009</xdr:rowOff>
    </xdr:from>
    <xdr:to>
      <xdr:col>5</xdr:col>
      <xdr:colOff>609600</xdr:colOff>
      <xdr:row>209</xdr:row>
      <xdr:rowOff>153595</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159944</xdr:rowOff>
    </xdr:from>
    <xdr:to>
      <xdr:col>5</xdr:col>
      <xdr:colOff>609600</xdr:colOff>
      <xdr:row>187</xdr:row>
      <xdr:rowOff>87713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20245</xdr:rowOff>
    </xdr:from>
    <xdr:to>
      <xdr:col>5</xdr:col>
      <xdr:colOff>609600</xdr:colOff>
      <xdr:row>188</xdr:row>
      <xdr:rowOff>86918</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153978</xdr:rowOff>
    </xdr:from>
    <xdr:to>
      <xdr:col>5</xdr:col>
      <xdr:colOff>609600</xdr:colOff>
      <xdr:row>189</xdr:row>
      <xdr:rowOff>105176</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105560</xdr:rowOff>
    </xdr:from>
    <xdr:to>
      <xdr:col>5</xdr:col>
      <xdr:colOff>609600</xdr:colOff>
      <xdr:row>196</xdr:row>
      <xdr:rowOff>49614</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54</xdr:row>
      <xdr:rowOff>27428</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54</xdr:row>
      <xdr:rowOff>206601</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27428</xdr:rowOff>
    </xdr:from>
    <xdr:to>
      <xdr:col>5</xdr:col>
      <xdr:colOff>628650</xdr:colOff>
      <xdr:row>55</xdr:row>
      <xdr:rowOff>332453</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206601</xdr:rowOff>
    </xdr:from>
    <xdr:to>
      <xdr:col>5</xdr:col>
      <xdr:colOff>628650</xdr:colOff>
      <xdr:row>56</xdr:row>
      <xdr:rowOff>155149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387462</xdr:rowOff>
    </xdr:from>
    <xdr:to>
      <xdr:col>5</xdr:col>
      <xdr:colOff>628650</xdr:colOff>
      <xdr:row>56</xdr:row>
      <xdr:rowOff>314279</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37629</xdr:rowOff>
    </xdr:from>
    <xdr:to>
      <xdr:col>5</xdr:col>
      <xdr:colOff>628650</xdr:colOff>
      <xdr:row>73</xdr:row>
      <xdr:rowOff>48056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199198</xdr:rowOff>
    </xdr:from>
    <xdr:to>
      <xdr:col>5</xdr:col>
      <xdr:colOff>628650</xdr:colOff>
      <xdr:row>74</xdr:row>
      <xdr:rowOff>38019</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373180</xdr:rowOff>
    </xdr:from>
    <xdr:to>
      <xdr:col>5</xdr:col>
      <xdr:colOff>628650</xdr:colOff>
      <xdr:row>75</xdr:row>
      <xdr:rowOff>26478</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171463</xdr:rowOff>
    </xdr:from>
    <xdr:to>
      <xdr:col>5</xdr:col>
      <xdr:colOff>628650</xdr:colOff>
      <xdr:row>76</xdr:row>
      <xdr:rowOff>26654</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92</xdr:row>
      <xdr:rowOff>59635</xdr:rowOff>
    </xdr:from>
    <xdr:to>
      <xdr:col>5</xdr:col>
      <xdr:colOff>628650</xdr:colOff>
      <xdr:row>96</xdr:row>
      <xdr:rowOff>28086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47446</xdr:rowOff>
    </xdr:from>
    <xdr:to>
      <xdr:col>5</xdr:col>
      <xdr:colOff>628650</xdr:colOff>
      <xdr:row>96</xdr:row>
      <xdr:rowOff>171055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76816</xdr:rowOff>
    </xdr:from>
    <xdr:to>
      <xdr:col>5</xdr:col>
      <xdr:colOff>628650</xdr:colOff>
      <xdr:row>97</xdr:row>
      <xdr:rowOff>112655</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68709</xdr:rowOff>
    </xdr:from>
    <xdr:to>
      <xdr:col>5</xdr:col>
      <xdr:colOff>628650</xdr:colOff>
      <xdr:row>97</xdr:row>
      <xdr:rowOff>164302</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47232</xdr:rowOff>
    </xdr:from>
    <xdr:to>
      <xdr:col>5</xdr:col>
      <xdr:colOff>609600</xdr:colOff>
      <xdr:row>221</xdr:row>
      <xdr:rowOff>28593</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155182</xdr:rowOff>
    </xdr:from>
    <xdr:to>
      <xdr:col>5</xdr:col>
      <xdr:colOff>609600</xdr:colOff>
      <xdr:row>220</xdr:row>
      <xdr:rowOff>125814</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155182</xdr:rowOff>
    </xdr:from>
    <xdr:to>
      <xdr:col>5</xdr:col>
      <xdr:colOff>609600</xdr:colOff>
      <xdr:row>222</xdr:row>
      <xdr:rowOff>28592</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155182</xdr:rowOff>
    </xdr:from>
    <xdr:to>
      <xdr:col>5</xdr:col>
      <xdr:colOff>609600</xdr:colOff>
      <xdr:row>209</xdr:row>
      <xdr:rowOff>125813</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125813</xdr:rowOff>
    </xdr:from>
    <xdr:to>
      <xdr:col>5</xdr:col>
      <xdr:colOff>609600</xdr:colOff>
      <xdr:row>187</xdr:row>
      <xdr:rowOff>87714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48820</xdr:rowOff>
    </xdr:from>
    <xdr:to>
      <xdr:col>5</xdr:col>
      <xdr:colOff>609600</xdr:colOff>
      <xdr:row>188</xdr:row>
      <xdr:rowOff>86918</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102001</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107557</xdr:rowOff>
    </xdr:from>
    <xdr:to>
      <xdr:col>5</xdr:col>
      <xdr:colOff>609600</xdr:colOff>
      <xdr:row>196</xdr:row>
      <xdr:rowOff>26211</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53</xdr:row>
      <xdr:rowOff>264406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27428</xdr:rowOff>
    </xdr:from>
    <xdr:to>
      <xdr:col>5</xdr:col>
      <xdr:colOff>609600</xdr:colOff>
      <xdr:row>56</xdr:row>
      <xdr:rowOff>105470</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202778</xdr:rowOff>
    </xdr:from>
    <xdr:to>
      <xdr:col>5</xdr:col>
      <xdr:colOff>609600</xdr:colOff>
      <xdr:row>58</xdr:row>
      <xdr:rowOff>26536</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387462</xdr:rowOff>
    </xdr:from>
    <xdr:to>
      <xdr:col>5</xdr:col>
      <xdr:colOff>609600</xdr:colOff>
      <xdr:row>60</xdr:row>
      <xdr:rowOff>21654</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54407</xdr:rowOff>
    </xdr:from>
    <xdr:to>
      <xdr:col>5</xdr:col>
      <xdr:colOff>609600</xdr:colOff>
      <xdr:row>73</xdr:row>
      <xdr:rowOff>48056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180942</xdr:rowOff>
    </xdr:from>
    <xdr:to>
      <xdr:col>5</xdr:col>
      <xdr:colOff>609600</xdr:colOff>
      <xdr:row>74</xdr:row>
      <xdr:rowOff>38019</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354924</xdr:rowOff>
    </xdr:from>
    <xdr:to>
      <xdr:col>5</xdr:col>
      <xdr:colOff>609600</xdr:colOff>
      <xdr:row>75</xdr:row>
      <xdr:rowOff>26478</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154411</xdr:rowOff>
    </xdr:from>
    <xdr:to>
      <xdr:col>5</xdr:col>
      <xdr:colOff>609600</xdr:colOff>
      <xdr:row>76</xdr:row>
      <xdr:rowOff>26654</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39792</xdr:rowOff>
    </xdr:from>
    <xdr:to>
      <xdr:col>5</xdr:col>
      <xdr:colOff>609600</xdr:colOff>
      <xdr:row>96</xdr:row>
      <xdr:rowOff>95969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46652</xdr:rowOff>
    </xdr:from>
    <xdr:to>
      <xdr:col>5</xdr:col>
      <xdr:colOff>609600</xdr:colOff>
      <xdr:row>96</xdr:row>
      <xdr:rowOff>95969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66497</xdr:rowOff>
    </xdr:from>
    <xdr:to>
      <xdr:col>5</xdr:col>
      <xdr:colOff>609600</xdr:colOff>
      <xdr:row>96</xdr:row>
      <xdr:rowOff>227118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45626</xdr:rowOff>
    </xdr:from>
    <xdr:to>
      <xdr:col>5</xdr:col>
      <xdr:colOff>609600</xdr:colOff>
      <xdr:row>97</xdr:row>
      <xdr:rowOff>66425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48026</xdr:rowOff>
    </xdr:from>
    <xdr:to>
      <xdr:col>5</xdr:col>
      <xdr:colOff>609600</xdr:colOff>
      <xdr:row>222</xdr:row>
      <xdr:rowOff>28592</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155182</xdr:rowOff>
    </xdr:from>
    <xdr:to>
      <xdr:col>5</xdr:col>
      <xdr:colOff>609600</xdr:colOff>
      <xdr:row>221</xdr:row>
      <xdr:rowOff>125813</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155182</xdr:rowOff>
    </xdr:from>
    <xdr:to>
      <xdr:col>5</xdr:col>
      <xdr:colOff>609600</xdr:colOff>
      <xdr:row>223</xdr:row>
      <xdr:rowOff>28593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155183</xdr:rowOff>
    </xdr:from>
    <xdr:to>
      <xdr:col>5</xdr:col>
      <xdr:colOff>609600</xdr:colOff>
      <xdr:row>210</xdr:row>
      <xdr:rowOff>125813</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48024</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11626</xdr:rowOff>
    </xdr:from>
    <xdr:to>
      <xdr:col>5</xdr:col>
      <xdr:colOff>609600</xdr:colOff>
      <xdr:row>189</xdr:row>
      <xdr:rowOff>63901</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153595</xdr:rowOff>
    </xdr:from>
    <xdr:to>
      <xdr:col>5</xdr:col>
      <xdr:colOff>609600</xdr:colOff>
      <xdr:row>190</xdr:row>
      <xdr:rowOff>67870</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86918</xdr:rowOff>
    </xdr:from>
    <xdr:to>
      <xdr:col>5</xdr:col>
      <xdr:colOff>609600</xdr:colOff>
      <xdr:row>197</xdr:row>
      <xdr:rowOff>26211</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53</xdr:row>
      <xdr:rowOff>374030</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374030</xdr:rowOff>
    </xdr:from>
    <xdr:to>
      <xdr:col>5</xdr:col>
      <xdr:colOff>609600</xdr:colOff>
      <xdr:row>53</xdr:row>
      <xdr:rowOff>466292</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202778</xdr:rowOff>
    </xdr:from>
    <xdr:to>
      <xdr:col>5</xdr:col>
      <xdr:colOff>609600</xdr:colOff>
      <xdr:row>56</xdr:row>
      <xdr:rowOff>295084</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360590</xdr:rowOff>
    </xdr:from>
    <xdr:to>
      <xdr:col>5</xdr:col>
      <xdr:colOff>609600</xdr:colOff>
      <xdr:row>58</xdr:row>
      <xdr:rowOff>141926</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183068</xdr:rowOff>
    </xdr:from>
    <xdr:to>
      <xdr:col>5</xdr:col>
      <xdr:colOff>609600</xdr:colOff>
      <xdr:row>60</xdr:row>
      <xdr:rowOff>179015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180942</xdr:rowOff>
    </xdr:from>
    <xdr:to>
      <xdr:col>5</xdr:col>
      <xdr:colOff>609600</xdr:colOff>
      <xdr:row>74</xdr:row>
      <xdr:rowOff>38019</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354924</xdr:rowOff>
    </xdr:from>
    <xdr:to>
      <xdr:col>5</xdr:col>
      <xdr:colOff>609600</xdr:colOff>
      <xdr:row>75</xdr:row>
      <xdr:rowOff>26478</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154411</xdr:rowOff>
    </xdr:from>
    <xdr:to>
      <xdr:col>5</xdr:col>
      <xdr:colOff>609600</xdr:colOff>
      <xdr:row>76</xdr:row>
      <xdr:rowOff>26654</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122667</xdr:rowOff>
    </xdr:from>
    <xdr:to>
      <xdr:col>5</xdr:col>
      <xdr:colOff>609600</xdr:colOff>
      <xdr:row>77</xdr:row>
      <xdr:rowOff>47174</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46652</xdr:rowOff>
    </xdr:from>
    <xdr:to>
      <xdr:col>5</xdr:col>
      <xdr:colOff>609600</xdr:colOff>
      <xdr:row>97</xdr:row>
      <xdr:rowOff>107152</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66497</xdr:rowOff>
    </xdr:from>
    <xdr:to>
      <xdr:col>5</xdr:col>
      <xdr:colOff>609600</xdr:colOff>
      <xdr:row>97</xdr:row>
      <xdr:rowOff>107152</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6557</xdr:rowOff>
    </xdr:from>
    <xdr:to>
      <xdr:col>5</xdr:col>
      <xdr:colOff>609600</xdr:colOff>
      <xdr:row>97</xdr:row>
      <xdr:rowOff>105565</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228573</xdr:rowOff>
    </xdr:from>
    <xdr:to>
      <xdr:col>5</xdr:col>
      <xdr:colOff>609600</xdr:colOff>
      <xdr:row>97</xdr:row>
      <xdr:rowOff>229950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117</xdr:row>
      <xdr:rowOff>114435</xdr:rowOff>
    </xdr:from>
    <xdr:to>
      <xdr:col>22</xdr:col>
      <xdr:colOff>21487</xdr:colOff>
      <xdr:row>121</xdr:row>
      <xdr:rowOff>140894</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28593</xdr:rowOff>
    </xdr:from>
    <xdr:to>
      <xdr:col>5</xdr:col>
      <xdr:colOff>609600</xdr:colOff>
      <xdr:row>247</xdr:row>
      <xdr:rowOff>28593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155182</xdr:rowOff>
    </xdr:from>
    <xdr:to>
      <xdr:col>5</xdr:col>
      <xdr:colOff>609600</xdr:colOff>
      <xdr:row>246</xdr:row>
      <xdr:rowOff>125813</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155182</xdr:rowOff>
    </xdr:from>
    <xdr:to>
      <xdr:col>5</xdr:col>
      <xdr:colOff>609600</xdr:colOff>
      <xdr:row>248</xdr:row>
      <xdr:rowOff>28592</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229</xdr:row>
      <xdr:rowOff>155182</xdr:rowOff>
    </xdr:from>
    <xdr:to>
      <xdr:col>5</xdr:col>
      <xdr:colOff>609600</xdr:colOff>
      <xdr:row>235</xdr:row>
      <xdr:rowOff>125814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87713</xdr:rowOff>
    </xdr:from>
    <xdr:to>
      <xdr:col>5</xdr:col>
      <xdr:colOff>609600</xdr:colOff>
      <xdr:row>212</xdr:row>
      <xdr:rowOff>125813</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155182</xdr:rowOff>
    </xdr:from>
    <xdr:to>
      <xdr:col>5</xdr:col>
      <xdr:colOff>609600</xdr:colOff>
      <xdr:row>213</xdr:row>
      <xdr:rowOff>155182</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155182</xdr:rowOff>
    </xdr:from>
    <xdr:to>
      <xdr:col>5</xdr:col>
      <xdr:colOff>609600</xdr:colOff>
      <xdr:row>215</xdr:row>
      <xdr:rowOff>28593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155182</xdr:rowOff>
    </xdr:from>
    <xdr:to>
      <xdr:col>5</xdr:col>
      <xdr:colOff>609600</xdr:colOff>
      <xdr:row>221</xdr:row>
      <xdr:rowOff>155182</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172257</xdr:rowOff>
    </xdr:from>
    <xdr:to>
      <xdr:col>5</xdr:col>
      <xdr:colOff>609600</xdr:colOff>
      <xdr:row>75</xdr:row>
      <xdr:rowOff>103238</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172257</xdr:rowOff>
    </xdr:from>
    <xdr:to>
      <xdr:col>5</xdr:col>
      <xdr:colOff>609600</xdr:colOff>
      <xdr:row>77</xdr:row>
      <xdr:rowOff>27217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104972</xdr:rowOff>
    </xdr:from>
    <xdr:to>
      <xdr:col>5</xdr:col>
      <xdr:colOff>609600</xdr:colOff>
      <xdr:row>77</xdr:row>
      <xdr:rowOff>125067</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124496</xdr:rowOff>
    </xdr:from>
    <xdr:to>
      <xdr:col>5</xdr:col>
      <xdr:colOff>609600</xdr:colOff>
      <xdr:row>79</xdr:row>
      <xdr:rowOff>84283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67918</xdr:rowOff>
    </xdr:from>
    <xdr:to>
      <xdr:col>5</xdr:col>
      <xdr:colOff>609600</xdr:colOff>
      <xdr:row>85</xdr:row>
      <xdr:rowOff>28046</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163087</xdr:rowOff>
    </xdr:from>
    <xdr:to>
      <xdr:col>5</xdr:col>
      <xdr:colOff>609600</xdr:colOff>
      <xdr:row>96</xdr:row>
      <xdr:rowOff>132715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142696</xdr:rowOff>
    </xdr:from>
    <xdr:to>
      <xdr:col>5</xdr:col>
      <xdr:colOff>609600</xdr:colOff>
      <xdr:row>97</xdr:row>
      <xdr:rowOff>49016</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178416</xdr:rowOff>
    </xdr:from>
    <xdr:to>
      <xdr:col>5</xdr:col>
      <xdr:colOff>609600</xdr:colOff>
      <xdr:row>98</xdr:row>
      <xdr:rowOff>9959</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86798</xdr:rowOff>
    </xdr:from>
    <xdr:to>
      <xdr:col>5</xdr:col>
      <xdr:colOff>609600</xdr:colOff>
      <xdr:row>99</xdr:row>
      <xdr:rowOff>11929</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121523</xdr:rowOff>
    </xdr:from>
    <xdr:to>
      <xdr:col>5</xdr:col>
      <xdr:colOff>609600</xdr:colOff>
      <xdr:row>121</xdr:row>
      <xdr:rowOff>122373</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114435</xdr:rowOff>
    </xdr:from>
    <xdr:to>
      <xdr:col>5</xdr:col>
      <xdr:colOff>609600</xdr:colOff>
      <xdr:row>121</xdr:row>
      <xdr:rowOff>122373</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64959</xdr:rowOff>
    </xdr:from>
    <xdr:to>
      <xdr:col>5</xdr:col>
      <xdr:colOff>609600</xdr:colOff>
      <xdr:row>121</xdr:row>
      <xdr:rowOff>122373</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50671</xdr:rowOff>
    </xdr:from>
    <xdr:to>
      <xdr:col>5</xdr:col>
      <xdr:colOff>609600</xdr:colOff>
      <xdr:row>121</xdr:row>
      <xdr:rowOff>122373</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142</xdr:row>
      <xdr:rowOff>45671</xdr:rowOff>
    </xdr:from>
    <xdr:to>
      <xdr:col>22</xdr:col>
      <xdr:colOff>21487</xdr:colOff>
      <xdr:row>146</xdr:row>
      <xdr:rowOff>83772</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68263</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86519</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6368</xdr:rowOff>
    </xdr:from>
    <xdr:to>
      <xdr:col>5</xdr:col>
      <xdr:colOff>609600</xdr:colOff>
      <xdr:row>243</xdr:row>
      <xdr:rowOff>6369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155182</xdr:rowOff>
    </xdr:from>
    <xdr:to>
      <xdr:col>5</xdr:col>
      <xdr:colOff>609600</xdr:colOff>
      <xdr:row>242</xdr:row>
      <xdr:rowOff>122638</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155182</xdr:rowOff>
    </xdr:from>
    <xdr:to>
      <xdr:col>5</xdr:col>
      <xdr:colOff>609600</xdr:colOff>
      <xdr:row>244</xdr:row>
      <xdr:rowOff>6367</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155182</xdr:rowOff>
    </xdr:from>
    <xdr:to>
      <xdr:col>5</xdr:col>
      <xdr:colOff>609600</xdr:colOff>
      <xdr:row>231</xdr:row>
      <xdr:rowOff>122639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84538</xdr:rowOff>
    </xdr:from>
    <xdr:to>
      <xdr:col>5</xdr:col>
      <xdr:colOff>609600</xdr:colOff>
      <xdr:row>208</xdr:row>
      <xdr:rowOff>122638</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155183</xdr:rowOff>
    </xdr:from>
    <xdr:to>
      <xdr:col>5</xdr:col>
      <xdr:colOff>609600</xdr:colOff>
      <xdr:row>209</xdr:row>
      <xdr:rowOff>161532</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155182</xdr:rowOff>
    </xdr:from>
    <xdr:to>
      <xdr:col>5</xdr:col>
      <xdr:colOff>609600</xdr:colOff>
      <xdr:row>211</xdr:row>
      <xdr:rowOff>6369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155182</xdr:rowOff>
    </xdr:from>
    <xdr:to>
      <xdr:col>5</xdr:col>
      <xdr:colOff>609600</xdr:colOff>
      <xdr:row>217</xdr:row>
      <xdr:rowOff>161532</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44800</xdr:rowOff>
    </xdr:from>
    <xdr:to>
      <xdr:col>5</xdr:col>
      <xdr:colOff>609600</xdr:colOff>
      <xdr:row>71</xdr:row>
      <xdr:rowOff>140154</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44800</xdr:rowOff>
    </xdr:from>
    <xdr:to>
      <xdr:col>5</xdr:col>
      <xdr:colOff>609600</xdr:colOff>
      <xdr:row>73</xdr:row>
      <xdr:rowOff>10339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154103</xdr:rowOff>
    </xdr:from>
    <xdr:to>
      <xdr:col>5</xdr:col>
      <xdr:colOff>609600</xdr:colOff>
      <xdr:row>73</xdr:row>
      <xdr:rowOff>142192</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103213</xdr:rowOff>
    </xdr:from>
    <xdr:to>
      <xdr:col>5</xdr:col>
      <xdr:colOff>609600</xdr:colOff>
      <xdr:row>77</xdr:row>
      <xdr:rowOff>10959</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67106</xdr:rowOff>
    </xdr:from>
    <xdr:to>
      <xdr:col>5</xdr:col>
      <xdr:colOff>609600</xdr:colOff>
      <xdr:row>81</xdr:row>
      <xdr:rowOff>31139</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8995</xdr:rowOff>
    </xdr:from>
    <xdr:to>
      <xdr:col>5</xdr:col>
      <xdr:colOff>609600</xdr:colOff>
      <xdr:row>93</xdr:row>
      <xdr:rowOff>46652</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163995</xdr:rowOff>
    </xdr:from>
    <xdr:to>
      <xdr:col>5</xdr:col>
      <xdr:colOff>609600</xdr:colOff>
      <xdr:row>94</xdr:row>
      <xdr:rowOff>66497</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149769</xdr:rowOff>
    </xdr:from>
    <xdr:to>
      <xdr:col>5</xdr:col>
      <xdr:colOff>609600</xdr:colOff>
      <xdr:row>95</xdr:row>
      <xdr:rowOff>6557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140541</xdr:rowOff>
    </xdr:from>
    <xdr:to>
      <xdr:col>5</xdr:col>
      <xdr:colOff>609600</xdr:colOff>
      <xdr:row>95</xdr:row>
      <xdr:rowOff>189574</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140867</xdr:rowOff>
    </xdr:from>
    <xdr:to>
      <xdr:col>5</xdr:col>
      <xdr:colOff>609600</xdr:colOff>
      <xdr:row>117</xdr:row>
      <xdr:rowOff>141569</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122318</xdr:rowOff>
    </xdr:from>
    <xdr:to>
      <xdr:col>5</xdr:col>
      <xdr:colOff>609600</xdr:colOff>
      <xdr:row>117</xdr:row>
      <xdr:rowOff>141569</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126286</xdr:rowOff>
    </xdr:from>
    <xdr:to>
      <xdr:col>5</xdr:col>
      <xdr:colOff>609600</xdr:colOff>
      <xdr:row>117</xdr:row>
      <xdr:rowOff>141569</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64757</xdr:rowOff>
    </xdr:from>
    <xdr:to>
      <xdr:col>5</xdr:col>
      <xdr:colOff>609600</xdr:colOff>
      <xdr:row>117</xdr:row>
      <xdr:rowOff>141569</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67001</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138</xdr:row>
      <xdr:rowOff>25828</xdr:rowOff>
    </xdr:from>
    <xdr:to>
      <xdr:col>22</xdr:col>
      <xdr:colOff>21487</xdr:colOff>
      <xdr:row>142</xdr:row>
      <xdr:rowOff>58371</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28279</xdr:rowOff>
    </xdr:from>
    <xdr:to>
      <xdr:col>21</xdr:col>
      <xdr:colOff>705973</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49150</xdr:rowOff>
    </xdr:from>
    <xdr:to>
      <xdr:col>16</xdr:col>
      <xdr:colOff>705973</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67870</xdr:rowOff>
    </xdr:from>
    <xdr:to>
      <xdr:col>5</xdr:col>
      <xdr:colOff>609600</xdr:colOff>
      <xdr:row>220</xdr:row>
      <xdr:rowOff>47233</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28593</xdr:rowOff>
    </xdr:from>
    <xdr:to>
      <xdr:col>5</xdr:col>
      <xdr:colOff>609600</xdr:colOff>
      <xdr:row>219</xdr:row>
      <xdr:rowOff>149626</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7161</xdr:rowOff>
    </xdr:from>
    <xdr:to>
      <xdr:col>5</xdr:col>
      <xdr:colOff>609600</xdr:colOff>
      <xdr:row>221</xdr:row>
      <xdr:rowOff>47232</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149626</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180</xdr:row>
      <xdr:rowOff>87713</xdr:rowOff>
    </xdr:from>
    <xdr:to>
      <xdr:col>5</xdr:col>
      <xdr:colOff>609600</xdr:colOff>
      <xdr:row>186</xdr:row>
      <xdr:rowOff>121051</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160739</xdr:rowOff>
    </xdr:from>
    <xdr:to>
      <xdr:col>5</xdr:col>
      <xdr:colOff>609600</xdr:colOff>
      <xdr:row>187</xdr:row>
      <xdr:rowOff>125814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11626</xdr:rowOff>
    </xdr:from>
    <xdr:to>
      <xdr:col>5</xdr:col>
      <xdr:colOff>609600</xdr:colOff>
      <xdr:row>188</xdr:row>
      <xdr:rowOff>121845</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153595</xdr:rowOff>
    </xdr:from>
    <xdr:to>
      <xdr:col>5</xdr:col>
      <xdr:colOff>609600</xdr:colOff>
      <xdr:row>195</xdr:row>
      <xdr:rowOff>63902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292428</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54</xdr:row>
      <xdr:rowOff>122891</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56</xdr:row>
      <xdr:rowOff>86446</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245495</xdr:rowOff>
    </xdr:from>
    <xdr:to>
      <xdr:col>5</xdr:col>
      <xdr:colOff>609600</xdr:colOff>
      <xdr:row>60</xdr:row>
      <xdr:rowOff>104168</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26150</xdr:rowOff>
    </xdr:from>
    <xdr:to>
      <xdr:col>5</xdr:col>
      <xdr:colOff>609600</xdr:colOff>
      <xdr:row>70</xdr:row>
      <xdr:rowOff>369211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9506</xdr:rowOff>
    </xdr:from>
    <xdr:to>
      <xdr:col>5</xdr:col>
      <xdr:colOff>609600</xdr:colOff>
      <xdr:row>95</xdr:row>
      <xdr:rowOff>171084</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95</xdr:row>
      <xdr:rowOff>171084</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95</xdr:row>
      <xdr:rowOff>171084</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141391</xdr:rowOff>
    </xdr:from>
    <xdr:to>
      <xdr:col>5</xdr:col>
      <xdr:colOff>609600</xdr:colOff>
      <xdr:row>95</xdr:row>
      <xdr:rowOff>171084</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115</xdr:row>
      <xdr:rowOff>125493</xdr:rowOff>
    </xdr:from>
    <xdr:to>
      <xdr:col>22</xdr:col>
      <xdr:colOff>21487</xdr:colOff>
      <xdr:row>119</xdr:row>
      <xdr:rowOff>154536</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22</xdr:row>
      <xdr:rowOff>28279</xdr:rowOff>
    </xdr:from>
    <xdr:to>
      <xdr:col>23</xdr:col>
      <xdr:colOff>192936</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119</xdr:row>
      <xdr:rowOff>122642</xdr:rowOff>
    </xdr:from>
    <xdr:to>
      <xdr:col>23</xdr:col>
      <xdr:colOff>192936</xdr:colOff>
      <xdr:row>123</xdr:row>
      <xdr:rowOff>88007</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49613</xdr:rowOff>
    </xdr:from>
    <xdr:to>
      <xdr:col>5</xdr:col>
      <xdr:colOff>609600</xdr:colOff>
      <xdr:row>221</xdr:row>
      <xdr:rowOff>47232</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7161</xdr:rowOff>
    </xdr:from>
    <xdr:to>
      <xdr:col>5</xdr:col>
      <xdr:colOff>609600</xdr:colOff>
      <xdr:row>220</xdr:row>
      <xdr:rowOff>149627</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222</xdr:row>
      <xdr:rowOff>47232</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7162</xdr:rowOff>
    </xdr:from>
    <xdr:to>
      <xdr:col>5</xdr:col>
      <xdr:colOff>609600</xdr:colOff>
      <xdr:row>209</xdr:row>
      <xdr:rowOff>149626</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87713</xdr:rowOff>
    </xdr:from>
    <xdr:to>
      <xdr:col>5</xdr:col>
      <xdr:colOff>609600</xdr:colOff>
      <xdr:row>187</xdr:row>
      <xdr:rowOff>68664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11130</xdr:rowOff>
    </xdr:from>
    <xdr:to>
      <xdr:col>5</xdr:col>
      <xdr:colOff>609600</xdr:colOff>
      <xdr:row>188</xdr:row>
      <xdr:rowOff>122752</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106764</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106764</xdr:rowOff>
    </xdr:from>
    <xdr:to>
      <xdr:col>5</xdr:col>
      <xdr:colOff>609600</xdr:colOff>
      <xdr:row>196</xdr:row>
      <xdr:rowOff>63901</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53</xdr:row>
      <xdr:rowOff>316240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10431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240040</xdr:rowOff>
    </xdr:from>
    <xdr:to>
      <xdr:col>5</xdr:col>
      <xdr:colOff>609600</xdr:colOff>
      <xdr:row>55</xdr:row>
      <xdr:rowOff>303110</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278140</xdr:rowOff>
    </xdr:from>
    <xdr:to>
      <xdr:col>5</xdr:col>
      <xdr:colOff>609600</xdr:colOff>
      <xdr:row>57</xdr:row>
      <xdr:rowOff>202748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29481</xdr:rowOff>
    </xdr:from>
    <xdr:to>
      <xdr:col>5</xdr:col>
      <xdr:colOff>609600</xdr:colOff>
      <xdr:row>61</xdr:row>
      <xdr:rowOff>102870</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278837</xdr:rowOff>
    </xdr:from>
    <xdr:to>
      <xdr:col>5</xdr:col>
      <xdr:colOff>609600</xdr:colOff>
      <xdr:row>75</xdr:row>
      <xdr:rowOff>47909</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96</xdr:row>
      <xdr:rowOff>114225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96</xdr:row>
      <xdr:rowOff>114225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7758</xdr:rowOff>
    </xdr:from>
    <xdr:to>
      <xdr:col>5</xdr:col>
      <xdr:colOff>609600</xdr:colOff>
      <xdr:row>96</xdr:row>
      <xdr:rowOff>114225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122852</xdr:rowOff>
    </xdr:from>
    <xdr:to>
      <xdr:col>5</xdr:col>
      <xdr:colOff>609600</xdr:colOff>
      <xdr:row>96</xdr:row>
      <xdr:rowOff>114225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83807</xdr:rowOff>
    </xdr:from>
    <xdr:to>
      <xdr:col>22</xdr:col>
      <xdr:colOff>21487</xdr:colOff>
      <xdr:row>120</xdr:row>
      <xdr:rowOff>154534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120</xdr:row>
      <xdr:rowOff>122638</xdr:rowOff>
    </xdr:from>
    <xdr:to>
      <xdr:col>23</xdr:col>
      <xdr:colOff>192936</xdr:colOff>
      <xdr:row>124</xdr:row>
      <xdr:rowOff>88006</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49613</xdr:rowOff>
    </xdr:from>
    <xdr:to>
      <xdr:col>5</xdr:col>
      <xdr:colOff>609600</xdr:colOff>
      <xdr:row>221</xdr:row>
      <xdr:rowOff>47232</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7161</xdr:rowOff>
    </xdr:from>
    <xdr:to>
      <xdr:col>5</xdr:col>
      <xdr:colOff>609600</xdr:colOff>
      <xdr:row>220</xdr:row>
      <xdr:rowOff>149627</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222</xdr:row>
      <xdr:rowOff>47232</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7162</xdr:rowOff>
    </xdr:from>
    <xdr:to>
      <xdr:col>5</xdr:col>
      <xdr:colOff>609600</xdr:colOff>
      <xdr:row>209</xdr:row>
      <xdr:rowOff>149626</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87713</xdr:rowOff>
    </xdr:from>
    <xdr:to>
      <xdr:col>5</xdr:col>
      <xdr:colOff>609600</xdr:colOff>
      <xdr:row>187</xdr:row>
      <xdr:rowOff>68664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11130</xdr:rowOff>
    </xdr:from>
    <xdr:to>
      <xdr:col>5</xdr:col>
      <xdr:colOff>609600</xdr:colOff>
      <xdr:row>188</xdr:row>
      <xdr:rowOff>122752</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106764</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106764</xdr:rowOff>
    </xdr:from>
    <xdr:to>
      <xdr:col>5</xdr:col>
      <xdr:colOff>609600</xdr:colOff>
      <xdr:row>196</xdr:row>
      <xdr:rowOff>63901</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53</xdr:row>
      <xdr:rowOff>316240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10431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240040</xdr:rowOff>
    </xdr:from>
    <xdr:to>
      <xdr:col>5</xdr:col>
      <xdr:colOff>609600</xdr:colOff>
      <xdr:row>55</xdr:row>
      <xdr:rowOff>303110</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278140</xdr:rowOff>
    </xdr:from>
    <xdr:to>
      <xdr:col>5</xdr:col>
      <xdr:colOff>609600</xdr:colOff>
      <xdr:row>57</xdr:row>
      <xdr:rowOff>202748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29481</xdr:rowOff>
    </xdr:from>
    <xdr:to>
      <xdr:col>5</xdr:col>
      <xdr:colOff>609600</xdr:colOff>
      <xdr:row>61</xdr:row>
      <xdr:rowOff>102870</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278837</xdr:rowOff>
    </xdr:from>
    <xdr:to>
      <xdr:col>5</xdr:col>
      <xdr:colOff>609600</xdr:colOff>
      <xdr:row>75</xdr:row>
      <xdr:rowOff>47909</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96</xdr:row>
      <xdr:rowOff>114225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96</xdr:row>
      <xdr:rowOff>114225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7758</xdr:rowOff>
    </xdr:from>
    <xdr:to>
      <xdr:col>5</xdr:col>
      <xdr:colOff>609600</xdr:colOff>
      <xdr:row>96</xdr:row>
      <xdr:rowOff>114225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122852</xdr:rowOff>
    </xdr:from>
    <xdr:to>
      <xdr:col>5</xdr:col>
      <xdr:colOff>609600</xdr:colOff>
      <xdr:row>96</xdr:row>
      <xdr:rowOff>114225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83807</xdr:rowOff>
    </xdr:from>
    <xdr:to>
      <xdr:col>22</xdr:col>
      <xdr:colOff>21487</xdr:colOff>
      <xdr:row>120</xdr:row>
      <xdr:rowOff>154534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120</xdr:row>
      <xdr:rowOff>122638</xdr:rowOff>
    </xdr:from>
    <xdr:to>
      <xdr:col>23</xdr:col>
      <xdr:colOff>192936</xdr:colOff>
      <xdr:row>124</xdr:row>
      <xdr:rowOff>88006</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49613</xdr:rowOff>
    </xdr:from>
    <xdr:to>
      <xdr:col>5</xdr:col>
      <xdr:colOff>609600</xdr:colOff>
      <xdr:row>221</xdr:row>
      <xdr:rowOff>47232</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7161</xdr:rowOff>
    </xdr:from>
    <xdr:to>
      <xdr:col>5</xdr:col>
      <xdr:colOff>609600</xdr:colOff>
      <xdr:row>220</xdr:row>
      <xdr:rowOff>149627</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222</xdr:row>
      <xdr:rowOff>47232</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7162</xdr:rowOff>
    </xdr:from>
    <xdr:to>
      <xdr:col>5</xdr:col>
      <xdr:colOff>609600</xdr:colOff>
      <xdr:row>209</xdr:row>
      <xdr:rowOff>149626</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87713</xdr:rowOff>
    </xdr:from>
    <xdr:to>
      <xdr:col>5</xdr:col>
      <xdr:colOff>609600</xdr:colOff>
      <xdr:row>187</xdr:row>
      <xdr:rowOff>68664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11130</xdr:rowOff>
    </xdr:from>
    <xdr:to>
      <xdr:col>5</xdr:col>
      <xdr:colOff>609600</xdr:colOff>
      <xdr:row>188</xdr:row>
      <xdr:rowOff>122752</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106764</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106764</xdr:rowOff>
    </xdr:from>
    <xdr:to>
      <xdr:col>5</xdr:col>
      <xdr:colOff>609600</xdr:colOff>
      <xdr:row>196</xdr:row>
      <xdr:rowOff>63901</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53</xdr:row>
      <xdr:rowOff>316240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10431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240040</xdr:rowOff>
    </xdr:from>
    <xdr:to>
      <xdr:col>5</xdr:col>
      <xdr:colOff>609600</xdr:colOff>
      <xdr:row>55</xdr:row>
      <xdr:rowOff>303110</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278140</xdr:rowOff>
    </xdr:from>
    <xdr:to>
      <xdr:col>5</xdr:col>
      <xdr:colOff>609600</xdr:colOff>
      <xdr:row>57</xdr:row>
      <xdr:rowOff>202748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29481</xdr:rowOff>
    </xdr:from>
    <xdr:to>
      <xdr:col>5</xdr:col>
      <xdr:colOff>609600</xdr:colOff>
      <xdr:row>61</xdr:row>
      <xdr:rowOff>102870</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278837</xdr:rowOff>
    </xdr:from>
    <xdr:to>
      <xdr:col>5</xdr:col>
      <xdr:colOff>609600</xdr:colOff>
      <xdr:row>75</xdr:row>
      <xdr:rowOff>47909</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96</xdr:row>
      <xdr:rowOff>114225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96</xdr:row>
      <xdr:rowOff>114225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7758</xdr:rowOff>
    </xdr:from>
    <xdr:to>
      <xdr:col>5</xdr:col>
      <xdr:colOff>609600</xdr:colOff>
      <xdr:row>96</xdr:row>
      <xdr:rowOff>114225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122852</xdr:rowOff>
    </xdr:from>
    <xdr:to>
      <xdr:col>5</xdr:col>
      <xdr:colOff>609600</xdr:colOff>
      <xdr:row>96</xdr:row>
      <xdr:rowOff>114225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83807</xdr:rowOff>
    </xdr:from>
    <xdr:to>
      <xdr:col>22</xdr:col>
      <xdr:colOff>21487</xdr:colOff>
      <xdr:row>120</xdr:row>
      <xdr:rowOff>154534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120</xdr:row>
      <xdr:rowOff>122638</xdr:rowOff>
    </xdr:from>
    <xdr:to>
      <xdr:col>23</xdr:col>
      <xdr:colOff>192936</xdr:colOff>
      <xdr:row>124</xdr:row>
      <xdr:rowOff>88006</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27006</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154253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66</xdr:row>
      <xdr:rowOff>173303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154582</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37451</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153887</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101600</xdr:rowOff>
    </xdr:from>
    <xdr:to>
      <xdr:col>25</xdr:col>
      <xdr:colOff>230242</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29074</xdr:rowOff>
    </xdr:from>
    <xdr:to>
      <xdr:col>25</xdr:col>
      <xdr:colOff>230242</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230242</xdr:colOff>
      <xdr:row>130</xdr:row>
      <xdr:rowOff>27383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11131</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160603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67</xdr:row>
      <xdr:rowOff>7410</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141736</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8579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172937</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217542</xdr:colOff>
      <xdr:row>130</xdr:row>
      <xdr:rowOff>27383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11131</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160603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67</xdr:row>
      <xdr:rowOff>7410</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141736</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8579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172937</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217542</xdr:colOff>
      <xdr:row>130</xdr:row>
      <xdr:rowOff>27383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11131</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160603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67</xdr:row>
      <xdr:rowOff>7410</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141736</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8579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172937</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217542</xdr:colOff>
      <xdr:row>130</xdr:row>
      <xdr:rowOff>27383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230242</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125</xdr:row>
      <xdr:rowOff>172937</xdr:rowOff>
    </xdr:from>
    <xdr:to>
      <xdr:col>26</xdr:col>
      <xdr:colOff>230242</xdr:colOff>
      <xdr:row>129</xdr:row>
      <xdr:rowOff>161824</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241</xdr:row>
      <xdr:rowOff>47232</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7162</xdr:rowOff>
    </xdr:from>
    <xdr:to>
      <xdr:col>5</xdr:col>
      <xdr:colOff>609600</xdr:colOff>
      <xdr:row>240</xdr:row>
      <xdr:rowOff>149626</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7162</xdr:rowOff>
    </xdr:from>
    <xdr:to>
      <xdr:col>5</xdr:col>
      <xdr:colOff>609600</xdr:colOff>
      <xdr:row>242</xdr:row>
      <xdr:rowOff>47232</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7162</xdr:rowOff>
    </xdr:from>
    <xdr:to>
      <xdr:col>5</xdr:col>
      <xdr:colOff>609600</xdr:colOff>
      <xdr:row>229</xdr:row>
      <xdr:rowOff>149626</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123432</xdr:rowOff>
    </xdr:from>
    <xdr:to>
      <xdr:col>5</xdr:col>
      <xdr:colOff>609600</xdr:colOff>
      <xdr:row>206</xdr:row>
      <xdr:rowOff>149626</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26212</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209</xdr:row>
      <xdr:rowOff>47232</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7163</xdr:rowOff>
    </xdr:from>
    <xdr:to>
      <xdr:col>5</xdr:col>
      <xdr:colOff>609600</xdr:colOff>
      <xdr:row>216</xdr:row>
      <xdr:rowOff>26211</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68</xdr:row>
      <xdr:rowOff>10591</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120804</xdr:rowOff>
    </xdr:from>
    <xdr:to>
      <xdr:col>5</xdr:col>
      <xdr:colOff>628650</xdr:colOff>
      <xdr:row>83</xdr:row>
      <xdr:rowOff>59220</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83</xdr:row>
      <xdr:rowOff>60014</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12562</xdr:rowOff>
    </xdr:from>
    <xdr:to>
      <xdr:col>5</xdr:col>
      <xdr:colOff>609600</xdr:colOff>
      <xdr:row>83</xdr:row>
      <xdr:rowOff>79064</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25864</xdr:rowOff>
    </xdr:from>
    <xdr:to>
      <xdr:col>5</xdr:col>
      <xdr:colOff>609600</xdr:colOff>
      <xdr:row>86</xdr:row>
      <xdr:rowOff>8995</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8995</xdr:rowOff>
    </xdr:from>
    <xdr:to>
      <xdr:col>5</xdr:col>
      <xdr:colOff>609600</xdr:colOff>
      <xdr:row>93</xdr:row>
      <xdr:rowOff>155474</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85989</xdr:rowOff>
    </xdr:from>
    <xdr:to>
      <xdr:col>5</xdr:col>
      <xdr:colOff>609600</xdr:colOff>
      <xdr:row>93</xdr:row>
      <xdr:rowOff>9127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38364</xdr:rowOff>
    </xdr:from>
    <xdr:to>
      <xdr:col>5</xdr:col>
      <xdr:colOff>609600</xdr:colOff>
      <xdr:row>93</xdr:row>
      <xdr:rowOff>88799</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45509</xdr:rowOff>
    </xdr:from>
    <xdr:to>
      <xdr:col>5</xdr:col>
      <xdr:colOff>609600</xdr:colOff>
      <xdr:row>94</xdr:row>
      <xdr:rowOff>140394</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151219</xdr:rowOff>
    </xdr:from>
    <xdr:to>
      <xdr:col>5</xdr:col>
      <xdr:colOff>609600</xdr:colOff>
      <xdr:row>119</xdr:row>
      <xdr:rowOff>45383</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68163</xdr:rowOff>
    </xdr:from>
    <xdr:to>
      <xdr:col>5</xdr:col>
      <xdr:colOff>609600</xdr:colOff>
      <xdr:row>117</xdr:row>
      <xdr:rowOff>141835</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47498</xdr:rowOff>
    </xdr:from>
    <xdr:to>
      <xdr:col>5</xdr:col>
      <xdr:colOff>609600</xdr:colOff>
      <xdr:row>117</xdr:row>
      <xdr:rowOff>46703</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9398</xdr:rowOff>
    </xdr:from>
    <xdr:to>
      <xdr:col>5</xdr:col>
      <xdr:colOff>609600</xdr:colOff>
      <xdr:row>117</xdr:row>
      <xdr:rowOff>114436</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136</xdr:row>
      <xdr:rowOff>83771</xdr:rowOff>
    </xdr:from>
    <xdr:to>
      <xdr:col>22</xdr:col>
      <xdr:colOff>7993</xdr:colOff>
      <xdr:row>140</xdr:row>
      <xdr:rowOff>121872</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140</xdr:row>
      <xdr:rowOff>102822</xdr:rowOff>
    </xdr:from>
    <xdr:to>
      <xdr:col>23</xdr:col>
      <xdr:colOff>179442</xdr:colOff>
      <xdr:row>144</xdr:row>
      <xdr:rowOff>68691</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53</xdr:row>
      <xdr:rowOff>228601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140</xdr:row>
      <xdr:rowOff>102822</xdr:rowOff>
    </xdr:from>
    <xdr:to>
      <xdr:col>25</xdr:col>
      <xdr:colOff>217542</xdr:colOff>
      <xdr:row>145</xdr:row>
      <xdr:rowOff>1718</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140</xdr:row>
      <xdr:rowOff>121872</xdr:rowOff>
    </xdr:from>
    <xdr:to>
      <xdr:col>26</xdr:col>
      <xdr:colOff>217542</xdr:colOff>
      <xdr:row>144</xdr:row>
      <xdr:rowOff>140394</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241</xdr:row>
      <xdr:rowOff>47232</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7162</xdr:rowOff>
    </xdr:from>
    <xdr:to>
      <xdr:col>5</xdr:col>
      <xdr:colOff>609600</xdr:colOff>
      <xdr:row>240</xdr:row>
      <xdr:rowOff>149626</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7162</xdr:rowOff>
    </xdr:from>
    <xdr:to>
      <xdr:col>5</xdr:col>
      <xdr:colOff>609600</xdr:colOff>
      <xdr:row>242</xdr:row>
      <xdr:rowOff>47232</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7162</xdr:rowOff>
    </xdr:from>
    <xdr:to>
      <xdr:col>5</xdr:col>
      <xdr:colOff>609600</xdr:colOff>
      <xdr:row>229</xdr:row>
      <xdr:rowOff>149626</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123432</xdr:rowOff>
    </xdr:from>
    <xdr:to>
      <xdr:col>5</xdr:col>
      <xdr:colOff>609600</xdr:colOff>
      <xdr:row>206</xdr:row>
      <xdr:rowOff>149626</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26212</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209</xdr:row>
      <xdr:rowOff>47232</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7163</xdr:rowOff>
    </xdr:from>
    <xdr:to>
      <xdr:col>5</xdr:col>
      <xdr:colOff>609600</xdr:colOff>
      <xdr:row>216</xdr:row>
      <xdr:rowOff>26211</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68</xdr:row>
      <xdr:rowOff>10591</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120804</xdr:rowOff>
    </xdr:from>
    <xdr:to>
      <xdr:col>5</xdr:col>
      <xdr:colOff>628650</xdr:colOff>
      <xdr:row>83</xdr:row>
      <xdr:rowOff>59220</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83</xdr:row>
      <xdr:rowOff>60014</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12562</xdr:rowOff>
    </xdr:from>
    <xdr:to>
      <xdr:col>5</xdr:col>
      <xdr:colOff>609600</xdr:colOff>
      <xdr:row>83</xdr:row>
      <xdr:rowOff>79064</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25864</xdr:rowOff>
    </xdr:from>
    <xdr:to>
      <xdr:col>5</xdr:col>
      <xdr:colOff>609600</xdr:colOff>
      <xdr:row>86</xdr:row>
      <xdr:rowOff>8995</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8995</xdr:rowOff>
    </xdr:from>
    <xdr:to>
      <xdr:col>5</xdr:col>
      <xdr:colOff>609600</xdr:colOff>
      <xdr:row>93</xdr:row>
      <xdr:rowOff>155474</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85989</xdr:rowOff>
    </xdr:from>
    <xdr:to>
      <xdr:col>5</xdr:col>
      <xdr:colOff>609600</xdr:colOff>
      <xdr:row>93</xdr:row>
      <xdr:rowOff>9127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38364</xdr:rowOff>
    </xdr:from>
    <xdr:to>
      <xdr:col>5</xdr:col>
      <xdr:colOff>609600</xdr:colOff>
      <xdr:row>93</xdr:row>
      <xdr:rowOff>88799</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45509</xdr:rowOff>
    </xdr:from>
    <xdr:to>
      <xdr:col>5</xdr:col>
      <xdr:colOff>609600</xdr:colOff>
      <xdr:row>94</xdr:row>
      <xdr:rowOff>140394</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151219</xdr:rowOff>
    </xdr:from>
    <xdr:to>
      <xdr:col>5</xdr:col>
      <xdr:colOff>609600</xdr:colOff>
      <xdr:row>119</xdr:row>
      <xdr:rowOff>45383</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68163</xdr:rowOff>
    </xdr:from>
    <xdr:to>
      <xdr:col>5</xdr:col>
      <xdr:colOff>609600</xdr:colOff>
      <xdr:row>117</xdr:row>
      <xdr:rowOff>141835</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47498</xdr:rowOff>
    </xdr:from>
    <xdr:to>
      <xdr:col>5</xdr:col>
      <xdr:colOff>609600</xdr:colOff>
      <xdr:row>117</xdr:row>
      <xdr:rowOff>46703</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9398</xdr:rowOff>
    </xdr:from>
    <xdr:to>
      <xdr:col>5</xdr:col>
      <xdr:colOff>609600</xdr:colOff>
      <xdr:row>117</xdr:row>
      <xdr:rowOff>114436</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136</xdr:row>
      <xdr:rowOff>83771</xdr:rowOff>
    </xdr:from>
    <xdr:to>
      <xdr:col>22</xdr:col>
      <xdr:colOff>7993</xdr:colOff>
      <xdr:row>140</xdr:row>
      <xdr:rowOff>121872</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140</xdr:row>
      <xdr:rowOff>102822</xdr:rowOff>
    </xdr:from>
    <xdr:to>
      <xdr:col>23</xdr:col>
      <xdr:colOff>179442</xdr:colOff>
      <xdr:row>144</xdr:row>
      <xdr:rowOff>68691</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53</xdr:row>
      <xdr:rowOff>228601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140</xdr:row>
      <xdr:rowOff>102822</xdr:rowOff>
    </xdr:from>
    <xdr:to>
      <xdr:col>25</xdr:col>
      <xdr:colOff>217542</xdr:colOff>
      <xdr:row>145</xdr:row>
      <xdr:rowOff>1718</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140</xdr:row>
      <xdr:rowOff>121872</xdr:rowOff>
    </xdr:from>
    <xdr:to>
      <xdr:col>26</xdr:col>
      <xdr:colOff>217542</xdr:colOff>
      <xdr:row>144</xdr:row>
      <xdr:rowOff>140394</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241</xdr:row>
      <xdr:rowOff>47232</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7162</xdr:rowOff>
    </xdr:from>
    <xdr:to>
      <xdr:col>5</xdr:col>
      <xdr:colOff>609600</xdr:colOff>
      <xdr:row>240</xdr:row>
      <xdr:rowOff>149626</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7162</xdr:rowOff>
    </xdr:from>
    <xdr:to>
      <xdr:col>5</xdr:col>
      <xdr:colOff>609600</xdr:colOff>
      <xdr:row>242</xdr:row>
      <xdr:rowOff>47232</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7162</xdr:rowOff>
    </xdr:from>
    <xdr:to>
      <xdr:col>5</xdr:col>
      <xdr:colOff>609600</xdr:colOff>
      <xdr:row>229</xdr:row>
      <xdr:rowOff>149626</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123432</xdr:rowOff>
    </xdr:from>
    <xdr:to>
      <xdr:col>5</xdr:col>
      <xdr:colOff>609600</xdr:colOff>
      <xdr:row>206</xdr:row>
      <xdr:rowOff>149626</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26212</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209</xdr:row>
      <xdr:rowOff>47232</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7163</xdr:rowOff>
    </xdr:from>
    <xdr:to>
      <xdr:col>5</xdr:col>
      <xdr:colOff>609600</xdr:colOff>
      <xdr:row>216</xdr:row>
      <xdr:rowOff>26211</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68</xdr:row>
      <xdr:rowOff>10591</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120804</xdr:rowOff>
    </xdr:from>
    <xdr:to>
      <xdr:col>5</xdr:col>
      <xdr:colOff>628650</xdr:colOff>
      <xdr:row>83</xdr:row>
      <xdr:rowOff>59220</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83</xdr:row>
      <xdr:rowOff>60014</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12562</xdr:rowOff>
    </xdr:from>
    <xdr:to>
      <xdr:col>5</xdr:col>
      <xdr:colOff>609600</xdr:colOff>
      <xdr:row>83</xdr:row>
      <xdr:rowOff>79064</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25864</xdr:rowOff>
    </xdr:from>
    <xdr:to>
      <xdr:col>5</xdr:col>
      <xdr:colOff>609600</xdr:colOff>
      <xdr:row>86</xdr:row>
      <xdr:rowOff>8995</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8995</xdr:rowOff>
    </xdr:from>
    <xdr:to>
      <xdr:col>5</xdr:col>
      <xdr:colOff>609600</xdr:colOff>
      <xdr:row>93</xdr:row>
      <xdr:rowOff>155474</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85989</xdr:rowOff>
    </xdr:from>
    <xdr:to>
      <xdr:col>5</xdr:col>
      <xdr:colOff>609600</xdr:colOff>
      <xdr:row>93</xdr:row>
      <xdr:rowOff>9127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38364</xdr:rowOff>
    </xdr:from>
    <xdr:to>
      <xdr:col>5</xdr:col>
      <xdr:colOff>609600</xdr:colOff>
      <xdr:row>93</xdr:row>
      <xdr:rowOff>88799</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45509</xdr:rowOff>
    </xdr:from>
    <xdr:to>
      <xdr:col>5</xdr:col>
      <xdr:colOff>609600</xdr:colOff>
      <xdr:row>94</xdr:row>
      <xdr:rowOff>140394</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151219</xdr:rowOff>
    </xdr:from>
    <xdr:to>
      <xdr:col>5</xdr:col>
      <xdr:colOff>609600</xdr:colOff>
      <xdr:row>119</xdr:row>
      <xdr:rowOff>45383</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68163</xdr:rowOff>
    </xdr:from>
    <xdr:to>
      <xdr:col>5</xdr:col>
      <xdr:colOff>609600</xdr:colOff>
      <xdr:row>117</xdr:row>
      <xdr:rowOff>141835</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47498</xdr:rowOff>
    </xdr:from>
    <xdr:to>
      <xdr:col>5</xdr:col>
      <xdr:colOff>609600</xdr:colOff>
      <xdr:row>117</xdr:row>
      <xdr:rowOff>46703</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9398</xdr:rowOff>
    </xdr:from>
    <xdr:to>
      <xdr:col>5</xdr:col>
      <xdr:colOff>609600</xdr:colOff>
      <xdr:row>117</xdr:row>
      <xdr:rowOff>114436</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136</xdr:row>
      <xdr:rowOff>83771</xdr:rowOff>
    </xdr:from>
    <xdr:to>
      <xdr:col>22</xdr:col>
      <xdr:colOff>7993</xdr:colOff>
      <xdr:row>140</xdr:row>
      <xdr:rowOff>121872</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140</xdr:row>
      <xdr:rowOff>102822</xdr:rowOff>
    </xdr:from>
    <xdr:to>
      <xdr:col>23</xdr:col>
      <xdr:colOff>179442</xdr:colOff>
      <xdr:row>144</xdr:row>
      <xdr:rowOff>68691</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53</xdr:row>
      <xdr:rowOff>228601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140</xdr:row>
      <xdr:rowOff>102822</xdr:rowOff>
    </xdr:from>
    <xdr:to>
      <xdr:col>25</xdr:col>
      <xdr:colOff>217542</xdr:colOff>
      <xdr:row>145</xdr:row>
      <xdr:rowOff>1718</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140</xdr:row>
      <xdr:rowOff>121872</xdr:rowOff>
    </xdr:from>
    <xdr:to>
      <xdr:col>26</xdr:col>
      <xdr:colOff>217542</xdr:colOff>
      <xdr:row>144</xdr:row>
      <xdr:rowOff>140394</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85332</xdr:rowOff>
    </xdr:from>
    <xdr:to>
      <xdr:col>5</xdr:col>
      <xdr:colOff>609600</xdr:colOff>
      <xdr:row>235</xdr:row>
      <xdr:rowOff>85333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47232</xdr:rowOff>
    </xdr:from>
    <xdr:to>
      <xdr:col>5</xdr:col>
      <xdr:colOff>609600</xdr:colOff>
      <xdr:row>235</xdr:row>
      <xdr:rowOff>10040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47232</xdr:rowOff>
    </xdr:from>
    <xdr:to>
      <xdr:col>5</xdr:col>
      <xdr:colOff>609600</xdr:colOff>
      <xdr:row>236</xdr:row>
      <xdr:rowOff>85333</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224</xdr:row>
      <xdr:rowOff>10039</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149626</xdr:rowOff>
    </xdr:from>
    <xdr:to>
      <xdr:col>5</xdr:col>
      <xdr:colOff>609600</xdr:colOff>
      <xdr:row>201</xdr:row>
      <xdr:rowOff>10039</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47232</xdr:rowOff>
    </xdr:from>
    <xdr:to>
      <xdr:col>5</xdr:col>
      <xdr:colOff>609600</xdr:colOff>
      <xdr:row>202</xdr:row>
      <xdr:rowOff>85332</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47233</xdr:rowOff>
    </xdr:from>
    <xdr:to>
      <xdr:col>5</xdr:col>
      <xdr:colOff>609600</xdr:colOff>
      <xdr:row>203</xdr:row>
      <xdr:rowOff>85333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47232</xdr:rowOff>
    </xdr:from>
    <xdr:to>
      <xdr:col>5</xdr:col>
      <xdr:colOff>609600</xdr:colOff>
      <xdr:row>210</xdr:row>
      <xdr:rowOff>85332</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60</xdr:row>
      <xdr:rowOff>142782</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29068</xdr:rowOff>
    </xdr:from>
    <xdr:to>
      <xdr:col>5</xdr:col>
      <xdr:colOff>628650</xdr:colOff>
      <xdr:row>82</xdr:row>
      <xdr:rowOff>1687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80</xdr:row>
      <xdr:rowOff>113542</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161832</xdr:rowOff>
    </xdr:from>
    <xdr:to>
      <xdr:col>5</xdr:col>
      <xdr:colOff>609600</xdr:colOff>
      <xdr:row>80</xdr:row>
      <xdr:rowOff>140940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121927</xdr:rowOff>
    </xdr:from>
    <xdr:to>
      <xdr:col>5</xdr:col>
      <xdr:colOff>609600</xdr:colOff>
      <xdr:row>84</xdr:row>
      <xdr:rowOff>19315</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2418</xdr:rowOff>
    </xdr:from>
    <xdr:to>
      <xdr:col>5</xdr:col>
      <xdr:colOff>609600</xdr:colOff>
      <xdr:row>93</xdr:row>
      <xdr:rowOff>28474</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113542</xdr:rowOff>
    </xdr:from>
    <xdr:to>
      <xdr:col>5</xdr:col>
      <xdr:colOff>609600</xdr:colOff>
      <xdr:row>92</xdr:row>
      <xdr:rowOff>2236</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59713</xdr:rowOff>
    </xdr:from>
    <xdr:to>
      <xdr:col>5</xdr:col>
      <xdr:colOff>609600</xdr:colOff>
      <xdr:row>92</xdr:row>
      <xdr:rowOff>97486</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94</xdr:row>
      <xdr:rowOff>95944</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173603</xdr:rowOff>
    </xdr:from>
    <xdr:to>
      <xdr:col>5</xdr:col>
      <xdr:colOff>609600</xdr:colOff>
      <xdr:row>114</xdr:row>
      <xdr:rowOff>150685</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50044</xdr:rowOff>
    </xdr:from>
    <xdr:to>
      <xdr:col>5</xdr:col>
      <xdr:colOff>609600</xdr:colOff>
      <xdr:row>113</xdr:row>
      <xdr:rowOff>7313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112</xdr:row>
      <xdr:rowOff>8334</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27786</xdr:rowOff>
    </xdr:from>
    <xdr:to>
      <xdr:col>5</xdr:col>
      <xdr:colOff>609600</xdr:colOff>
      <xdr:row>112</xdr:row>
      <xdr:rowOff>65781</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130</xdr:row>
      <xdr:rowOff>123725</xdr:rowOff>
    </xdr:from>
    <xdr:to>
      <xdr:col>22</xdr:col>
      <xdr:colOff>7993</xdr:colOff>
      <xdr:row>134</xdr:row>
      <xdr:rowOff>141452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134</xdr:row>
      <xdr:rowOff>141452</xdr:rowOff>
    </xdr:from>
    <xdr:to>
      <xdr:col>23</xdr:col>
      <xdr:colOff>179442</xdr:colOff>
      <xdr:row>138</xdr:row>
      <xdr:rowOff>106791</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134</xdr:row>
      <xdr:rowOff>141452</xdr:rowOff>
    </xdr:from>
    <xdr:to>
      <xdr:col>25</xdr:col>
      <xdr:colOff>217542</xdr:colOff>
      <xdr:row>139</xdr:row>
      <xdr:rowOff>30591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134</xdr:row>
      <xdr:rowOff>153094</xdr:rowOff>
    </xdr:from>
    <xdr:to>
      <xdr:col>26</xdr:col>
      <xdr:colOff>217542</xdr:colOff>
      <xdr:row>139</xdr:row>
      <xdr:rowOff>1719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85332</xdr:rowOff>
    </xdr:from>
    <xdr:to>
      <xdr:col>5</xdr:col>
      <xdr:colOff>609600</xdr:colOff>
      <xdr:row>235</xdr:row>
      <xdr:rowOff>85333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47232</xdr:rowOff>
    </xdr:from>
    <xdr:to>
      <xdr:col>5</xdr:col>
      <xdr:colOff>609600</xdr:colOff>
      <xdr:row>235</xdr:row>
      <xdr:rowOff>10040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47232</xdr:rowOff>
    </xdr:from>
    <xdr:to>
      <xdr:col>5</xdr:col>
      <xdr:colOff>609600</xdr:colOff>
      <xdr:row>236</xdr:row>
      <xdr:rowOff>85333</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224</xdr:row>
      <xdr:rowOff>10039</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149626</xdr:rowOff>
    </xdr:from>
    <xdr:to>
      <xdr:col>5</xdr:col>
      <xdr:colOff>609600</xdr:colOff>
      <xdr:row>201</xdr:row>
      <xdr:rowOff>10039</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47232</xdr:rowOff>
    </xdr:from>
    <xdr:to>
      <xdr:col>5</xdr:col>
      <xdr:colOff>609600</xdr:colOff>
      <xdr:row>202</xdr:row>
      <xdr:rowOff>85332</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47233</xdr:rowOff>
    </xdr:from>
    <xdr:to>
      <xdr:col>5</xdr:col>
      <xdr:colOff>609600</xdr:colOff>
      <xdr:row>203</xdr:row>
      <xdr:rowOff>85333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47232</xdr:rowOff>
    </xdr:from>
    <xdr:to>
      <xdr:col>5</xdr:col>
      <xdr:colOff>609600</xdr:colOff>
      <xdr:row>210</xdr:row>
      <xdr:rowOff>85332</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60</xdr:row>
      <xdr:rowOff>142782</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29068</xdr:rowOff>
    </xdr:from>
    <xdr:to>
      <xdr:col>5</xdr:col>
      <xdr:colOff>628650</xdr:colOff>
      <xdr:row>82</xdr:row>
      <xdr:rowOff>1687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80</xdr:row>
      <xdr:rowOff>113542</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161832</xdr:rowOff>
    </xdr:from>
    <xdr:to>
      <xdr:col>5</xdr:col>
      <xdr:colOff>609600</xdr:colOff>
      <xdr:row>80</xdr:row>
      <xdr:rowOff>140940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121927</xdr:rowOff>
    </xdr:from>
    <xdr:to>
      <xdr:col>5</xdr:col>
      <xdr:colOff>609600</xdr:colOff>
      <xdr:row>84</xdr:row>
      <xdr:rowOff>19315</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2418</xdr:rowOff>
    </xdr:from>
    <xdr:to>
      <xdr:col>5</xdr:col>
      <xdr:colOff>609600</xdr:colOff>
      <xdr:row>93</xdr:row>
      <xdr:rowOff>28474</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113542</xdr:rowOff>
    </xdr:from>
    <xdr:to>
      <xdr:col>5</xdr:col>
      <xdr:colOff>609600</xdr:colOff>
      <xdr:row>92</xdr:row>
      <xdr:rowOff>2236</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59713</xdr:rowOff>
    </xdr:from>
    <xdr:to>
      <xdr:col>5</xdr:col>
      <xdr:colOff>609600</xdr:colOff>
      <xdr:row>92</xdr:row>
      <xdr:rowOff>97486</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94</xdr:row>
      <xdr:rowOff>95944</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173603</xdr:rowOff>
    </xdr:from>
    <xdr:to>
      <xdr:col>5</xdr:col>
      <xdr:colOff>609600</xdr:colOff>
      <xdr:row>114</xdr:row>
      <xdr:rowOff>150685</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50044</xdr:rowOff>
    </xdr:from>
    <xdr:to>
      <xdr:col>5</xdr:col>
      <xdr:colOff>609600</xdr:colOff>
      <xdr:row>113</xdr:row>
      <xdr:rowOff>7313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112</xdr:row>
      <xdr:rowOff>8334</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27786</xdr:rowOff>
    </xdr:from>
    <xdr:to>
      <xdr:col>5</xdr:col>
      <xdr:colOff>609600</xdr:colOff>
      <xdr:row>112</xdr:row>
      <xdr:rowOff>65781</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130</xdr:row>
      <xdr:rowOff>123725</xdr:rowOff>
    </xdr:from>
    <xdr:to>
      <xdr:col>22</xdr:col>
      <xdr:colOff>7993</xdr:colOff>
      <xdr:row>134</xdr:row>
      <xdr:rowOff>141452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134</xdr:row>
      <xdr:rowOff>141452</xdr:rowOff>
    </xdr:from>
    <xdr:to>
      <xdr:col>23</xdr:col>
      <xdr:colOff>179442</xdr:colOff>
      <xdr:row>138</xdr:row>
      <xdr:rowOff>106791</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134</xdr:row>
      <xdr:rowOff>141452</xdr:rowOff>
    </xdr:from>
    <xdr:to>
      <xdr:col>25</xdr:col>
      <xdr:colOff>217542</xdr:colOff>
      <xdr:row>139</xdr:row>
      <xdr:rowOff>30591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134</xdr:row>
      <xdr:rowOff>153094</xdr:rowOff>
    </xdr:from>
    <xdr:to>
      <xdr:col>26</xdr:col>
      <xdr:colOff>217542</xdr:colOff>
      <xdr:row>139</xdr:row>
      <xdr:rowOff>1719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85332</xdr:rowOff>
    </xdr:from>
    <xdr:to>
      <xdr:col>5</xdr:col>
      <xdr:colOff>609600</xdr:colOff>
      <xdr:row>235</xdr:row>
      <xdr:rowOff>85333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47232</xdr:rowOff>
    </xdr:from>
    <xdr:to>
      <xdr:col>5</xdr:col>
      <xdr:colOff>609600</xdr:colOff>
      <xdr:row>235</xdr:row>
      <xdr:rowOff>10040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47232</xdr:rowOff>
    </xdr:from>
    <xdr:to>
      <xdr:col>5</xdr:col>
      <xdr:colOff>609600</xdr:colOff>
      <xdr:row>236</xdr:row>
      <xdr:rowOff>85333</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224</xdr:row>
      <xdr:rowOff>10039</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149626</xdr:rowOff>
    </xdr:from>
    <xdr:to>
      <xdr:col>5</xdr:col>
      <xdr:colOff>609600</xdr:colOff>
      <xdr:row>201</xdr:row>
      <xdr:rowOff>10039</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47232</xdr:rowOff>
    </xdr:from>
    <xdr:to>
      <xdr:col>5</xdr:col>
      <xdr:colOff>609600</xdr:colOff>
      <xdr:row>202</xdr:row>
      <xdr:rowOff>85332</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47233</xdr:rowOff>
    </xdr:from>
    <xdr:to>
      <xdr:col>5</xdr:col>
      <xdr:colOff>609600</xdr:colOff>
      <xdr:row>203</xdr:row>
      <xdr:rowOff>85333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47232</xdr:rowOff>
    </xdr:from>
    <xdr:to>
      <xdr:col>5</xdr:col>
      <xdr:colOff>609600</xdr:colOff>
      <xdr:row>210</xdr:row>
      <xdr:rowOff>85332</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60</xdr:row>
      <xdr:rowOff>142782</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29068</xdr:rowOff>
    </xdr:from>
    <xdr:to>
      <xdr:col>5</xdr:col>
      <xdr:colOff>628650</xdr:colOff>
      <xdr:row>82</xdr:row>
      <xdr:rowOff>1687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80</xdr:row>
      <xdr:rowOff>113542</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161832</xdr:rowOff>
    </xdr:from>
    <xdr:to>
      <xdr:col>5</xdr:col>
      <xdr:colOff>609600</xdr:colOff>
      <xdr:row>80</xdr:row>
      <xdr:rowOff>140940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121927</xdr:rowOff>
    </xdr:from>
    <xdr:to>
      <xdr:col>5</xdr:col>
      <xdr:colOff>609600</xdr:colOff>
      <xdr:row>84</xdr:row>
      <xdr:rowOff>19315</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2418</xdr:rowOff>
    </xdr:from>
    <xdr:to>
      <xdr:col>5</xdr:col>
      <xdr:colOff>609600</xdr:colOff>
      <xdr:row>93</xdr:row>
      <xdr:rowOff>28474</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113542</xdr:rowOff>
    </xdr:from>
    <xdr:to>
      <xdr:col>5</xdr:col>
      <xdr:colOff>609600</xdr:colOff>
      <xdr:row>92</xdr:row>
      <xdr:rowOff>2236</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59713</xdr:rowOff>
    </xdr:from>
    <xdr:to>
      <xdr:col>5</xdr:col>
      <xdr:colOff>609600</xdr:colOff>
      <xdr:row>92</xdr:row>
      <xdr:rowOff>97486</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94</xdr:row>
      <xdr:rowOff>95944</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173603</xdr:rowOff>
    </xdr:from>
    <xdr:to>
      <xdr:col>5</xdr:col>
      <xdr:colOff>609600</xdr:colOff>
      <xdr:row>114</xdr:row>
      <xdr:rowOff>150685</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50044</xdr:rowOff>
    </xdr:from>
    <xdr:to>
      <xdr:col>5</xdr:col>
      <xdr:colOff>609600</xdr:colOff>
      <xdr:row>113</xdr:row>
      <xdr:rowOff>7313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112</xdr:row>
      <xdr:rowOff>8334</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27786</xdr:rowOff>
    </xdr:from>
    <xdr:to>
      <xdr:col>5</xdr:col>
      <xdr:colOff>609600</xdr:colOff>
      <xdr:row>112</xdr:row>
      <xdr:rowOff>65781</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130</xdr:row>
      <xdr:rowOff>123725</xdr:rowOff>
    </xdr:from>
    <xdr:to>
      <xdr:col>22</xdr:col>
      <xdr:colOff>7993</xdr:colOff>
      <xdr:row>134</xdr:row>
      <xdr:rowOff>141452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134</xdr:row>
      <xdr:rowOff>141452</xdr:rowOff>
    </xdr:from>
    <xdr:to>
      <xdr:col>23</xdr:col>
      <xdr:colOff>179442</xdr:colOff>
      <xdr:row>138</xdr:row>
      <xdr:rowOff>106791</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134</xdr:row>
      <xdr:rowOff>141452</xdr:rowOff>
    </xdr:from>
    <xdr:to>
      <xdr:col>25</xdr:col>
      <xdr:colOff>217542</xdr:colOff>
      <xdr:row>139</xdr:row>
      <xdr:rowOff>30591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134</xdr:row>
      <xdr:rowOff>153094</xdr:rowOff>
    </xdr:from>
    <xdr:to>
      <xdr:col>26</xdr:col>
      <xdr:colOff>217542</xdr:colOff>
      <xdr:row>139</xdr:row>
      <xdr:rowOff>1719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85332</xdr:rowOff>
    </xdr:from>
    <xdr:to>
      <xdr:col>5</xdr:col>
      <xdr:colOff>609600</xdr:colOff>
      <xdr:row>236</xdr:row>
      <xdr:rowOff>66283</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47233</xdr:rowOff>
    </xdr:from>
    <xdr:to>
      <xdr:col>5</xdr:col>
      <xdr:colOff>609600</xdr:colOff>
      <xdr:row>236</xdr:row>
      <xdr:rowOff>10039</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237</xdr:row>
      <xdr:rowOff>66282</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47233</xdr:rowOff>
    </xdr:from>
    <xdr:to>
      <xdr:col>5</xdr:col>
      <xdr:colOff>609600</xdr:colOff>
      <xdr:row>225</xdr:row>
      <xdr:rowOff>10039</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149626</xdr:rowOff>
    </xdr:from>
    <xdr:to>
      <xdr:col>5</xdr:col>
      <xdr:colOff>609600</xdr:colOff>
      <xdr:row>202</xdr:row>
      <xdr:rowOff>10039</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47232</xdr:rowOff>
    </xdr:from>
    <xdr:to>
      <xdr:col>5</xdr:col>
      <xdr:colOff>609600</xdr:colOff>
      <xdr:row>203</xdr:row>
      <xdr:rowOff>66283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47232</xdr:rowOff>
    </xdr:from>
    <xdr:to>
      <xdr:col>5</xdr:col>
      <xdr:colOff>609600</xdr:colOff>
      <xdr:row>204</xdr:row>
      <xdr:rowOff>66283</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47232</xdr:rowOff>
    </xdr:from>
    <xdr:to>
      <xdr:col>5</xdr:col>
      <xdr:colOff>609600</xdr:colOff>
      <xdr:row>211</xdr:row>
      <xdr:rowOff>66283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73463</xdr:rowOff>
    </xdr:from>
    <xdr:to>
      <xdr:col>5</xdr:col>
      <xdr:colOff>609600</xdr:colOff>
      <xdr:row>62</xdr:row>
      <xdr:rowOff>73463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9608</xdr:rowOff>
    </xdr:from>
    <xdr:to>
      <xdr:col>5</xdr:col>
      <xdr:colOff>628650</xdr:colOff>
      <xdr:row>85</xdr:row>
      <xdr:rowOff>19314</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73463</xdr:rowOff>
    </xdr:from>
    <xdr:to>
      <xdr:col>5</xdr:col>
      <xdr:colOff>609600</xdr:colOff>
      <xdr:row>82</xdr:row>
      <xdr:rowOff>142181</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92513</xdr:rowOff>
    </xdr:from>
    <xdr:to>
      <xdr:col>5</xdr:col>
      <xdr:colOff>609600</xdr:colOff>
      <xdr:row>82</xdr:row>
      <xdr:rowOff>172727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120659</xdr:rowOff>
    </xdr:from>
    <xdr:to>
      <xdr:col>5</xdr:col>
      <xdr:colOff>609600</xdr:colOff>
      <xdr:row>85</xdr:row>
      <xdr:rowOff>57414</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171631</xdr:rowOff>
    </xdr:from>
    <xdr:to>
      <xdr:col>5</xdr:col>
      <xdr:colOff>609600</xdr:colOff>
      <xdr:row>94</xdr:row>
      <xdr:rowOff>30856</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116863</xdr:rowOff>
    </xdr:from>
    <xdr:to>
      <xdr:col>5</xdr:col>
      <xdr:colOff>609600</xdr:colOff>
      <xdr:row>93</xdr:row>
      <xdr:rowOff>9127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93</xdr:row>
      <xdr:rowOff>88799</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48108</xdr:rowOff>
    </xdr:from>
    <xdr:to>
      <xdr:col>5</xdr:col>
      <xdr:colOff>609600</xdr:colOff>
      <xdr:row>95</xdr:row>
      <xdr:rowOff>7428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8768</xdr:rowOff>
    </xdr:from>
    <xdr:to>
      <xdr:col>5</xdr:col>
      <xdr:colOff>609600</xdr:colOff>
      <xdr:row>115</xdr:row>
      <xdr:rowOff>150686</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113</xdr:row>
      <xdr:rowOff>45116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211750</xdr:rowOff>
    </xdr:from>
    <xdr:to>
      <xdr:col>5</xdr:col>
      <xdr:colOff>609600</xdr:colOff>
      <xdr:row>113</xdr:row>
      <xdr:rowOff>6719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199242</xdr:rowOff>
    </xdr:from>
    <xdr:to>
      <xdr:col>5</xdr:col>
      <xdr:colOff>609600</xdr:colOff>
      <xdr:row>113</xdr:row>
      <xdr:rowOff>6719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131</xdr:row>
      <xdr:rowOff>123726</xdr:rowOff>
    </xdr:from>
    <xdr:to>
      <xdr:col>22</xdr:col>
      <xdr:colOff>7993</xdr:colOff>
      <xdr:row>135</xdr:row>
      <xdr:rowOff>125842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135</xdr:row>
      <xdr:rowOff>125842</xdr:rowOff>
    </xdr:from>
    <xdr:to>
      <xdr:col>23</xdr:col>
      <xdr:colOff>179442</xdr:colOff>
      <xdr:row>139</xdr:row>
      <xdr:rowOff>106791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135</xdr:row>
      <xdr:rowOff>125842</xdr:rowOff>
    </xdr:from>
    <xdr:to>
      <xdr:col>25</xdr:col>
      <xdr:colOff>217542</xdr:colOff>
      <xdr:row>140</xdr:row>
      <xdr:rowOff>11541</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135</xdr:row>
      <xdr:rowOff>140394</xdr:rowOff>
    </xdr:from>
    <xdr:to>
      <xdr:col>26</xdr:col>
      <xdr:colOff>217542</xdr:colOff>
      <xdr:row>140</xdr:row>
      <xdr:rowOff>1718</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468577</xdr:rowOff>
    </xdr:from>
    <xdr:to>
      <xdr:col>30</xdr:col>
      <xdr:colOff>940129</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95250</xdr:rowOff>
    </xdr:from>
    <xdr:to>
      <xdr:col>28</xdr:col>
      <xdr:colOff>217542</xdr:colOff>
      <xdr:row>28</xdr:row>
      <xdr:rowOff>2974</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54</xdr:row>
      <xdr:rowOff>27361</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65461</xdr:rowOff>
    </xdr:from>
    <xdr:to>
      <xdr:col>5</xdr:col>
      <xdr:colOff>628650</xdr:colOff>
      <xdr:row>75</xdr:row>
      <xdr:rowOff>11979</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72</xdr:row>
      <xdr:rowOff>105295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72</xdr:row>
      <xdr:rowOff>142072</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107877</xdr:rowOff>
    </xdr:from>
    <xdr:to>
      <xdr:col>5</xdr:col>
      <xdr:colOff>609600</xdr:colOff>
      <xdr:row>77</xdr:row>
      <xdr:rowOff>159927</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123251</xdr:rowOff>
    </xdr:from>
    <xdr:to>
      <xdr:col>5</xdr:col>
      <xdr:colOff>609600</xdr:colOff>
      <xdr:row>86</xdr:row>
      <xdr:rowOff>27087</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30768</xdr:rowOff>
    </xdr:from>
    <xdr:to>
      <xdr:col>5</xdr:col>
      <xdr:colOff>609600</xdr:colOff>
      <xdr:row>85</xdr:row>
      <xdr:rowOff>27087</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142072</xdr:rowOff>
    </xdr:from>
    <xdr:to>
      <xdr:col>5</xdr:col>
      <xdr:colOff>609600</xdr:colOff>
      <xdr:row>85</xdr:row>
      <xdr:rowOff>122337</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151013</xdr:rowOff>
    </xdr:from>
    <xdr:to>
      <xdr:col>5</xdr:col>
      <xdr:colOff>609600</xdr:colOff>
      <xdr:row>87</xdr:row>
      <xdr:rowOff>103288</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210262</xdr:rowOff>
    </xdr:from>
    <xdr:to>
      <xdr:col>5</xdr:col>
      <xdr:colOff>609600</xdr:colOff>
      <xdr:row>106</xdr:row>
      <xdr:rowOff>31213</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201029</xdr:rowOff>
    </xdr:from>
    <xdr:to>
      <xdr:col>5</xdr:col>
      <xdr:colOff>609600</xdr:colOff>
      <xdr:row>103</xdr:row>
      <xdr:rowOff>66282</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145302</xdr:rowOff>
    </xdr:from>
    <xdr:to>
      <xdr:col>5</xdr:col>
      <xdr:colOff>609600</xdr:colOff>
      <xdr:row>103</xdr:row>
      <xdr:rowOff>66282</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107202</xdr:rowOff>
    </xdr:from>
    <xdr:to>
      <xdr:col>5</xdr:col>
      <xdr:colOff>609600</xdr:colOff>
      <xdr:row>103</xdr:row>
      <xdr:rowOff>66282</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9497</xdr:rowOff>
    </xdr:from>
    <xdr:to>
      <xdr:col>22</xdr:col>
      <xdr:colOff>7993</xdr:colOff>
      <xdr:row>125</xdr:row>
      <xdr:rowOff>26723</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26723</xdr:rowOff>
    </xdr:from>
    <xdr:to>
      <xdr:col>23</xdr:col>
      <xdr:colOff>179442</xdr:colOff>
      <xdr:row>129</xdr:row>
      <xdr:rowOff>7673</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26723</xdr:rowOff>
    </xdr:from>
    <xdr:to>
      <xdr:col>25</xdr:col>
      <xdr:colOff>217542</xdr:colOff>
      <xdr:row>129</xdr:row>
      <xdr:rowOff>102923</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125</xdr:row>
      <xdr:rowOff>64823</xdr:rowOff>
    </xdr:from>
    <xdr:to>
      <xdr:col>26</xdr:col>
      <xdr:colOff>217542</xdr:colOff>
      <xdr:row>129</xdr:row>
      <xdr:rowOff>102923</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95250</xdr:rowOff>
    </xdr:from>
    <xdr:to>
      <xdr:col>28</xdr:col>
      <xdr:colOff>217542</xdr:colOff>
      <xdr:row>28</xdr:row>
      <xdr:rowOff>2974</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54</xdr:row>
      <xdr:rowOff>122611</xdr:rowOff>
    </xdr:from>
    <xdr:to>
      <xdr:col>14</xdr:col>
      <xdr:colOff>863928</xdr:colOff>
      <xdr:row>56</xdr:row>
      <xdr:rowOff>10126</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57</xdr:row>
      <xdr:rowOff>35144</xdr:rowOff>
    </xdr:from>
    <xdr:to>
      <xdr:col>15</xdr:col>
      <xdr:colOff>10620</xdr:colOff>
      <xdr:row>60</xdr:row>
      <xdr:rowOff>160245</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37</xdr:row>
      <xdr:rowOff>76200</xdr:rowOff>
    </xdr:from>
    <xdr:to>
      <xdr:col>15</xdr:col>
      <xdr:colOff>10620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55</xdr:row>
      <xdr:rowOff>283771</xdr:rowOff>
    </xdr:from>
    <xdr:to>
      <xdr:col>6</xdr:col>
      <xdr:colOff>47625</xdr:colOff>
      <xdr:row>58</xdr:row>
      <xdr:rowOff>7126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54</xdr:row>
      <xdr:rowOff>27361</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65461</xdr:rowOff>
    </xdr:from>
    <xdr:to>
      <xdr:col>5</xdr:col>
      <xdr:colOff>628650</xdr:colOff>
      <xdr:row>75</xdr:row>
      <xdr:rowOff>121134</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74</xdr:row>
      <xdr:rowOff>63509</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74</xdr:row>
      <xdr:rowOff>101609</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107877</xdr:rowOff>
    </xdr:from>
    <xdr:to>
      <xdr:col>5</xdr:col>
      <xdr:colOff>609600</xdr:colOff>
      <xdr:row>77</xdr:row>
      <xdr:rowOff>140731</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123251</xdr:rowOff>
    </xdr:from>
    <xdr:to>
      <xdr:col>5</xdr:col>
      <xdr:colOff>609600</xdr:colOff>
      <xdr:row>86</xdr:row>
      <xdr:rowOff>27087</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30768</xdr:rowOff>
    </xdr:from>
    <xdr:to>
      <xdr:col>5</xdr:col>
      <xdr:colOff>609600</xdr:colOff>
      <xdr:row>85</xdr:row>
      <xdr:rowOff>27087</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142072</xdr:rowOff>
    </xdr:from>
    <xdr:to>
      <xdr:col>5</xdr:col>
      <xdr:colOff>609600</xdr:colOff>
      <xdr:row>85</xdr:row>
      <xdr:rowOff>103287</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151013</xdr:rowOff>
    </xdr:from>
    <xdr:to>
      <xdr:col>5</xdr:col>
      <xdr:colOff>609600</xdr:colOff>
      <xdr:row>87</xdr:row>
      <xdr:rowOff>103288</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210262</xdr:rowOff>
    </xdr:from>
    <xdr:to>
      <xdr:col>5</xdr:col>
      <xdr:colOff>609600</xdr:colOff>
      <xdr:row>106</xdr:row>
      <xdr:rowOff>31213</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201029</xdr:rowOff>
    </xdr:from>
    <xdr:to>
      <xdr:col>5</xdr:col>
      <xdr:colOff>609600</xdr:colOff>
      <xdr:row>103</xdr:row>
      <xdr:rowOff>85332</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145302</xdr:rowOff>
    </xdr:from>
    <xdr:to>
      <xdr:col>5</xdr:col>
      <xdr:colOff>609600</xdr:colOff>
      <xdr:row>103</xdr:row>
      <xdr:rowOff>85332</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107202</xdr:rowOff>
    </xdr:from>
    <xdr:to>
      <xdr:col>5</xdr:col>
      <xdr:colOff>609600</xdr:colOff>
      <xdr:row>103</xdr:row>
      <xdr:rowOff>85332</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9497</xdr:rowOff>
    </xdr:from>
    <xdr:to>
      <xdr:col>22</xdr:col>
      <xdr:colOff>7993</xdr:colOff>
      <xdr:row>125</xdr:row>
      <xdr:rowOff>26723</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26723</xdr:rowOff>
    </xdr:from>
    <xdr:to>
      <xdr:col>23</xdr:col>
      <xdr:colOff>179442</xdr:colOff>
      <xdr:row>129</xdr:row>
      <xdr:rowOff>7673</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26723</xdr:rowOff>
    </xdr:from>
    <xdr:to>
      <xdr:col>25</xdr:col>
      <xdr:colOff>217542</xdr:colOff>
      <xdr:row>129</xdr:row>
      <xdr:rowOff>102923</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125</xdr:row>
      <xdr:rowOff>64823</xdr:rowOff>
    </xdr:from>
    <xdr:to>
      <xdr:col>26</xdr:col>
      <xdr:colOff>217542</xdr:colOff>
      <xdr:row>129</xdr:row>
      <xdr:rowOff>102923</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54</xdr:row>
      <xdr:rowOff>122611</xdr:rowOff>
    </xdr:from>
    <xdr:to>
      <xdr:col>14</xdr:col>
      <xdr:colOff>863928</xdr:colOff>
      <xdr:row>56</xdr:row>
      <xdr:rowOff>121672</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57</xdr:row>
      <xdr:rowOff>35144</xdr:rowOff>
    </xdr:from>
    <xdr:to>
      <xdr:col>15</xdr:col>
      <xdr:colOff>10620</xdr:colOff>
      <xdr:row>60</xdr:row>
      <xdr:rowOff>123349</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37</xdr:row>
      <xdr:rowOff>76200</xdr:rowOff>
    </xdr:from>
    <xdr:to>
      <xdr:col>15</xdr:col>
      <xdr:colOff>10620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283771</xdr:rowOff>
    </xdr:from>
    <xdr:to>
      <xdr:col>6</xdr:col>
      <xdr:colOff>19050</xdr:colOff>
      <xdr:row>59</xdr:row>
      <xdr:rowOff>8768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123825</xdr:rowOff>
    </xdr:from>
    <xdr:to>
      <xdr:col>27</xdr:col>
      <xdr:colOff>236593</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123825</xdr:rowOff>
    </xdr:from>
    <xdr:to>
      <xdr:col>27</xdr:col>
      <xdr:colOff>236593</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127</xdr:row>
      <xdr:rowOff>141024</xdr:rowOff>
    </xdr:from>
    <xdr:to>
      <xdr:col>27</xdr:col>
      <xdr:colOff>236593</xdr:colOff>
      <xdr:row>131</xdr:row>
      <xdr:rowOff>160867</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56</xdr:row>
      <xdr:rowOff>275778</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275778</xdr:rowOff>
    </xdr:from>
    <xdr:to>
      <xdr:col>5</xdr:col>
      <xdr:colOff>628650</xdr:colOff>
      <xdr:row>81</xdr:row>
      <xdr:rowOff>26211</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26066</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67341</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103754</xdr:rowOff>
    </xdr:from>
    <xdr:to>
      <xdr:col>5</xdr:col>
      <xdr:colOff>609600</xdr:colOff>
      <xdr:row>83</xdr:row>
      <xdr:rowOff>116206</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106499</xdr:rowOff>
    </xdr:from>
    <xdr:to>
      <xdr:col>5</xdr:col>
      <xdr:colOff>609600</xdr:colOff>
      <xdr:row>92</xdr:row>
      <xdr:rowOff>95734</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47233</xdr:rowOff>
    </xdr:from>
    <xdr:to>
      <xdr:col>5</xdr:col>
      <xdr:colOff>609600</xdr:colOff>
      <xdr:row>90</xdr:row>
      <xdr:rowOff>161231</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161953</xdr:rowOff>
    </xdr:from>
    <xdr:to>
      <xdr:col>5</xdr:col>
      <xdr:colOff>609600</xdr:colOff>
      <xdr:row>91</xdr:row>
      <xdr:rowOff>77887</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173584</xdr:rowOff>
    </xdr:from>
    <xdr:to>
      <xdr:col>5</xdr:col>
      <xdr:colOff>609600</xdr:colOff>
      <xdr:row>94</xdr:row>
      <xdr:rowOff>29104</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7599</xdr:rowOff>
    </xdr:from>
    <xdr:to>
      <xdr:col>5</xdr:col>
      <xdr:colOff>609600</xdr:colOff>
      <xdr:row>111</xdr:row>
      <xdr:rowOff>102339</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30591</xdr:rowOff>
    </xdr:from>
    <xdr:to>
      <xdr:col>5</xdr:col>
      <xdr:colOff>609600</xdr:colOff>
      <xdr:row>108</xdr:row>
      <xdr:rowOff>124273</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66282</xdr:rowOff>
    </xdr:from>
    <xdr:to>
      <xdr:col>5</xdr:col>
      <xdr:colOff>609600</xdr:colOff>
      <xdr:row>108</xdr:row>
      <xdr:rowOff>68327</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28182</xdr:rowOff>
    </xdr:from>
    <xdr:to>
      <xdr:col>5</xdr:col>
      <xdr:colOff>609600</xdr:colOff>
      <xdr:row>108</xdr:row>
      <xdr:rowOff>68327</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125</xdr:row>
      <xdr:rowOff>7673</xdr:rowOff>
    </xdr:from>
    <xdr:to>
      <xdr:col>22</xdr:col>
      <xdr:colOff>7993</xdr:colOff>
      <xdr:row>129</xdr:row>
      <xdr:rowOff>26723</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129</xdr:row>
      <xdr:rowOff>26723</xdr:rowOff>
    </xdr:from>
    <xdr:to>
      <xdr:col>23</xdr:col>
      <xdr:colOff>179442</xdr:colOff>
      <xdr:row>133</xdr:row>
      <xdr:rowOff>7673</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129</xdr:row>
      <xdr:rowOff>26723</xdr:rowOff>
    </xdr:from>
    <xdr:to>
      <xdr:col>25</xdr:col>
      <xdr:colOff>217542</xdr:colOff>
      <xdr:row>133</xdr:row>
      <xdr:rowOff>102923</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129</xdr:row>
      <xdr:rowOff>64823</xdr:rowOff>
    </xdr:from>
    <xdr:to>
      <xdr:col>26</xdr:col>
      <xdr:colOff>217542</xdr:colOff>
      <xdr:row>133</xdr:row>
      <xdr:rowOff>102923</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56</xdr:row>
      <xdr:rowOff>275778</xdr:rowOff>
    </xdr:from>
    <xdr:to>
      <xdr:col>14</xdr:col>
      <xdr:colOff>863928</xdr:colOff>
      <xdr:row>56</xdr:row>
      <xdr:rowOff>333073</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61</xdr:row>
      <xdr:rowOff>25912</xdr:rowOff>
    </xdr:from>
    <xdr:to>
      <xdr:col>15</xdr:col>
      <xdr:colOff>10620</xdr:colOff>
      <xdr:row>70</xdr:row>
      <xdr:rowOff>169607</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58</xdr:row>
      <xdr:rowOff>40392</xdr:rowOff>
    </xdr:from>
    <xdr:to>
      <xdr:col>6</xdr:col>
      <xdr:colOff>19050</xdr:colOff>
      <xdr:row>68</xdr:row>
      <xdr:rowOff>126826</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131</xdr:row>
      <xdr:rowOff>121974</xdr:rowOff>
    </xdr:from>
    <xdr:to>
      <xdr:col>27</xdr:col>
      <xdr:colOff>236593</xdr:colOff>
      <xdr:row>135</xdr:row>
      <xdr:rowOff>153458</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120650</xdr:rowOff>
    </xdr:from>
    <xdr:to>
      <xdr:col>28</xdr:col>
      <xdr:colOff>236592</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120650</xdr:rowOff>
    </xdr:from>
    <xdr:to>
      <xdr:col>28</xdr:col>
      <xdr:colOff>236592</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131</xdr:row>
      <xdr:rowOff>134674</xdr:rowOff>
    </xdr:from>
    <xdr:to>
      <xdr:col>28</xdr:col>
      <xdr:colOff>236592</xdr:colOff>
      <xdr:row>135</xdr:row>
      <xdr:rowOff>153458</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56</xdr:row>
      <xdr:rowOff>275778</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275778</xdr:rowOff>
    </xdr:from>
    <xdr:to>
      <xdr:col>5</xdr:col>
      <xdr:colOff>628650</xdr:colOff>
      <xdr:row>81</xdr:row>
      <xdr:rowOff>26211</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26066</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64166</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103754</xdr:rowOff>
    </xdr:from>
    <xdr:to>
      <xdr:col>5</xdr:col>
      <xdr:colOff>609600</xdr:colOff>
      <xdr:row>83</xdr:row>
      <xdr:rowOff>122556</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106499</xdr:rowOff>
    </xdr:from>
    <xdr:to>
      <xdr:col>5</xdr:col>
      <xdr:colOff>609600</xdr:colOff>
      <xdr:row>92</xdr:row>
      <xdr:rowOff>95734</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47233</xdr:rowOff>
    </xdr:from>
    <xdr:to>
      <xdr:col>5</xdr:col>
      <xdr:colOff>609600</xdr:colOff>
      <xdr:row>90</xdr:row>
      <xdr:rowOff>161231</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161953</xdr:rowOff>
    </xdr:from>
    <xdr:to>
      <xdr:col>5</xdr:col>
      <xdr:colOff>609600</xdr:colOff>
      <xdr:row>91</xdr:row>
      <xdr:rowOff>65187</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173439</xdr:rowOff>
    </xdr:from>
    <xdr:to>
      <xdr:col>5</xdr:col>
      <xdr:colOff>609600</xdr:colOff>
      <xdr:row>94</xdr:row>
      <xdr:rowOff>25929</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7599</xdr:rowOff>
    </xdr:from>
    <xdr:to>
      <xdr:col>5</xdr:col>
      <xdr:colOff>609600</xdr:colOff>
      <xdr:row>111</xdr:row>
      <xdr:rowOff>102339</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30591</xdr:rowOff>
    </xdr:from>
    <xdr:to>
      <xdr:col>5</xdr:col>
      <xdr:colOff>609600</xdr:colOff>
      <xdr:row>108</xdr:row>
      <xdr:rowOff>121098</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66282</xdr:rowOff>
    </xdr:from>
    <xdr:to>
      <xdr:col>5</xdr:col>
      <xdr:colOff>609600</xdr:colOff>
      <xdr:row>108</xdr:row>
      <xdr:rowOff>68327</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28182</xdr:rowOff>
    </xdr:from>
    <xdr:to>
      <xdr:col>5</xdr:col>
      <xdr:colOff>609600</xdr:colOff>
      <xdr:row>108</xdr:row>
      <xdr:rowOff>68327</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125</xdr:row>
      <xdr:rowOff>7673</xdr:rowOff>
    </xdr:from>
    <xdr:to>
      <xdr:col>22</xdr:col>
      <xdr:colOff>7993</xdr:colOff>
      <xdr:row>129</xdr:row>
      <xdr:rowOff>26723</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129</xdr:row>
      <xdr:rowOff>26723</xdr:rowOff>
    </xdr:from>
    <xdr:to>
      <xdr:col>23</xdr:col>
      <xdr:colOff>179442</xdr:colOff>
      <xdr:row>133</xdr:row>
      <xdr:rowOff>7673</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129</xdr:row>
      <xdr:rowOff>26723</xdr:rowOff>
    </xdr:from>
    <xdr:to>
      <xdr:col>25</xdr:col>
      <xdr:colOff>217542</xdr:colOff>
      <xdr:row>133</xdr:row>
      <xdr:rowOff>102923</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129</xdr:row>
      <xdr:rowOff>64823</xdr:rowOff>
    </xdr:from>
    <xdr:to>
      <xdr:col>26</xdr:col>
      <xdr:colOff>217542</xdr:colOff>
      <xdr:row>133</xdr:row>
      <xdr:rowOff>102923</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56</xdr:row>
      <xdr:rowOff>275778</xdr:rowOff>
    </xdr:from>
    <xdr:to>
      <xdr:col>14</xdr:col>
      <xdr:colOff>863928</xdr:colOff>
      <xdr:row>56</xdr:row>
      <xdr:rowOff>333073</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61</xdr:row>
      <xdr:rowOff>25912</xdr:rowOff>
    </xdr:from>
    <xdr:to>
      <xdr:col>15</xdr:col>
      <xdr:colOff>10620</xdr:colOff>
      <xdr:row>70</xdr:row>
      <xdr:rowOff>169607</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58</xdr:row>
      <xdr:rowOff>39971</xdr:rowOff>
    </xdr:from>
    <xdr:to>
      <xdr:col>6</xdr:col>
      <xdr:colOff>19050</xdr:colOff>
      <xdr:row>68</xdr:row>
      <xdr:rowOff>126826</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131</xdr:row>
      <xdr:rowOff>121974</xdr:rowOff>
    </xdr:from>
    <xdr:to>
      <xdr:col>27</xdr:col>
      <xdr:colOff>236593</xdr:colOff>
      <xdr:row>135</xdr:row>
      <xdr:rowOff>153458</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131</xdr:row>
      <xdr:rowOff>121974</xdr:rowOff>
    </xdr:from>
    <xdr:to>
      <xdr:col>28</xdr:col>
      <xdr:colOff>236592</xdr:colOff>
      <xdr:row>135</xdr:row>
      <xdr:rowOff>153458</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56</xdr:row>
      <xdr:rowOff>275778</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275778</xdr:rowOff>
    </xdr:from>
    <xdr:to>
      <xdr:col>5</xdr:col>
      <xdr:colOff>628650</xdr:colOff>
      <xdr:row>81</xdr:row>
      <xdr:rowOff>26211</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26066</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64166</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103754</xdr:rowOff>
    </xdr:from>
    <xdr:to>
      <xdr:col>5</xdr:col>
      <xdr:colOff>609600</xdr:colOff>
      <xdr:row>83</xdr:row>
      <xdr:rowOff>122556</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106499</xdr:rowOff>
    </xdr:from>
    <xdr:to>
      <xdr:col>5</xdr:col>
      <xdr:colOff>609600</xdr:colOff>
      <xdr:row>92</xdr:row>
      <xdr:rowOff>95734</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47233</xdr:rowOff>
    </xdr:from>
    <xdr:to>
      <xdr:col>5</xdr:col>
      <xdr:colOff>609600</xdr:colOff>
      <xdr:row>90</xdr:row>
      <xdr:rowOff>161231</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161953</xdr:rowOff>
    </xdr:from>
    <xdr:to>
      <xdr:col>5</xdr:col>
      <xdr:colOff>609600</xdr:colOff>
      <xdr:row>91</xdr:row>
      <xdr:rowOff>65187</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173439</xdr:rowOff>
    </xdr:from>
    <xdr:to>
      <xdr:col>5</xdr:col>
      <xdr:colOff>609600</xdr:colOff>
      <xdr:row>94</xdr:row>
      <xdr:rowOff>25929</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7599</xdr:rowOff>
    </xdr:from>
    <xdr:to>
      <xdr:col>5</xdr:col>
      <xdr:colOff>609600</xdr:colOff>
      <xdr:row>111</xdr:row>
      <xdr:rowOff>102339</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30591</xdr:rowOff>
    </xdr:from>
    <xdr:to>
      <xdr:col>5</xdr:col>
      <xdr:colOff>609600</xdr:colOff>
      <xdr:row>108</xdr:row>
      <xdr:rowOff>121098</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66282</xdr:rowOff>
    </xdr:from>
    <xdr:to>
      <xdr:col>5</xdr:col>
      <xdr:colOff>609600</xdr:colOff>
      <xdr:row>108</xdr:row>
      <xdr:rowOff>68327</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28182</xdr:rowOff>
    </xdr:from>
    <xdr:to>
      <xdr:col>5</xdr:col>
      <xdr:colOff>609600</xdr:colOff>
      <xdr:row>108</xdr:row>
      <xdr:rowOff>68327</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125</xdr:row>
      <xdr:rowOff>7673</xdr:rowOff>
    </xdr:from>
    <xdr:to>
      <xdr:col>22</xdr:col>
      <xdr:colOff>7993</xdr:colOff>
      <xdr:row>129</xdr:row>
      <xdr:rowOff>26723</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129</xdr:row>
      <xdr:rowOff>26723</xdr:rowOff>
    </xdr:from>
    <xdr:to>
      <xdr:col>23</xdr:col>
      <xdr:colOff>179442</xdr:colOff>
      <xdr:row>133</xdr:row>
      <xdr:rowOff>7673</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129</xdr:row>
      <xdr:rowOff>26723</xdr:rowOff>
    </xdr:from>
    <xdr:to>
      <xdr:col>25</xdr:col>
      <xdr:colOff>217542</xdr:colOff>
      <xdr:row>133</xdr:row>
      <xdr:rowOff>102923</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129</xdr:row>
      <xdr:rowOff>64823</xdr:rowOff>
    </xdr:from>
    <xdr:to>
      <xdr:col>26</xdr:col>
      <xdr:colOff>217542</xdr:colOff>
      <xdr:row>133</xdr:row>
      <xdr:rowOff>102923</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56</xdr:row>
      <xdr:rowOff>275778</xdr:rowOff>
    </xdr:from>
    <xdr:to>
      <xdr:col>14</xdr:col>
      <xdr:colOff>863928</xdr:colOff>
      <xdr:row>56</xdr:row>
      <xdr:rowOff>333073</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61</xdr:row>
      <xdr:rowOff>25912</xdr:rowOff>
    </xdr:from>
    <xdr:to>
      <xdr:col>15</xdr:col>
      <xdr:colOff>10620</xdr:colOff>
      <xdr:row>70</xdr:row>
      <xdr:rowOff>169607</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58</xdr:row>
      <xdr:rowOff>39971</xdr:rowOff>
    </xdr:from>
    <xdr:to>
      <xdr:col>6</xdr:col>
      <xdr:colOff>19050</xdr:colOff>
      <xdr:row>68</xdr:row>
      <xdr:rowOff>126826</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131</xdr:row>
      <xdr:rowOff>121974</xdr:rowOff>
    </xdr:from>
    <xdr:to>
      <xdr:col>27</xdr:col>
      <xdr:colOff>236593</xdr:colOff>
      <xdr:row>135</xdr:row>
      <xdr:rowOff>153458</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131</xdr:row>
      <xdr:rowOff>121974</xdr:rowOff>
    </xdr:from>
    <xdr:to>
      <xdr:col>28</xdr:col>
      <xdr:colOff>236592</xdr:colOff>
      <xdr:row>135</xdr:row>
      <xdr:rowOff>153458</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65981</xdr:rowOff>
    </xdr:from>
    <xdr:to>
      <xdr:col>5</xdr:col>
      <xdr:colOff>609600</xdr:colOff>
      <xdr:row>60</xdr:row>
      <xdr:rowOff>65981</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65981</xdr:rowOff>
    </xdr:from>
    <xdr:to>
      <xdr:col>5</xdr:col>
      <xdr:colOff>628650</xdr:colOff>
      <xdr:row>85</xdr:row>
      <xdr:rowOff>160637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65981</xdr:rowOff>
    </xdr:from>
    <xdr:to>
      <xdr:col>5</xdr:col>
      <xdr:colOff>609600</xdr:colOff>
      <xdr:row>84</xdr:row>
      <xdr:rowOff>149589</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65981</xdr:rowOff>
    </xdr:from>
    <xdr:to>
      <xdr:col>5</xdr:col>
      <xdr:colOff>609600</xdr:colOff>
      <xdr:row>85</xdr:row>
      <xdr:rowOff>8037</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65590</xdr:rowOff>
    </xdr:from>
    <xdr:to>
      <xdr:col>5</xdr:col>
      <xdr:colOff>609600</xdr:colOff>
      <xdr:row>86</xdr:row>
      <xdr:rowOff>125512</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95915</xdr:rowOff>
    </xdr:from>
    <xdr:to>
      <xdr:col>5</xdr:col>
      <xdr:colOff>609600</xdr:colOff>
      <xdr:row>95</xdr:row>
      <xdr:rowOff>112713</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19716</xdr:rowOff>
    </xdr:from>
    <xdr:to>
      <xdr:col>5</xdr:col>
      <xdr:colOff>609600</xdr:colOff>
      <xdr:row>94</xdr:row>
      <xdr:rowOff>6879</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134162</xdr:rowOff>
    </xdr:from>
    <xdr:to>
      <xdr:col>5</xdr:col>
      <xdr:colOff>609600</xdr:colOff>
      <xdr:row>94</xdr:row>
      <xdr:rowOff>84667</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134161</xdr:rowOff>
    </xdr:from>
    <xdr:to>
      <xdr:col>5</xdr:col>
      <xdr:colOff>609600</xdr:colOff>
      <xdr:row>97</xdr:row>
      <xdr:rowOff>27134</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31358</xdr:rowOff>
    </xdr:from>
    <xdr:to>
      <xdr:col>5</xdr:col>
      <xdr:colOff>609600</xdr:colOff>
      <xdr:row>115</xdr:row>
      <xdr:rowOff>8440</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31357</xdr:rowOff>
    </xdr:from>
    <xdr:to>
      <xdr:col>5</xdr:col>
      <xdr:colOff>609600</xdr:colOff>
      <xdr:row>111</xdr:row>
      <xdr:rowOff>120769</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69457</xdr:rowOff>
    </xdr:from>
    <xdr:to>
      <xdr:col>5</xdr:col>
      <xdr:colOff>609600</xdr:colOff>
      <xdr:row>111</xdr:row>
      <xdr:rowOff>7089</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31357</xdr:rowOff>
    </xdr:from>
    <xdr:to>
      <xdr:col>5</xdr:col>
      <xdr:colOff>609600</xdr:colOff>
      <xdr:row>111</xdr:row>
      <xdr:rowOff>7089</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128</xdr:row>
      <xdr:rowOff>10848</xdr:rowOff>
    </xdr:from>
    <xdr:to>
      <xdr:col>22</xdr:col>
      <xdr:colOff>7993</xdr:colOff>
      <xdr:row>132</xdr:row>
      <xdr:rowOff>29898</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132</xdr:row>
      <xdr:rowOff>29898</xdr:rowOff>
    </xdr:from>
    <xdr:to>
      <xdr:col>23</xdr:col>
      <xdr:colOff>179442</xdr:colOff>
      <xdr:row>136</xdr:row>
      <xdr:rowOff>6614</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48939</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132</xdr:row>
      <xdr:rowOff>29898</xdr:rowOff>
    </xdr:from>
    <xdr:to>
      <xdr:col>25</xdr:col>
      <xdr:colOff>217542</xdr:colOff>
      <xdr:row>136</xdr:row>
      <xdr:rowOff>101864</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132</xdr:row>
      <xdr:rowOff>67998</xdr:rowOff>
    </xdr:from>
    <xdr:to>
      <xdr:col>26</xdr:col>
      <xdr:colOff>217542</xdr:colOff>
      <xdr:row>136</xdr:row>
      <xdr:rowOff>101864</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125139</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44</xdr:row>
      <xdr:rowOff>76200</xdr:rowOff>
    </xdr:from>
    <xdr:to>
      <xdr:col>14</xdr:col>
      <xdr:colOff>67770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60</xdr:row>
      <xdr:rowOff>65981</xdr:rowOff>
    </xdr:from>
    <xdr:to>
      <xdr:col>14</xdr:col>
      <xdr:colOff>863928</xdr:colOff>
      <xdr:row>60</xdr:row>
      <xdr:rowOff>85031</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64</xdr:row>
      <xdr:rowOff>8440</xdr:rowOff>
    </xdr:from>
    <xdr:to>
      <xdr:col>15</xdr:col>
      <xdr:colOff>10620</xdr:colOff>
      <xdr:row>73</xdr:row>
      <xdr:rowOff>151013</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44</xdr:row>
      <xdr:rowOff>76200</xdr:rowOff>
    </xdr:from>
    <xdr:to>
      <xdr:col>15</xdr:col>
      <xdr:colOff>10620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44962</xdr:rowOff>
    </xdr:from>
    <xdr:to>
      <xdr:col>6</xdr:col>
      <xdr:colOff>19050</xdr:colOff>
      <xdr:row>74</xdr:row>
      <xdr:rowOff>63509</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134</xdr:row>
      <xdr:rowOff>125148</xdr:rowOff>
    </xdr:from>
    <xdr:to>
      <xdr:col>27</xdr:col>
      <xdr:colOff>236593</xdr:colOff>
      <xdr:row>138</xdr:row>
      <xdr:rowOff>153458</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134</xdr:row>
      <xdr:rowOff>125148</xdr:rowOff>
    </xdr:from>
    <xdr:to>
      <xdr:col>28</xdr:col>
      <xdr:colOff>236592</xdr:colOff>
      <xdr:row>138</xdr:row>
      <xdr:rowOff>153458</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22</xdr:col>
      <xdr:colOff>7993</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46931</xdr:rowOff>
    </xdr:from>
    <xdr:to>
      <xdr:col>9</xdr:col>
      <xdr:colOff>609600</xdr:colOff>
      <xdr:row>79</xdr:row>
      <xdr:rowOff>7015</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46931</xdr:rowOff>
    </xdr:from>
    <xdr:to>
      <xdr:col>9</xdr:col>
      <xdr:colOff>628650</xdr:colOff>
      <xdr:row>79</xdr:row>
      <xdr:rowOff>7015</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46931</xdr:rowOff>
    </xdr:from>
    <xdr:to>
      <xdr:col>9</xdr:col>
      <xdr:colOff>609600</xdr:colOff>
      <xdr:row>79</xdr:row>
      <xdr:rowOff>164589</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46931</xdr:rowOff>
    </xdr:from>
    <xdr:to>
      <xdr:col>9</xdr:col>
      <xdr:colOff>609600</xdr:colOff>
      <xdr:row>79</xdr:row>
      <xdr:rowOff>26065</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49715</xdr:rowOff>
    </xdr:from>
    <xdr:to>
      <xdr:col>9</xdr:col>
      <xdr:colOff>609600</xdr:colOff>
      <xdr:row>84</xdr:row>
      <xdr:rowOff>122338</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102265</xdr:rowOff>
    </xdr:from>
    <xdr:to>
      <xdr:col>9</xdr:col>
      <xdr:colOff>609600</xdr:colOff>
      <xdr:row>99</xdr:row>
      <xdr:rowOff>135220</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26066</xdr:rowOff>
    </xdr:from>
    <xdr:to>
      <xdr:col>9</xdr:col>
      <xdr:colOff>609600</xdr:colOff>
      <xdr:row>101</xdr:row>
      <xdr:rowOff>150830</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134017</xdr:rowOff>
    </xdr:from>
    <xdr:to>
      <xdr:col>9</xdr:col>
      <xdr:colOff>609600</xdr:colOff>
      <xdr:row>101</xdr:row>
      <xdr:rowOff>66282</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121461</xdr:rowOff>
    </xdr:from>
    <xdr:to>
      <xdr:col>9</xdr:col>
      <xdr:colOff>609600</xdr:colOff>
      <xdr:row>101</xdr:row>
      <xdr:rowOff>173648</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28183</xdr:rowOff>
    </xdr:from>
    <xdr:to>
      <xdr:col>9</xdr:col>
      <xdr:colOff>609600</xdr:colOff>
      <xdr:row>122</xdr:row>
      <xdr:rowOff>7673</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28182</xdr:rowOff>
    </xdr:from>
    <xdr:to>
      <xdr:col>9</xdr:col>
      <xdr:colOff>609600</xdr:colOff>
      <xdr:row>123</xdr:row>
      <xdr:rowOff>121974</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66282</xdr:rowOff>
    </xdr:from>
    <xdr:to>
      <xdr:col>9</xdr:col>
      <xdr:colOff>609600</xdr:colOff>
      <xdr:row>124</xdr:row>
      <xdr:rowOff>26723</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28182</xdr:rowOff>
    </xdr:from>
    <xdr:to>
      <xdr:col>9</xdr:col>
      <xdr:colOff>609600</xdr:colOff>
      <xdr:row>124</xdr:row>
      <xdr:rowOff>26723</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128</xdr:row>
      <xdr:rowOff>7673</xdr:rowOff>
    </xdr:from>
    <xdr:to>
      <xdr:col>25</xdr:col>
      <xdr:colOff>7992</xdr:colOff>
      <xdr:row>148</xdr:row>
      <xdr:rowOff>26722</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26</xdr:col>
      <xdr:colOff>179442</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26</xdr:col>
      <xdr:colOff>179442</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132</xdr:row>
      <xdr:rowOff>26723</xdr:rowOff>
    </xdr:from>
    <xdr:to>
      <xdr:col>26</xdr:col>
      <xdr:colOff>179442</xdr:colOff>
      <xdr:row>152</xdr:row>
      <xdr:rowOff>7672</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293743</xdr:colOff>
      <xdr:row>56</xdr:row>
      <xdr:rowOff>294828</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29</xdr:col>
      <xdr:colOff>217542</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29</xdr:col>
      <xdr:colOff>217542</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132</xdr:row>
      <xdr:rowOff>26723</xdr:rowOff>
    </xdr:from>
    <xdr:to>
      <xdr:col>29</xdr:col>
      <xdr:colOff>217542</xdr:colOff>
      <xdr:row>152</xdr:row>
      <xdr:rowOff>102922</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30</xdr:col>
      <xdr:colOff>217542</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30</xdr:col>
      <xdr:colOff>217542</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132</xdr:row>
      <xdr:rowOff>64823</xdr:rowOff>
    </xdr:from>
    <xdr:to>
      <xdr:col>30</xdr:col>
      <xdr:colOff>217542</xdr:colOff>
      <xdr:row>152</xdr:row>
      <xdr:rowOff>102922</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293743</xdr:colOff>
      <xdr:row>62</xdr:row>
      <xdr:rowOff>86820</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44</xdr:row>
      <xdr:rowOff>76200</xdr:rowOff>
    </xdr:from>
    <xdr:to>
      <xdr:col>18</xdr:col>
      <xdr:colOff>236592</xdr:colOff>
      <xdr:row>62</xdr:row>
      <xdr:rowOff>86820</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35</xdr:col>
      <xdr:colOff>217542</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60</xdr:row>
      <xdr:rowOff>46931</xdr:rowOff>
    </xdr:from>
    <xdr:to>
      <xdr:col>19</xdr:col>
      <xdr:colOff>64704</xdr:colOff>
      <xdr:row>79</xdr:row>
      <xdr:rowOff>45115</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63</xdr:row>
      <xdr:rowOff>174334</xdr:rowOff>
    </xdr:from>
    <xdr:to>
      <xdr:col>19</xdr:col>
      <xdr:colOff>102804</xdr:colOff>
      <xdr:row>84</xdr:row>
      <xdr:rowOff>163028</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44</xdr:row>
      <xdr:rowOff>76200</xdr:rowOff>
    </xdr:from>
    <xdr:to>
      <xdr:col>19</xdr:col>
      <xdr:colOff>102804</xdr:colOff>
      <xdr:row>62</xdr:row>
      <xdr:rowOff>86820</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25911</xdr:rowOff>
    </xdr:from>
    <xdr:to>
      <xdr:col>9</xdr:col>
      <xdr:colOff>19050</xdr:colOff>
      <xdr:row>79</xdr:row>
      <xdr:rowOff>64165</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30</xdr:col>
      <xdr:colOff>959179</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30</xdr:col>
      <xdr:colOff>959179</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134</xdr:row>
      <xdr:rowOff>121973</xdr:rowOff>
    </xdr:from>
    <xdr:to>
      <xdr:col>30</xdr:col>
      <xdr:colOff>959179</xdr:colOff>
      <xdr:row>154</xdr:row>
      <xdr:rowOff>141816</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32</xdr:col>
      <xdr:colOff>236593</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32</xdr:col>
      <xdr:colOff>236593</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134</xdr:row>
      <xdr:rowOff>121973</xdr:rowOff>
    </xdr:from>
    <xdr:to>
      <xdr:col>32</xdr:col>
      <xdr:colOff>236593</xdr:colOff>
      <xdr:row>154</xdr:row>
      <xdr:rowOff>141816</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425779</xdr:colOff>
      <xdr:row>14</xdr:row>
      <xdr:rowOff>95250</xdr:rowOff>
    </xdr:from>
    <xdr:to>
      <xdr:col>32</xdr:col>
      <xdr:colOff>349579</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425779</xdr:colOff>
      <xdr:row>23</xdr:row>
      <xdr:rowOff>95250</xdr:rowOff>
    </xdr:from>
    <xdr:to>
      <xdr:col>32</xdr:col>
      <xdr:colOff>349579</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425779</xdr:colOff>
      <xdr:row>8</xdr:row>
      <xdr:rowOff>76200</xdr:rowOff>
    </xdr:from>
    <xdr:to>
      <xdr:col>42</xdr:col>
      <xdr:colOff>349579</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421929" name="Text Box 1065" hidden="1">
          <a:extLst>
            <a:ext uri="{FF2B5EF4-FFF2-40B4-BE49-F238E27FC236}">
              <a16:creationId xmlns:a16="http://schemas.microsoft.com/office/drawing/2014/main" id="{3A13F89C-6B9A-2B32-F17C-0B1610556C2B}"/>
            </a:ext>
          </a:extLst>
        </xdr:cNvPr>
        <xdr:cNvSpPr txBox="1">
          <a:spLocks noChangeArrowheads="1"/>
        </xdr:cNvSpPr>
      </xdr:nvSpPr>
      <xdr:spPr bwMode="auto">
        <a:xfrm>
          <a:off x="14846300" y="2082800"/>
          <a:ext cx="3695700" cy="408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421928" name="Text Box 1064" hidden="1">
          <a:extLst>
            <a:ext uri="{FF2B5EF4-FFF2-40B4-BE49-F238E27FC236}">
              <a16:creationId xmlns:a16="http://schemas.microsoft.com/office/drawing/2014/main" id="{2552476E-907D-3C88-72EC-C205FD93D3DA}"/>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181768</xdr:rowOff>
    </xdr:from>
    <xdr:to>
      <xdr:col>9</xdr:col>
      <xdr:colOff>628650</xdr:colOff>
      <xdr:row>75</xdr:row>
      <xdr:rowOff>139700</xdr:rowOff>
    </xdr:to>
    <xdr:sp macro="" textlink="">
      <xdr:nvSpPr>
        <xdr:cNvPr id="421927" name="Text Box 1063" hidden="1">
          <a:extLst>
            <a:ext uri="{FF2B5EF4-FFF2-40B4-BE49-F238E27FC236}">
              <a16:creationId xmlns:a16="http://schemas.microsoft.com/office/drawing/2014/main" id="{E0CE8E3E-8C5F-1796-4450-C572FA2D5A96}"/>
            </a:ext>
          </a:extLst>
        </xdr:cNvPr>
        <xdr:cNvSpPr txBox="1">
          <a:spLocks noChangeArrowheads="1"/>
        </xdr:cNvSpPr>
      </xdr:nvSpPr>
      <xdr:spPr bwMode="auto">
        <a:xfrm>
          <a:off x="401320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421926" name="Text Box 1062" hidden="1">
          <a:extLst>
            <a:ext uri="{FF2B5EF4-FFF2-40B4-BE49-F238E27FC236}">
              <a16:creationId xmlns:a16="http://schemas.microsoft.com/office/drawing/2014/main" id="{487BA97C-F09E-2EE5-64DF-7BDA97A31D1C}"/>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421925" name="Text Box 1061" hidden="1">
          <a:extLst>
            <a:ext uri="{FF2B5EF4-FFF2-40B4-BE49-F238E27FC236}">
              <a16:creationId xmlns:a16="http://schemas.microsoft.com/office/drawing/2014/main" id="{D1485E19-3DB1-D178-E8BF-51503D89F842}"/>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76200</xdr:rowOff>
    </xdr:from>
    <xdr:to>
      <xdr:col>9</xdr:col>
      <xdr:colOff>609600</xdr:colOff>
      <xdr:row>80</xdr:row>
      <xdr:rowOff>40482</xdr:rowOff>
    </xdr:to>
    <xdr:sp macro="" textlink="">
      <xdr:nvSpPr>
        <xdr:cNvPr id="421924" name="Text Box 1060" hidden="1">
          <a:extLst>
            <a:ext uri="{FF2B5EF4-FFF2-40B4-BE49-F238E27FC236}">
              <a16:creationId xmlns:a16="http://schemas.microsoft.com/office/drawing/2014/main" id="{0BB2D512-3A73-0752-9DD1-234F5D255F92}"/>
            </a:ext>
          </a:extLst>
        </xdr:cNvPr>
        <xdr:cNvSpPr txBox="1">
          <a:spLocks noChangeArrowheads="1"/>
        </xdr:cNvSpPr>
      </xdr:nvSpPr>
      <xdr:spPr bwMode="auto">
        <a:xfrm>
          <a:off x="3994150" y="13335000"/>
          <a:ext cx="4362450" cy="415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59531</xdr:rowOff>
    </xdr:from>
    <xdr:to>
      <xdr:col>9</xdr:col>
      <xdr:colOff>609600</xdr:colOff>
      <xdr:row>96</xdr:row>
      <xdr:rowOff>179388</xdr:rowOff>
    </xdr:to>
    <xdr:sp macro="" textlink="">
      <xdr:nvSpPr>
        <xdr:cNvPr id="421923" name="Text Box 1059" hidden="1">
          <a:extLst>
            <a:ext uri="{FF2B5EF4-FFF2-40B4-BE49-F238E27FC236}">
              <a16:creationId xmlns:a16="http://schemas.microsoft.com/office/drawing/2014/main" id="{66A30B15-730B-32F1-3495-456247BA1257}"/>
            </a:ext>
          </a:extLst>
        </xdr:cNvPr>
        <xdr:cNvSpPr txBox="1">
          <a:spLocks noChangeArrowheads="1"/>
        </xdr:cNvSpPr>
      </xdr:nvSpPr>
      <xdr:spPr bwMode="auto">
        <a:xfrm>
          <a:off x="3994150" y="16579850"/>
          <a:ext cx="4362450" cy="411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158750</xdr:rowOff>
    </xdr:from>
    <xdr:to>
      <xdr:col>9</xdr:col>
      <xdr:colOff>609600</xdr:colOff>
      <xdr:row>97</xdr:row>
      <xdr:rowOff>46038</xdr:rowOff>
    </xdr:to>
    <xdr:sp macro="" textlink="">
      <xdr:nvSpPr>
        <xdr:cNvPr id="421922" name="Text Box 1058" hidden="1">
          <a:extLst>
            <a:ext uri="{FF2B5EF4-FFF2-40B4-BE49-F238E27FC236}">
              <a16:creationId xmlns:a16="http://schemas.microsoft.com/office/drawing/2014/main" id="{E9821A62-DA38-0C71-DCEE-84540D6EE02B}"/>
            </a:ext>
          </a:extLst>
        </xdr:cNvPr>
        <xdr:cNvSpPr txBox="1">
          <a:spLocks noChangeArrowheads="1"/>
        </xdr:cNvSpPr>
      </xdr:nvSpPr>
      <xdr:spPr bwMode="auto">
        <a:xfrm>
          <a:off x="3994150" y="16687800"/>
          <a:ext cx="4362450" cy="411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97631</xdr:rowOff>
    </xdr:from>
    <xdr:to>
      <xdr:col>9</xdr:col>
      <xdr:colOff>609600</xdr:colOff>
      <xdr:row>97</xdr:row>
      <xdr:rowOff>26988</xdr:rowOff>
    </xdr:to>
    <xdr:sp macro="" textlink="">
      <xdr:nvSpPr>
        <xdr:cNvPr id="421921" name="Text Box 1057" hidden="1">
          <a:extLst>
            <a:ext uri="{FF2B5EF4-FFF2-40B4-BE49-F238E27FC236}">
              <a16:creationId xmlns:a16="http://schemas.microsoft.com/office/drawing/2014/main" id="{FBB50E9B-1133-7EE8-56C5-7A712BFA2D5A}"/>
            </a:ext>
          </a:extLst>
        </xdr:cNvPr>
        <xdr:cNvSpPr txBox="1">
          <a:spLocks noChangeArrowheads="1"/>
        </xdr:cNvSpPr>
      </xdr:nvSpPr>
      <xdr:spPr bwMode="auto">
        <a:xfrm>
          <a:off x="3994150" y="16802100"/>
          <a:ext cx="4362450" cy="398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106362</xdr:rowOff>
    </xdr:from>
    <xdr:to>
      <xdr:col>9</xdr:col>
      <xdr:colOff>609600</xdr:colOff>
      <xdr:row>97</xdr:row>
      <xdr:rowOff>84138</xdr:rowOff>
    </xdr:to>
    <xdr:sp macro="" textlink="">
      <xdr:nvSpPr>
        <xdr:cNvPr id="421920" name="Text Box 1056" hidden="1">
          <a:extLst>
            <a:ext uri="{FF2B5EF4-FFF2-40B4-BE49-F238E27FC236}">
              <a16:creationId xmlns:a16="http://schemas.microsoft.com/office/drawing/2014/main" id="{9710C440-AD2E-02F3-25EA-EE2A0756A36B}"/>
            </a:ext>
          </a:extLst>
        </xdr:cNvPr>
        <xdr:cNvSpPr txBox="1">
          <a:spLocks noChangeArrowheads="1"/>
        </xdr:cNvSpPr>
      </xdr:nvSpPr>
      <xdr:spPr bwMode="auto">
        <a:xfrm>
          <a:off x="3994150" y="16992600"/>
          <a:ext cx="43624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2382</xdr:rowOff>
    </xdr:from>
    <xdr:to>
      <xdr:col>9</xdr:col>
      <xdr:colOff>609600</xdr:colOff>
      <xdr:row>118</xdr:row>
      <xdr:rowOff>59531</xdr:rowOff>
    </xdr:to>
    <xdr:sp macro="" textlink="">
      <xdr:nvSpPr>
        <xdr:cNvPr id="421919" name="Text Box 1055" hidden="1">
          <a:extLst>
            <a:ext uri="{FF2B5EF4-FFF2-40B4-BE49-F238E27FC236}">
              <a16:creationId xmlns:a16="http://schemas.microsoft.com/office/drawing/2014/main" id="{13215D16-055B-41A6-91B7-B090625F8A0C}"/>
            </a:ext>
          </a:extLst>
        </xdr:cNvPr>
        <xdr:cNvSpPr txBox="1">
          <a:spLocks noChangeArrowheads="1"/>
        </xdr:cNvSpPr>
      </xdr:nvSpPr>
      <xdr:spPr bwMode="auto">
        <a:xfrm>
          <a:off x="3994150" y="21005800"/>
          <a:ext cx="4362450" cy="379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2381</xdr:rowOff>
    </xdr:from>
    <xdr:to>
      <xdr:col>9</xdr:col>
      <xdr:colOff>609600</xdr:colOff>
      <xdr:row>119</xdr:row>
      <xdr:rowOff>40482</xdr:rowOff>
    </xdr:to>
    <xdr:sp macro="" textlink="">
      <xdr:nvSpPr>
        <xdr:cNvPr id="421918" name="Text Box 1054" hidden="1">
          <a:extLst>
            <a:ext uri="{FF2B5EF4-FFF2-40B4-BE49-F238E27FC236}">
              <a16:creationId xmlns:a16="http://schemas.microsoft.com/office/drawing/2014/main" id="{78155E4D-4B6D-5E45-BE92-7164422ECAB0}"/>
            </a:ext>
          </a:extLst>
        </xdr:cNvPr>
        <xdr:cNvSpPr txBox="1">
          <a:spLocks noChangeArrowheads="1"/>
        </xdr:cNvSpPr>
      </xdr:nvSpPr>
      <xdr:spPr bwMode="auto">
        <a:xfrm>
          <a:off x="3994150" y="21189950"/>
          <a:ext cx="4362450" cy="377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40481</xdr:rowOff>
    </xdr:from>
    <xdr:to>
      <xdr:col>9</xdr:col>
      <xdr:colOff>609600</xdr:colOff>
      <xdr:row>120</xdr:row>
      <xdr:rowOff>40481</xdr:rowOff>
    </xdr:to>
    <xdr:sp macro="" textlink="">
      <xdr:nvSpPr>
        <xdr:cNvPr id="421917" name="Text Box 1053" hidden="1">
          <a:extLst>
            <a:ext uri="{FF2B5EF4-FFF2-40B4-BE49-F238E27FC236}">
              <a16:creationId xmlns:a16="http://schemas.microsoft.com/office/drawing/2014/main" id="{F0FA357D-2F65-4F6D-9659-955175756949}"/>
            </a:ext>
          </a:extLst>
        </xdr:cNvPr>
        <xdr:cNvSpPr txBox="1">
          <a:spLocks noChangeArrowheads="1"/>
        </xdr:cNvSpPr>
      </xdr:nvSpPr>
      <xdr:spPr bwMode="auto">
        <a:xfrm>
          <a:off x="3994150" y="21412200"/>
          <a:ext cx="436245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2381</xdr:rowOff>
    </xdr:from>
    <xdr:to>
      <xdr:col>9</xdr:col>
      <xdr:colOff>609600</xdr:colOff>
      <xdr:row>120</xdr:row>
      <xdr:rowOff>40481</xdr:rowOff>
    </xdr:to>
    <xdr:sp macro="" textlink="">
      <xdr:nvSpPr>
        <xdr:cNvPr id="421916" name="Text Box 1052" hidden="1">
          <a:extLst>
            <a:ext uri="{FF2B5EF4-FFF2-40B4-BE49-F238E27FC236}">
              <a16:creationId xmlns:a16="http://schemas.microsoft.com/office/drawing/2014/main" id="{D8526C22-E9ED-E561-1E54-1EFB0A2EB429}"/>
            </a:ext>
          </a:extLst>
        </xdr:cNvPr>
        <xdr:cNvSpPr txBox="1">
          <a:spLocks noChangeArrowheads="1"/>
        </xdr:cNvSpPr>
      </xdr:nvSpPr>
      <xdr:spPr bwMode="auto">
        <a:xfrm>
          <a:off x="3994150" y="21374100"/>
          <a:ext cx="4362450" cy="377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158750</xdr:rowOff>
    </xdr:from>
    <xdr:to>
      <xdr:col>24</xdr:col>
      <xdr:colOff>438150</xdr:colOff>
      <xdr:row>143</xdr:row>
      <xdr:rowOff>139700</xdr:rowOff>
    </xdr:to>
    <xdr:sp macro="" textlink="">
      <xdr:nvSpPr>
        <xdr:cNvPr id="421915" name="Text Box 1051" hidden="1">
          <a:extLst>
            <a:ext uri="{FF2B5EF4-FFF2-40B4-BE49-F238E27FC236}">
              <a16:creationId xmlns:a16="http://schemas.microsoft.com/office/drawing/2014/main" id="{CAC2981C-5FAF-1A60-F046-998B0627E674}"/>
            </a:ext>
          </a:extLst>
        </xdr:cNvPr>
        <xdr:cNvSpPr txBox="1">
          <a:spLocks noChangeArrowheads="1"/>
        </xdr:cNvSpPr>
      </xdr:nvSpPr>
      <xdr:spPr bwMode="auto">
        <a:xfrm>
          <a:off x="17208500" y="25825450"/>
          <a:ext cx="36195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15</xdr:row>
      <xdr:rowOff>95250</xdr:rowOff>
    </xdr:from>
    <xdr:to>
      <xdr:col>25</xdr:col>
      <xdr:colOff>609600</xdr:colOff>
      <xdr:row>35</xdr:row>
      <xdr:rowOff>76200</xdr:rowOff>
    </xdr:to>
    <xdr:sp macro="" textlink="">
      <xdr:nvSpPr>
        <xdr:cNvPr id="421914" name="Text Box 1050" hidden="1">
          <a:extLst>
            <a:ext uri="{FF2B5EF4-FFF2-40B4-BE49-F238E27FC236}">
              <a16:creationId xmlns:a16="http://schemas.microsoft.com/office/drawing/2014/main" id="{D0A9A330-FBFB-3ACC-A6A6-693E26D897C0}"/>
            </a:ext>
          </a:extLst>
        </xdr:cNvPr>
        <xdr:cNvSpPr txBox="1">
          <a:spLocks noChangeArrowheads="1"/>
        </xdr:cNvSpPr>
      </xdr:nvSpPr>
      <xdr:spPr bwMode="auto">
        <a:xfrm>
          <a:off x="18027650" y="3740150"/>
          <a:ext cx="3733800" cy="400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95250</xdr:rowOff>
    </xdr:from>
    <xdr:to>
      <xdr:col>25</xdr:col>
      <xdr:colOff>609600</xdr:colOff>
      <xdr:row>44</xdr:row>
      <xdr:rowOff>76200</xdr:rowOff>
    </xdr:to>
    <xdr:sp macro="" textlink="">
      <xdr:nvSpPr>
        <xdr:cNvPr id="421913" name="Text Box 1049" hidden="1">
          <a:extLst>
            <a:ext uri="{FF2B5EF4-FFF2-40B4-BE49-F238E27FC236}">
              <a16:creationId xmlns:a16="http://schemas.microsoft.com/office/drawing/2014/main" id="{9ADA79F2-9122-8815-6F5C-822CDB7619E9}"/>
            </a:ext>
          </a:extLst>
        </xdr:cNvPr>
        <xdr:cNvSpPr txBox="1">
          <a:spLocks noChangeArrowheads="1"/>
        </xdr:cNvSpPr>
      </xdr:nvSpPr>
      <xdr:spPr bwMode="auto">
        <a:xfrm>
          <a:off x="18027650" y="5746750"/>
          <a:ext cx="373380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2381</xdr:rowOff>
    </xdr:from>
    <xdr:to>
      <xdr:col>25</xdr:col>
      <xdr:colOff>609600</xdr:colOff>
      <xdr:row>147</xdr:row>
      <xdr:rowOff>158750</xdr:rowOff>
    </xdr:to>
    <xdr:sp macro="" textlink="">
      <xdr:nvSpPr>
        <xdr:cNvPr id="421912" name="Text Box 1048" hidden="1">
          <a:extLst>
            <a:ext uri="{FF2B5EF4-FFF2-40B4-BE49-F238E27FC236}">
              <a16:creationId xmlns:a16="http://schemas.microsoft.com/office/drawing/2014/main" id="{A8B8E41F-6504-7DB6-A1F4-1312F052DB67}"/>
            </a:ext>
          </a:extLst>
        </xdr:cNvPr>
        <xdr:cNvSpPr txBox="1">
          <a:spLocks noChangeArrowheads="1"/>
        </xdr:cNvSpPr>
      </xdr:nvSpPr>
      <xdr:spPr bwMode="auto">
        <a:xfrm>
          <a:off x="18027650" y="26581100"/>
          <a:ext cx="37338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35</xdr:row>
      <xdr:rowOff>95250</xdr:rowOff>
    </xdr:from>
    <xdr:to>
      <xdr:col>16</xdr:col>
      <xdr:colOff>0</xdr:colOff>
      <xdr:row>55</xdr:row>
      <xdr:rowOff>30163</xdr:rowOff>
    </xdr:to>
    <xdr:sp macro="" textlink="">
      <xdr:nvSpPr>
        <xdr:cNvPr id="421911" name="Text Box 1047" hidden="1">
          <a:extLst>
            <a:ext uri="{FF2B5EF4-FFF2-40B4-BE49-F238E27FC236}">
              <a16:creationId xmlns:a16="http://schemas.microsoft.com/office/drawing/2014/main" id="{D9D2BEFB-1758-F196-D84B-5CB681AE8DA4}"/>
            </a:ext>
          </a:extLst>
        </xdr:cNvPr>
        <xdr:cNvSpPr txBox="1">
          <a:spLocks noChangeArrowheads="1"/>
        </xdr:cNvSpPr>
      </xdr:nvSpPr>
      <xdr:spPr bwMode="auto">
        <a:xfrm>
          <a:off x="9683750" y="7766050"/>
          <a:ext cx="4533900" cy="417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15</xdr:row>
      <xdr:rowOff>95250</xdr:rowOff>
    </xdr:from>
    <xdr:to>
      <xdr:col>28</xdr:col>
      <xdr:colOff>647700</xdr:colOff>
      <xdr:row>35</xdr:row>
      <xdr:rowOff>171450</xdr:rowOff>
    </xdr:to>
    <xdr:sp macro="" textlink="">
      <xdr:nvSpPr>
        <xdr:cNvPr id="421910" name="Text Box 1046" hidden="1">
          <a:extLst>
            <a:ext uri="{FF2B5EF4-FFF2-40B4-BE49-F238E27FC236}">
              <a16:creationId xmlns:a16="http://schemas.microsoft.com/office/drawing/2014/main" id="{B11FB887-EA3F-38D7-CDCE-28056C0CF9A1}"/>
            </a:ext>
          </a:extLst>
        </xdr:cNvPr>
        <xdr:cNvSpPr txBox="1">
          <a:spLocks noChangeArrowheads="1"/>
        </xdr:cNvSpPr>
      </xdr:nvSpPr>
      <xdr:spPr bwMode="auto">
        <a:xfrm>
          <a:off x="19723100" y="3740150"/>
          <a:ext cx="436245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95250</xdr:rowOff>
    </xdr:from>
    <xdr:to>
      <xdr:col>28</xdr:col>
      <xdr:colOff>647700</xdr:colOff>
      <xdr:row>44</xdr:row>
      <xdr:rowOff>152400</xdr:rowOff>
    </xdr:to>
    <xdr:sp macro="" textlink="">
      <xdr:nvSpPr>
        <xdr:cNvPr id="421909" name="Text Box 1045" hidden="1">
          <a:extLst>
            <a:ext uri="{FF2B5EF4-FFF2-40B4-BE49-F238E27FC236}">
              <a16:creationId xmlns:a16="http://schemas.microsoft.com/office/drawing/2014/main" id="{61CF6775-7FB9-BD95-2F26-EBD83552CB28}"/>
            </a:ext>
          </a:extLst>
        </xdr:cNvPr>
        <xdr:cNvSpPr txBox="1">
          <a:spLocks noChangeArrowheads="1"/>
        </xdr:cNvSpPr>
      </xdr:nvSpPr>
      <xdr:spPr bwMode="auto">
        <a:xfrm>
          <a:off x="19723100" y="5746750"/>
          <a:ext cx="436245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2381</xdr:rowOff>
    </xdr:from>
    <xdr:to>
      <xdr:col>28</xdr:col>
      <xdr:colOff>647700</xdr:colOff>
      <xdr:row>148</xdr:row>
      <xdr:rowOff>59531</xdr:rowOff>
    </xdr:to>
    <xdr:sp macro="" textlink="">
      <xdr:nvSpPr>
        <xdr:cNvPr id="421908" name="Text Box 1044" hidden="1">
          <a:extLst>
            <a:ext uri="{FF2B5EF4-FFF2-40B4-BE49-F238E27FC236}">
              <a16:creationId xmlns:a16="http://schemas.microsoft.com/office/drawing/2014/main" id="{5E9C0EDD-51D4-AB43-6D5A-3FD05C58EFB0}"/>
            </a:ext>
          </a:extLst>
        </xdr:cNvPr>
        <xdr:cNvSpPr txBox="1">
          <a:spLocks noChangeArrowheads="1"/>
        </xdr:cNvSpPr>
      </xdr:nvSpPr>
      <xdr:spPr bwMode="auto">
        <a:xfrm>
          <a:off x="19723100" y="26581100"/>
          <a:ext cx="4362450" cy="374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15</xdr:row>
      <xdr:rowOff>95250</xdr:rowOff>
    </xdr:from>
    <xdr:to>
      <xdr:col>29</xdr:col>
      <xdr:colOff>647700</xdr:colOff>
      <xdr:row>35</xdr:row>
      <xdr:rowOff>133350</xdr:rowOff>
    </xdr:to>
    <xdr:sp macro="" textlink="">
      <xdr:nvSpPr>
        <xdr:cNvPr id="421907" name="Text Box 1043" hidden="1">
          <a:extLst>
            <a:ext uri="{FF2B5EF4-FFF2-40B4-BE49-F238E27FC236}">
              <a16:creationId xmlns:a16="http://schemas.microsoft.com/office/drawing/2014/main" id="{7DC915E4-5966-264A-9937-BF054440599C}"/>
            </a:ext>
          </a:extLst>
        </xdr:cNvPr>
        <xdr:cNvSpPr txBox="1">
          <a:spLocks noChangeArrowheads="1"/>
        </xdr:cNvSpPr>
      </xdr:nvSpPr>
      <xdr:spPr bwMode="auto">
        <a:xfrm>
          <a:off x="20485100" y="3740150"/>
          <a:ext cx="4362450" cy="4064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95250</xdr:rowOff>
    </xdr:from>
    <xdr:to>
      <xdr:col>29</xdr:col>
      <xdr:colOff>647700</xdr:colOff>
      <xdr:row>44</xdr:row>
      <xdr:rowOff>95250</xdr:rowOff>
    </xdr:to>
    <xdr:sp macro="" textlink="">
      <xdr:nvSpPr>
        <xdr:cNvPr id="421906" name="Text Box 1042" hidden="1">
          <a:extLst>
            <a:ext uri="{FF2B5EF4-FFF2-40B4-BE49-F238E27FC236}">
              <a16:creationId xmlns:a16="http://schemas.microsoft.com/office/drawing/2014/main" id="{815A9791-1EF1-130E-1928-2EA04438FAC0}"/>
            </a:ext>
          </a:extLst>
        </xdr:cNvPr>
        <xdr:cNvSpPr txBox="1">
          <a:spLocks noChangeArrowheads="1"/>
        </xdr:cNvSpPr>
      </xdr:nvSpPr>
      <xdr:spPr bwMode="auto">
        <a:xfrm>
          <a:off x="20485100" y="5746750"/>
          <a:ext cx="436245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40481</xdr:rowOff>
    </xdr:from>
    <xdr:to>
      <xdr:col>29</xdr:col>
      <xdr:colOff>647700</xdr:colOff>
      <xdr:row>148</xdr:row>
      <xdr:rowOff>59531</xdr:rowOff>
    </xdr:to>
    <xdr:sp macro="" textlink="">
      <xdr:nvSpPr>
        <xdr:cNvPr id="421905" name="Text Box 1041" hidden="1">
          <a:extLst>
            <a:ext uri="{FF2B5EF4-FFF2-40B4-BE49-F238E27FC236}">
              <a16:creationId xmlns:a16="http://schemas.microsoft.com/office/drawing/2014/main" id="{270B73D4-FAA1-9110-9E3E-20BCCC05AEFF}"/>
            </a:ext>
          </a:extLst>
        </xdr:cNvPr>
        <xdr:cNvSpPr txBox="1">
          <a:spLocks noChangeArrowheads="1"/>
        </xdr:cNvSpPr>
      </xdr:nvSpPr>
      <xdr:spPr bwMode="auto">
        <a:xfrm>
          <a:off x="20485100" y="26619200"/>
          <a:ext cx="4362450" cy="370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39</xdr:row>
      <xdr:rowOff>76200</xdr:rowOff>
    </xdr:from>
    <xdr:to>
      <xdr:col>16</xdr:col>
      <xdr:colOff>0</xdr:colOff>
      <xdr:row>58</xdr:row>
      <xdr:rowOff>40482</xdr:rowOff>
    </xdr:to>
    <xdr:sp macro="" textlink="">
      <xdr:nvSpPr>
        <xdr:cNvPr id="421904" name="Text Box 1040" hidden="1">
          <a:extLst>
            <a:ext uri="{FF2B5EF4-FFF2-40B4-BE49-F238E27FC236}">
              <a16:creationId xmlns:a16="http://schemas.microsoft.com/office/drawing/2014/main" id="{4899F195-0262-57E2-5006-09E5D13FD74B}"/>
            </a:ext>
          </a:extLst>
        </xdr:cNvPr>
        <xdr:cNvSpPr txBox="1">
          <a:spLocks noChangeArrowheads="1"/>
        </xdr:cNvSpPr>
      </xdr:nvSpPr>
      <xdr:spPr bwMode="auto">
        <a:xfrm>
          <a:off x="9721850" y="8483600"/>
          <a:ext cx="44958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39</xdr:row>
      <xdr:rowOff>76200</xdr:rowOff>
    </xdr:from>
    <xdr:to>
      <xdr:col>17</xdr:col>
      <xdr:colOff>666750</xdr:colOff>
      <xdr:row>58</xdr:row>
      <xdr:rowOff>40482</xdr:rowOff>
    </xdr:to>
    <xdr:sp macro="" textlink="">
      <xdr:nvSpPr>
        <xdr:cNvPr id="421903" name="Text Box 1039" hidden="1">
          <a:extLst>
            <a:ext uri="{FF2B5EF4-FFF2-40B4-BE49-F238E27FC236}">
              <a16:creationId xmlns:a16="http://schemas.microsoft.com/office/drawing/2014/main" id="{E07B9978-F6CD-510C-4608-A2A5D25A7DDE}"/>
            </a:ext>
          </a:extLst>
        </xdr:cNvPr>
        <xdr:cNvSpPr txBox="1">
          <a:spLocks noChangeArrowheads="1"/>
        </xdr:cNvSpPr>
      </xdr:nvSpPr>
      <xdr:spPr bwMode="auto">
        <a:xfrm>
          <a:off x="10820400" y="8483600"/>
          <a:ext cx="48260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21</xdr:row>
      <xdr:rowOff>0</xdr:rowOff>
    </xdr:from>
    <xdr:to>
      <xdr:col>34</xdr:col>
      <xdr:colOff>647700</xdr:colOff>
      <xdr:row>41</xdr:row>
      <xdr:rowOff>0</xdr:rowOff>
    </xdr:to>
    <xdr:sp macro="" textlink="">
      <xdr:nvSpPr>
        <xdr:cNvPr id="421902" name="Text Box 1038" hidden="1">
          <a:extLst>
            <a:ext uri="{FF2B5EF4-FFF2-40B4-BE49-F238E27FC236}">
              <a16:creationId xmlns:a16="http://schemas.microsoft.com/office/drawing/2014/main" id="{9BDBA905-0E83-CC8A-FA9B-7058F6809C3E}"/>
            </a:ext>
          </a:extLst>
        </xdr:cNvPr>
        <xdr:cNvSpPr txBox="1">
          <a:spLocks noChangeArrowheads="1"/>
        </xdr:cNvSpPr>
      </xdr:nvSpPr>
      <xdr:spPr bwMode="auto">
        <a:xfrm>
          <a:off x="24295100" y="5099050"/>
          <a:ext cx="484505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181768</xdr:rowOff>
    </xdr:from>
    <xdr:to>
      <xdr:col>18</xdr:col>
      <xdr:colOff>571500</xdr:colOff>
      <xdr:row>75</xdr:row>
      <xdr:rowOff>139700</xdr:rowOff>
    </xdr:to>
    <xdr:sp macro="" textlink="">
      <xdr:nvSpPr>
        <xdr:cNvPr id="421901" name="Text Box 1037" hidden="1">
          <a:extLst>
            <a:ext uri="{FF2B5EF4-FFF2-40B4-BE49-F238E27FC236}">
              <a16:creationId xmlns:a16="http://schemas.microsoft.com/office/drawing/2014/main" id="{3113B1E5-476F-7FFB-0315-8AB80605670C}"/>
            </a:ext>
          </a:extLst>
        </xdr:cNvPr>
        <xdr:cNvSpPr txBox="1">
          <a:spLocks noChangeArrowheads="1"/>
        </xdr:cNvSpPr>
      </xdr:nvSpPr>
      <xdr:spPr bwMode="auto">
        <a:xfrm>
          <a:off x="11652250" y="12471400"/>
          <a:ext cx="466090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19050</xdr:rowOff>
    </xdr:from>
    <xdr:to>
      <xdr:col>18</xdr:col>
      <xdr:colOff>609600</xdr:colOff>
      <xdr:row>80</xdr:row>
      <xdr:rowOff>116682</xdr:rowOff>
    </xdr:to>
    <xdr:sp macro="" textlink="">
      <xdr:nvSpPr>
        <xdr:cNvPr id="421900" name="Text Box 1036" hidden="1">
          <a:extLst>
            <a:ext uri="{FF2B5EF4-FFF2-40B4-BE49-F238E27FC236}">
              <a16:creationId xmlns:a16="http://schemas.microsoft.com/office/drawing/2014/main" id="{704947E1-83A2-F7A8-BD14-00782A28907A}"/>
            </a:ext>
          </a:extLst>
        </xdr:cNvPr>
        <xdr:cNvSpPr txBox="1">
          <a:spLocks noChangeArrowheads="1"/>
        </xdr:cNvSpPr>
      </xdr:nvSpPr>
      <xdr:spPr bwMode="auto">
        <a:xfrm>
          <a:off x="11690350" y="13277850"/>
          <a:ext cx="4660900" cy="429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39</xdr:row>
      <xdr:rowOff>76200</xdr:rowOff>
    </xdr:from>
    <xdr:to>
      <xdr:col>18</xdr:col>
      <xdr:colOff>609600</xdr:colOff>
      <xdr:row>58</xdr:row>
      <xdr:rowOff>40482</xdr:rowOff>
    </xdr:to>
    <xdr:sp macro="" textlink="">
      <xdr:nvSpPr>
        <xdr:cNvPr id="421899" name="Text Box 1035" hidden="1">
          <a:extLst>
            <a:ext uri="{FF2B5EF4-FFF2-40B4-BE49-F238E27FC236}">
              <a16:creationId xmlns:a16="http://schemas.microsoft.com/office/drawing/2014/main" id="{923532D6-BF08-26A0-1623-B27961E5CF1D}"/>
            </a:ext>
          </a:extLst>
        </xdr:cNvPr>
        <xdr:cNvSpPr txBox="1">
          <a:spLocks noChangeArrowheads="1"/>
        </xdr:cNvSpPr>
      </xdr:nvSpPr>
      <xdr:spPr bwMode="auto">
        <a:xfrm>
          <a:off x="11690350" y="8483600"/>
          <a:ext cx="46609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15</xdr:row>
      <xdr:rowOff>95250</xdr:rowOff>
    </xdr:from>
    <xdr:to>
      <xdr:col>30</xdr:col>
      <xdr:colOff>666750</xdr:colOff>
      <xdr:row>35</xdr:row>
      <xdr:rowOff>152400</xdr:rowOff>
    </xdr:to>
    <xdr:sp macro="" textlink="">
      <xdr:nvSpPr>
        <xdr:cNvPr id="421898" name="Text Box 1034" hidden="1">
          <a:extLst>
            <a:ext uri="{FF2B5EF4-FFF2-40B4-BE49-F238E27FC236}">
              <a16:creationId xmlns:a16="http://schemas.microsoft.com/office/drawing/2014/main" id="{E7C8802F-3C98-1848-B812-AB4EF69165F0}"/>
            </a:ext>
          </a:extLst>
        </xdr:cNvPr>
        <xdr:cNvSpPr txBox="1">
          <a:spLocks noChangeArrowheads="1"/>
        </xdr:cNvSpPr>
      </xdr:nvSpPr>
      <xdr:spPr bwMode="auto">
        <a:xfrm>
          <a:off x="21247100" y="3740150"/>
          <a:ext cx="4381500" cy="408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24</xdr:row>
      <xdr:rowOff>95250</xdr:rowOff>
    </xdr:from>
    <xdr:to>
      <xdr:col>30</xdr:col>
      <xdr:colOff>666750</xdr:colOff>
      <xdr:row>44</xdr:row>
      <xdr:rowOff>152400</xdr:rowOff>
    </xdr:to>
    <xdr:sp macro="" textlink="">
      <xdr:nvSpPr>
        <xdr:cNvPr id="421897" name="Text Box 1033" hidden="1">
          <a:extLst>
            <a:ext uri="{FF2B5EF4-FFF2-40B4-BE49-F238E27FC236}">
              <a16:creationId xmlns:a16="http://schemas.microsoft.com/office/drawing/2014/main" id="{EBE0073A-D8AF-102D-E662-F3F7BD64B9EB}"/>
            </a:ext>
          </a:extLst>
        </xdr:cNvPr>
        <xdr:cNvSpPr txBox="1">
          <a:spLocks noChangeArrowheads="1"/>
        </xdr:cNvSpPr>
      </xdr:nvSpPr>
      <xdr:spPr bwMode="auto">
        <a:xfrm>
          <a:off x="21247100" y="5746750"/>
          <a:ext cx="438150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130</xdr:row>
      <xdr:rowOff>97631</xdr:rowOff>
    </xdr:from>
    <xdr:to>
      <xdr:col>30</xdr:col>
      <xdr:colOff>666750</xdr:colOff>
      <xdr:row>150</xdr:row>
      <xdr:rowOff>135731</xdr:rowOff>
    </xdr:to>
    <xdr:sp macro="" textlink="">
      <xdr:nvSpPr>
        <xdr:cNvPr id="421896" name="Text Box 1032" hidden="1">
          <a:extLst>
            <a:ext uri="{FF2B5EF4-FFF2-40B4-BE49-F238E27FC236}">
              <a16:creationId xmlns:a16="http://schemas.microsoft.com/office/drawing/2014/main" id="{1AA14602-2547-BA60-65CD-45BD2D9F466A}"/>
            </a:ext>
          </a:extLst>
        </xdr:cNvPr>
        <xdr:cNvSpPr txBox="1">
          <a:spLocks noChangeArrowheads="1"/>
        </xdr:cNvSpPr>
      </xdr:nvSpPr>
      <xdr:spPr bwMode="auto">
        <a:xfrm>
          <a:off x="21247100" y="27044650"/>
          <a:ext cx="4381500" cy="372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15</xdr:row>
      <xdr:rowOff>114300</xdr:rowOff>
    </xdr:from>
    <xdr:to>
      <xdr:col>31</xdr:col>
      <xdr:colOff>666750</xdr:colOff>
      <xdr:row>35</xdr:row>
      <xdr:rowOff>152400</xdr:rowOff>
    </xdr:to>
    <xdr:sp macro="" textlink="">
      <xdr:nvSpPr>
        <xdr:cNvPr id="421895" name="Text Box 1031" hidden="1">
          <a:extLst>
            <a:ext uri="{FF2B5EF4-FFF2-40B4-BE49-F238E27FC236}">
              <a16:creationId xmlns:a16="http://schemas.microsoft.com/office/drawing/2014/main" id="{78CEEBDD-93C3-C4D8-2E58-44495C809849}"/>
            </a:ext>
          </a:extLst>
        </xdr:cNvPr>
        <xdr:cNvSpPr txBox="1">
          <a:spLocks noChangeArrowheads="1"/>
        </xdr:cNvSpPr>
      </xdr:nvSpPr>
      <xdr:spPr bwMode="auto">
        <a:xfrm>
          <a:off x="22009100" y="3759200"/>
          <a:ext cx="4864100" cy="4064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24</xdr:row>
      <xdr:rowOff>114300</xdr:rowOff>
    </xdr:from>
    <xdr:to>
      <xdr:col>31</xdr:col>
      <xdr:colOff>666750</xdr:colOff>
      <xdr:row>44</xdr:row>
      <xdr:rowOff>152400</xdr:rowOff>
    </xdr:to>
    <xdr:sp macro="" textlink="">
      <xdr:nvSpPr>
        <xdr:cNvPr id="421894" name="Text Box 1030" hidden="1">
          <a:extLst>
            <a:ext uri="{FF2B5EF4-FFF2-40B4-BE49-F238E27FC236}">
              <a16:creationId xmlns:a16="http://schemas.microsoft.com/office/drawing/2014/main" id="{CCC50B68-4751-C592-C36C-6CF80A1F758B}"/>
            </a:ext>
          </a:extLst>
        </xdr:cNvPr>
        <xdr:cNvSpPr txBox="1">
          <a:spLocks noChangeArrowheads="1"/>
        </xdr:cNvSpPr>
      </xdr:nvSpPr>
      <xdr:spPr bwMode="auto">
        <a:xfrm>
          <a:off x="22009100" y="5765800"/>
          <a:ext cx="4864100" cy="371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130</xdr:row>
      <xdr:rowOff>97631</xdr:rowOff>
    </xdr:from>
    <xdr:to>
      <xdr:col>31</xdr:col>
      <xdr:colOff>666750</xdr:colOff>
      <xdr:row>150</xdr:row>
      <xdr:rowOff>135731</xdr:rowOff>
    </xdr:to>
    <xdr:sp macro="" textlink="">
      <xdr:nvSpPr>
        <xdr:cNvPr id="421893" name="Text Box 1029" hidden="1">
          <a:extLst>
            <a:ext uri="{FF2B5EF4-FFF2-40B4-BE49-F238E27FC236}">
              <a16:creationId xmlns:a16="http://schemas.microsoft.com/office/drawing/2014/main" id="{6E508C05-DC76-8423-104B-3C503F27E1DE}"/>
            </a:ext>
          </a:extLst>
        </xdr:cNvPr>
        <xdr:cNvSpPr txBox="1">
          <a:spLocks noChangeArrowheads="1"/>
        </xdr:cNvSpPr>
      </xdr:nvSpPr>
      <xdr:spPr bwMode="auto">
        <a:xfrm>
          <a:off x="22009100" y="27044650"/>
          <a:ext cx="4864100" cy="372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15</xdr:row>
      <xdr:rowOff>95250</xdr:rowOff>
    </xdr:from>
    <xdr:to>
      <xdr:col>32</xdr:col>
      <xdr:colOff>57150</xdr:colOff>
      <xdr:row>35</xdr:row>
      <xdr:rowOff>95250</xdr:rowOff>
    </xdr:to>
    <xdr:sp macro="" textlink="">
      <xdr:nvSpPr>
        <xdr:cNvPr id="421892" name="Text Box 1028" hidden="1">
          <a:extLst>
            <a:ext uri="{FF2B5EF4-FFF2-40B4-BE49-F238E27FC236}">
              <a16:creationId xmlns:a16="http://schemas.microsoft.com/office/drawing/2014/main" id="{DCF14DA3-3FA9-B2CF-6B19-A3A2EABEC523}"/>
            </a:ext>
          </a:extLst>
        </xdr:cNvPr>
        <xdr:cNvSpPr txBox="1">
          <a:spLocks noChangeArrowheads="1"/>
        </xdr:cNvSpPr>
      </xdr:nvSpPr>
      <xdr:spPr bwMode="auto">
        <a:xfrm>
          <a:off x="22809200" y="3740150"/>
          <a:ext cx="4216400" cy="402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24</xdr:row>
      <xdr:rowOff>95250</xdr:rowOff>
    </xdr:from>
    <xdr:to>
      <xdr:col>32</xdr:col>
      <xdr:colOff>57150</xdr:colOff>
      <xdr:row>44</xdr:row>
      <xdr:rowOff>114300</xdr:rowOff>
    </xdr:to>
    <xdr:sp macro="" textlink="">
      <xdr:nvSpPr>
        <xdr:cNvPr id="421891" name="Text Box 1027" hidden="1">
          <a:extLst>
            <a:ext uri="{FF2B5EF4-FFF2-40B4-BE49-F238E27FC236}">
              <a16:creationId xmlns:a16="http://schemas.microsoft.com/office/drawing/2014/main" id="{9E39B4F9-779D-6518-E36C-A79122A60C93}"/>
            </a:ext>
          </a:extLst>
        </xdr:cNvPr>
        <xdr:cNvSpPr txBox="1">
          <a:spLocks noChangeArrowheads="1"/>
        </xdr:cNvSpPr>
      </xdr:nvSpPr>
      <xdr:spPr bwMode="auto">
        <a:xfrm>
          <a:off x="22809200" y="5746750"/>
          <a:ext cx="42164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9</xdr:row>
      <xdr:rowOff>76200</xdr:rowOff>
    </xdr:from>
    <xdr:to>
      <xdr:col>42</xdr:col>
      <xdr:colOff>57150</xdr:colOff>
      <xdr:row>29</xdr:row>
      <xdr:rowOff>95250</xdr:rowOff>
    </xdr:to>
    <xdr:sp macro="" textlink="">
      <xdr:nvSpPr>
        <xdr:cNvPr id="421890" name="Text Box 1026" hidden="1">
          <a:extLst>
            <a:ext uri="{FF2B5EF4-FFF2-40B4-BE49-F238E27FC236}">
              <a16:creationId xmlns:a16="http://schemas.microsoft.com/office/drawing/2014/main" id="{9E92D054-3A81-5B08-647A-42DB1823BECD}"/>
            </a:ext>
          </a:extLst>
        </xdr:cNvPr>
        <xdr:cNvSpPr txBox="1">
          <a:spLocks noChangeArrowheads="1"/>
        </xdr:cNvSpPr>
      </xdr:nvSpPr>
      <xdr:spPr bwMode="auto">
        <a:xfrm>
          <a:off x="30911800" y="2616200"/>
          <a:ext cx="37338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95250</xdr:colOff>
      <xdr:row>130</xdr:row>
      <xdr:rowOff>65881</xdr:rowOff>
    </xdr:from>
    <xdr:to>
      <xdr:col>28</xdr:col>
      <xdr:colOff>666750</xdr:colOff>
      <xdr:row>134</xdr:row>
      <xdr:rowOff>139700</xdr:rowOff>
    </xdr:to>
    <xdr:sp macro="" textlink="">
      <xdr:nvSpPr>
        <xdr:cNvPr id="421889" name="Text Box 1025" hidden="1">
          <a:extLst>
            <a:ext uri="{FF2B5EF4-FFF2-40B4-BE49-F238E27FC236}">
              <a16:creationId xmlns:a16="http://schemas.microsoft.com/office/drawing/2014/main" id="{E0E7D47F-DE36-DE47-CBDD-94E72E626E51}"/>
            </a:ext>
          </a:extLst>
        </xdr:cNvPr>
        <xdr:cNvSpPr txBox="1">
          <a:spLocks noChangeArrowheads="1"/>
        </xdr:cNvSpPr>
      </xdr:nvSpPr>
      <xdr:spPr bwMode="auto">
        <a:xfrm>
          <a:off x="22771100" y="27012900"/>
          <a:ext cx="13335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378054" name="Text Box 198" hidden="1">
          <a:extLst>
            <a:ext uri="{FF2B5EF4-FFF2-40B4-BE49-F238E27FC236}">
              <a16:creationId xmlns:a16="http://schemas.microsoft.com/office/drawing/2014/main" id="{37F89471-3B4D-957A-DE3F-1D5A97323BDA}"/>
            </a:ext>
          </a:extLst>
        </xdr:cNvPr>
        <xdr:cNvSpPr txBox="1">
          <a:spLocks noChangeArrowheads="1"/>
        </xdr:cNvSpPr>
      </xdr:nvSpPr>
      <xdr:spPr bwMode="auto">
        <a:xfrm>
          <a:off x="148463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378053" name="Text Box 197" hidden="1">
          <a:extLst>
            <a:ext uri="{FF2B5EF4-FFF2-40B4-BE49-F238E27FC236}">
              <a16:creationId xmlns:a16="http://schemas.microsoft.com/office/drawing/2014/main" id="{2D8C7C0B-60FA-78FC-2BF6-C164C8B24081}"/>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181768</xdr:rowOff>
    </xdr:from>
    <xdr:to>
      <xdr:col>9</xdr:col>
      <xdr:colOff>628650</xdr:colOff>
      <xdr:row>75</xdr:row>
      <xdr:rowOff>139700</xdr:rowOff>
    </xdr:to>
    <xdr:sp macro="" textlink="">
      <xdr:nvSpPr>
        <xdr:cNvPr id="378052" name="Text Box 196" hidden="1">
          <a:extLst>
            <a:ext uri="{FF2B5EF4-FFF2-40B4-BE49-F238E27FC236}">
              <a16:creationId xmlns:a16="http://schemas.microsoft.com/office/drawing/2014/main" id="{BFBCA689-361D-1F98-E1F8-E7DA2B47CCA6}"/>
            </a:ext>
          </a:extLst>
        </xdr:cNvPr>
        <xdr:cNvSpPr txBox="1">
          <a:spLocks noChangeArrowheads="1"/>
        </xdr:cNvSpPr>
      </xdr:nvSpPr>
      <xdr:spPr bwMode="auto">
        <a:xfrm>
          <a:off x="401320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378051" name="Text Box 195" hidden="1">
          <a:extLst>
            <a:ext uri="{FF2B5EF4-FFF2-40B4-BE49-F238E27FC236}">
              <a16:creationId xmlns:a16="http://schemas.microsoft.com/office/drawing/2014/main" id="{2F7A40A5-5714-6426-4158-1BBB96980D84}"/>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378050" name="Text Box 194" hidden="1">
          <a:extLst>
            <a:ext uri="{FF2B5EF4-FFF2-40B4-BE49-F238E27FC236}">
              <a16:creationId xmlns:a16="http://schemas.microsoft.com/office/drawing/2014/main" id="{77D71B69-73CC-965A-0911-DEF410E1423B}"/>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76200</xdr:rowOff>
    </xdr:from>
    <xdr:to>
      <xdr:col>9</xdr:col>
      <xdr:colOff>609600</xdr:colOff>
      <xdr:row>80</xdr:row>
      <xdr:rowOff>40482</xdr:rowOff>
    </xdr:to>
    <xdr:sp macro="" textlink="">
      <xdr:nvSpPr>
        <xdr:cNvPr id="378049" name="Text Box 193" hidden="1">
          <a:extLst>
            <a:ext uri="{FF2B5EF4-FFF2-40B4-BE49-F238E27FC236}">
              <a16:creationId xmlns:a16="http://schemas.microsoft.com/office/drawing/2014/main" id="{D7CEDC68-3DAF-5B82-90E3-4D3ADA539CA3}"/>
            </a:ext>
          </a:extLst>
        </xdr:cNvPr>
        <xdr:cNvSpPr txBox="1">
          <a:spLocks noChangeArrowheads="1"/>
        </xdr:cNvSpPr>
      </xdr:nvSpPr>
      <xdr:spPr bwMode="auto">
        <a:xfrm>
          <a:off x="3994150" y="13335000"/>
          <a:ext cx="4362450" cy="415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59531</xdr:rowOff>
    </xdr:from>
    <xdr:to>
      <xdr:col>9</xdr:col>
      <xdr:colOff>609600</xdr:colOff>
      <xdr:row>96</xdr:row>
      <xdr:rowOff>179388</xdr:rowOff>
    </xdr:to>
    <xdr:sp macro="" textlink="">
      <xdr:nvSpPr>
        <xdr:cNvPr id="378048" name="Text Box 192" hidden="1">
          <a:extLst>
            <a:ext uri="{FF2B5EF4-FFF2-40B4-BE49-F238E27FC236}">
              <a16:creationId xmlns:a16="http://schemas.microsoft.com/office/drawing/2014/main" id="{EC32F047-4DC6-2FFD-39AD-599311BDF841}"/>
            </a:ext>
          </a:extLst>
        </xdr:cNvPr>
        <xdr:cNvSpPr txBox="1">
          <a:spLocks noChangeArrowheads="1"/>
        </xdr:cNvSpPr>
      </xdr:nvSpPr>
      <xdr:spPr bwMode="auto">
        <a:xfrm>
          <a:off x="3994150" y="16579850"/>
          <a:ext cx="4362450" cy="411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158750</xdr:rowOff>
    </xdr:from>
    <xdr:to>
      <xdr:col>9</xdr:col>
      <xdr:colOff>609600</xdr:colOff>
      <xdr:row>97</xdr:row>
      <xdr:rowOff>46038</xdr:rowOff>
    </xdr:to>
    <xdr:sp macro="" textlink="">
      <xdr:nvSpPr>
        <xdr:cNvPr id="378047" name="Text Box 191" hidden="1">
          <a:extLst>
            <a:ext uri="{FF2B5EF4-FFF2-40B4-BE49-F238E27FC236}">
              <a16:creationId xmlns:a16="http://schemas.microsoft.com/office/drawing/2014/main" id="{C5B4428A-07E2-06D2-C0A1-2F2929E02B10}"/>
            </a:ext>
          </a:extLst>
        </xdr:cNvPr>
        <xdr:cNvSpPr txBox="1">
          <a:spLocks noChangeArrowheads="1"/>
        </xdr:cNvSpPr>
      </xdr:nvSpPr>
      <xdr:spPr bwMode="auto">
        <a:xfrm>
          <a:off x="3994150" y="16687800"/>
          <a:ext cx="4362450" cy="411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97631</xdr:rowOff>
    </xdr:from>
    <xdr:to>
      <xdr:col>9</xdr:col>
      <xdr:colOff>609600</xdr:colOff>
      <xdr:row>97</xdr:row>
      <xdr:rowOff>26988</xdr:rowOff>
    </xdr:to>
    <xdr:sp macro="" textlink="">
      <xdr:nvSpPr>
        <xdr:cNvPr id="378046" name="Text Box 190" hidden="1">
          <a:extLst>
            <a:ext uri="{FF2B5EF4-FFF2-40B4-BE49-F238E27FC236}">
              <a16:creationId xmlns:a16="http://schemas.microsoft.com/office/drawing/2014/main" id="{041CA4C6-697F-5322-2F9F-2DACEF24F1C3}"/>
            </a:ext>
          </a:extLst>
        </xdr:cNvPr>
        <xdr:cNvSpPr txBox="1">
          <a:spLocks noChangeArrowheads="1"/>
        </xdr:cNvSpPr>
      </xdr:nvSpPr>
      <xdr:spPr bwMode="auto">
        <a:xfrm>
          <a:off x="3994150" y="16802100"/>
          <a:ext cx="43624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106362</xdr:rowOff>
    </xdr:from>
    <xdr:to>
      <xdr:col>9</xdr:col>
      <xdr:colOff>609600</xdr:colOff>
      <xdr:row>97</xdr:row>
      <xdr:rowOff>84138</xdr:rowOff>
    </xdr:to>
    <xdr:sp macro="" textlink="">
      <xdr:nvSpPr>
        <xdr:cNvPr id="378045" name="Text Box 189" hidden="1">
          <a:extLst>
            <a:ext uri="{FF2B5EF4-FFF2-40B4-BE49-F238E27FC236}">
              <a16:creationId xmlns:a16="http://schemas.microsoft.com/office/drawing/2014/main" id="{83ED9324-10F8-F235-899D-EB114A86C201}"/>
            </a:ext>
          </a:extLst>
        </xdr:cNvPr>
        <xdr:cNvSpPr txBox="1">
          <a:spLocks noChangeArrowheads="1"/>
        </xdr:cNvSpPr>
      </xdr:nvSpPr>
      <xdr:spPr bwMode="auto">
        <a:xfrm>
          <a:off x="3994150" y="16992600"/>
          <a:ext cx="43624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2382</xdr:rowOff>
    </xdr:from>
    <xdr:to>
      <xdr:col>9</xdr:col>
      <xdr:colOff>609600</xdr:colOff>
      <xdr:row>118</xdr:row>
      <xdr:rowOff>59531</xdr:rowOff>
    </xdr:to>
    <xdr:sp macro="" textlink="">
      <xdr:nvSpPr>
        <xdr:cNvPr id="378044" name="Text Box 188" hidden="1">
          <a:extLst>
            <a:ext uri="{FF2B5EF4-FFF2-40B4-BE49-F238E27FC236}">
              <a16:creationId xmlns:a16="http://schemas.microsoft.com/office/drawing/2014/main" id="{3CE8D433-D824-B5CD-94DE-5A5C8595B4BF}"/>
            </a:ext>
          </a:extLst>
        </xdr:cNvPr>
        <xdr:cNvSpPr txBox="1">
          <a:spLocks noChangeArrowheads="1"/>
        </xdr:cNvSpPr>
      </xdr:nvSpPr>
      <xdr:spPr bwMode="auto">
        <a:xfrm>
          <a:off x="3994150" y="21005800"/>
          <a:ext cx="4362450" cy="379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2381</xdr:rowOff>
    </xdr:from>
    <xdr:to>
      <xdr:col>9</xdr:col>
      <xdr:colOff>609600</xdr:colOff>
      <xdr:row>119</xdr:row>
      <xdr:rowOff>40482</xdr:rowOff>
    </xdr:to>
    <xdr:sp macro="" textlink="">
      <xdr:nvSpPr>
        <xdr:cNvPr id="378043" name="Text Box 187" hidden="1">
          <a:extLst>
            <a:ext uri="{FF2B5EF4-FFF2-40B4-BE49-F238E27FC236}">
              <a16:creationId xmlns:a16="http://schemas.microsoft.com/office/drawing/2014/main" id="{3ACEE204-9B56-60D0-8720-13029885798B}"/>
            </a:ext>
          </a:extLst>
        </xdr:cNvPr>
        <xdr:cNvSpPr txBox="1">
          <a:spLocks noChangeArrowheads="1"/>
        </xdr:cNvSpPr>
      </xdr:nvSpPr>
      <xdr:spPr bwMode="auto">
        <a:xfrm>
          <a:off x="3994150" y="21189950"/>
          <a:ext cx="4362450" cy="377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40481</xdr:rowOff>
    </xdr:from>
    <xdr:to>
      <xdr:col>9</xdr:col>
      <xdr:colOff>609600</xdr:colOff>
      <xdr:row>120</xdr:row>
      <xdr:rowOff>40481</xdr:rowOff>
    </xdr:to>
    <xdr:sp macro="" textlink="">
      <xdr:nvSpPr>
        <xdr:cNvPr id="378042" name="Text Box 186" hidden="1">
          <a:extLst>
            <a:ext uri="{FF2B5EF4-FFF2-40B4-BE49-F238E27FC236}">
              <a16:creationId xmlns:a16="http://schemas.microsoft.com/office/drawing/2014/main" id="{67CE5357-9896-A0AE-67C0-80B7EECFB178}"/>
            </a:ext>
          </a:extLst>
        </xdr:cNvPr>
        <xdr:cNvSpPr txBox="1">
          <a:spLocks noChangeArrowheads="1"/>
        </xdr:cNvSpPr>
      </xdr:nvSpPr>
      <xdr:spPr bwMode="auto">
        <a:xfrm>
          <a:off x="3994150" y="21412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2381</xdr:rowOff>
    </xdr:from>
    <xdr:to>
      <xdr:col>9</xdr:col>
      <xdr:colOff>609600</xdr:colOff>
      <xdr:row>120</xdr:row>
      <xdr:rowOff>40481</xdr:rowOff>
    </xdr:to>
    <xdr:sp macro="" textlink="">
      <xdr:nvSpPr>
        <xdr:cNvPr id="378041" name="Text Box 185" hidden="1">
          <a:extLst>
            <a:ext uri="{FF2B5EF4-FFF2-40B4-BE49-F238E27FC236}">
              <a16:creationId xmlns:a16="http://schemas.microsoft.com/office/drawing/2014/main" id="{B383BB0A-82A2-6B38-2175-CE28246B9E30}"/>
            </a:ext>
          </a:extLst>
        </xdr:cNvPr>
        <xdr:cNvSpPr txBox="1">
          <a:spLocks noChangeArrowheads="1"/>
        </xdr:cNvSpPr>
      </xdr:nvSpPr>
      <xdr:spPr bwMode="auto">
        <a:xfrm>
          <a:off x="3994150" y="21374100"/>
          <a:ext cx="4362450" cy="377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158750</xdr:rowOff>
    </xdr:from>
    <xdr:to>
      <xdr:col>24</xdr:col>
      <xdr:colOff>438150</xdr:colOff>
      <xdr:row>143</xdr:row>
      <xdr:rowOff>139700</xdr:rowOff>
    </xdr:to>
    <xdr:sp macro="" textlink="">
      <xdr:nvSpPr>
        <xdr:cNvPr id="378040" name="Text Box 184" hidden="1">
          <a:extLst>
            <a:ext uri="{FF2B5EF4-FFF2-40B4-BE49-F238E27FC236}">
              <a16:creationId xmlns:a16="http://schemas.microsoft.com/office/drawing/2014/main" id="{34566104-7DF7-3525-E223-75996AD052F5}"/>
            </a:ext>
          </a:extLst>
        </xdr:cNvPr>
        <xdr:cNvSpPr txBox="1">
          <a:spLocks noChangeArrowheads="1"/>
        </xdr:cNvSpPr>
      </xdr:nvSpPr>
      <xdr:spPr bwMode="auto">
        <a:xfrm>
          <a:off x="17208500" y="25825450"/>
          <a:ext cx="36195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15</xdr:row>
      <xdr:rowOff>95250</xdr:rowOff>
    </xdr:from>
    <xdr:to>
      <xdr:col>25</xdr:col>
      <xdr:colOff>609600</xdr:colOff>
      <xdr:row>35</xdr:row>
      <xdr:rowOff>76200</xdr:rowOff>
    </xdr:to>
    <xdr:sp macro="" textlink="">
      <xdr:nvSpPr>
        <xdr:cNvPr id="378039" name="Text Box 183" hidden="1">
          <a:extLst>
            <a:ext uri="{FF2B5EF4-FFF2-40B4-BE49-F238E27FC236}">
              <a16:creationId xmlns:a16="http://schemas.microsoft.com/office/drawing/2014/main" id="{470F04A0-C4D1-EBE6-158F-087A37EA4C88}"/>
            </a:ext>
          </a:extLst>
        </xdr:cNvPr>
        <xdr:cNvSpPr txBox="1">
          <a:spLocks noChangeArrowheads="1"/>
        </xdr:cNvSpPr>
      </xdr:nvSpPr>
      <xdr:spPr bwMode="auto">
        <a:xfrm>
          <a:off x="18027650" y="3740150"/>
          <a:ext cx="3733800" cy="4006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95250</xdr:rowOff>
    </xdr:from>
    <xdr:to>
      <xdr:col>25</xdr:col>
      <xdr:colOff>609600</xdr:colOff>
      <xdr:row>44</xdr:row>
      <xdr:rowOff>76200</xdr:rowOff>
    </xdr:to>
    <xdr:sp macro="" textlink="">
      <xdr:nvSpPr>
        <xdr:cNvPr id="378038" name="Text Box 182" hidden="1">
          <a:extLst>
            <a:ext uri="{FF2B5EF4-FFF2-40B4-BE49-F238E27FC236}">
              <a16:creationId xmlns:a16="http://schemas.microsoft.com/office/drawing/2014/main" id="{AD127AD0-8707-8752-2D8F-F67F7313A1C5}"/>
            </a:ext>
          </a:extLst>
        </xdr:cNvPr>
        <xdr:cNvSpPr txBox="1">
          <a:spLocks noChangeArrowheads="1"/>
        </xdr:cNvSpPr>
      </xdr:nvSpPr>
      <xdr:spPr bwMode="auto">
        <a:xfrm>
          <a:off x="18027650" y="5746750"/>
          <a:ext cx="3733800" cy="365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2381</xdr:rowOff>
    </xdr:from>
    <xdr:to>
      <xdr:col>25</xdr:col>
      <xdr:colOff>609600</xdr:colOff>
      <xdr:row>147</xdr:row>
      <xdr:rowOff>158750</xdr:rowOff>
    </xdr:to>
    <xdr:sp macro="" textlink="">
      <xdr:nvSpPr>
        <xdr:cNvPr id="378037" name="Text Box 181" hidden="1">
          <a:extLst>
            <a:ext uri="{FF2B5EF4-FFF2-40B4-BE49-F238E27FC236}">
              <a16:creationId xmlns:a16="http://schemas.microsoft.com/office/drawing/2014/main" id="{16FFFDFA-82C4-10A7-50BE-94D7F9CBB55E}"/>
            </a:ext>
          </a:extLst>
        </xdr:cNvPr>
        <xdr:cNvSpPr txBox="1">
          <a:spLocks noChangeArrowheads="1"/>
        </xdr:cNvSpPr>
      </xdr:nvSpPr>
      <xdr:spPr bwMode="auto">
        <a:xfrm>
          <a:off x="18027650" y="265811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35</xdr:row>
      <xdr:rowOff>95250</xdr:rowOff>
    </xdr:from>
    <xdr:to>
      <xdr:col>16</xdr:col>
      <xdr:colOff>0</xdr:colOff>
      <xdr:row>55</xdr:row>
      <xdr:rowOff>30163</xdr:rowOff>
    </xdr:to>
    <xdr:sp macro="" textlink="">
      <xdr:nvSpPr>
        <xdr:cNvPr id="378036" name="Text Box 180" hidden="1">
          <a:extLst>
            <a:ext uri="{FF2B5EF4-FFF2-40B4-BE49-F238E27FC236}">
              <a16:creationId xmlns:a16="http://schemas.microsoft.com/office/drawing/2014/main" id="{D433D795-936C-57E7-8A0F-83F2BEDCD850}"/>
            </a:ext>
          </a:extLst>
        </xdr:cNvPr>
        <xdr:cNvSpPr txBox="1">
          <a:spLocks noChangeArrowheads="1"/>
        </xdr:cNvSpPr>
      </xdr:nvSpPr>
      <xdr:spPr bwMode="auto">
        <a:xfrm>
          <a:off x="9683750" y="7766050"/>
          <a:ext cx="4533900" cy="4178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15</xdr:row>
      <xdr:rowOff>95250</xdr:rowOff>
    </xdr:from>
    <xdr:to>
      <xdr:col>28</xdr:col>
      <xdr:colOff>647700</xdr:colOff>
      <xdr:row>35</xdr:row>
      <xdr:rowOff>171450</xdr:rowOff>
    </xdr:to>
    <xdr:sp macro="" textlink="">
      <xdr:nvSpPr>
        <xdr:cNvPr id="378035" name="Text Box 179" hidden="1">
          <a:extLst>
            <a:ext uri="{FF2B5EF4-FFF2-40B4-BE49-F238E27FC236}">
              <a16:creationId xmlns:a16="http://schemas.microsoft.com/office/drawing/2014/main" id="{B66D0AE6-94E7-2EBA-8F1D-F156F91519C9}"/>
            </a:ext>
          </a:extLst>
        </xdr:cNvPr>
        <xdr:cNvSpPr txBox="1">
          <a:spLocks noChangeArrowheads="1"/>
        </xdr:cNvSpPr>
      </xdr:nvSpPr>
      <xdr:spPr bwMode="auto">
        <a:xfrm>
          <a:off x="19723100" y="3740150"/>
          <a:ext cx="436245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95250</xdr:rowOff>
    </xdr:from>
    <xdr:to>
      <xdr:col>28</xdr:col>
      <xdr:colOff>647700</xdr:colOff>
      <xdr:row>44</xdr:row>
      <xdr:rowOff>152400</xdr:rowOff>
    </xdr:to>
    <xdr:sp macro="" textlink="">
      <xdr:nvSpPr>
        <xdr:cNvPr id="378034" name="Text Box 178" hidden="1">
          <a:extLst>
            <a:ext uri="{FF2B5EF4-FFF2-40B4-BE49-F238E27FC236}">
              <a16:creationId xmlns:a16="http://schemas.microsoft.com/office/drawing/2014/main" id="{F9FCC6C7-97AD-AAD9-9700-85C10B08DF40}"/>
            </a:ext>
          </a:extLst>
        </xdr:cNvPr>
        <xdr:cNvSpPr txBox="1">
          <a:spLocks noChangeArrowheads="1"/>
        </xdr:cNvSpPr>
      </xdr:nvSpPr>
      <xdr:spPr bwMode="auto">
        <a:xfrm>
          <a:off x="19723100" y="574675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2381</xdr:rowOff>
    </xdr:from>
    <xdr:to>
      <xdr:col>28</xdr:col>
      <xdr:colOff>647700</xdr:colOff>
      <xdr:row>148</xdr:row>
      <xdr:rowOff>59531</xdr:rowOff>
    </xdr:to>
    <xdr:sp macro="" textlink="">
      <xdr:nvSpPr>
        <xdr:cNvPr id="378033" name="Text Box 177" hidden="1">
          <a:extLst>
            <a:ext uri="{FF2B5EF4-FFF2-40B4-BE49-F238E27FC236}">
              <a16:creationId xmlns:a16="http://schemas.microsoft.com/office/drawing/2014/main" id="{534F09A4-8D19-2F43-E8D6-04776568A9FC}"/>
            </a:ext>
          </a:extLst>
        </xdr:cNvPr>
        <xdr:cNvSpPr txBox="1">
          <a:spLocks noChangeArrowheads="1"/>
        </xdr:cNvSpPr>
      </xdr:nvSpPr>
      <xdr:spPr bwMode="auto">
        <a:xfrm>
          <a:off x="19723100" y="265811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15</xdr:row>
      <xdr:rowOff>95250</xdr:rowOff>
    </xdr:from>
    <xdr:to>
      <xdr:col>29</xdr:col>
      <xdr:colOff>647700</xdr:colOff>
      <xdr:row>35</xdr:row>
      <xdr:rowOff>133350</xdr:rowOff>
    </xdr:to>
    <xdr:sp macro="" textlink="">
      <xdr:nvSpPr>
        <xdr:cNvPr id="378032" name="Text Box 176" hidden="1">
          <a:extLst>
            <a:ext uri="{FF2B5EF4-FFF2-40B4-BE49-F238E27FC236}">
              <a16:creationId xmlns:a16="http://schemas.microsoft.com/office/drawing/2014/main" id="{1EA52B6C-A4F9-B8C0-ACC2-4B69FED83F6C}"/>
            </a:ext>
          </a:extLst>
        </xdr:cNvPr>
        <xdr:cNvSpPr txBox="1">
          <a:spLocks noChangeArrowheads="1"/>
        </xdr:cNvSpPr>
      </xdr:nvSpPr>
      <xdr:spPr bwMode="auto">
        <a:xfrm>
          <a:off x="20485100" y="3740150"/>
          <a:ext cx="4362450" cy="4064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95250</xdr:rowOff>
    </xdr:from>
    <xdr:to>
      <xdr:col>29</xdr:col>
      <xdr:colOff>647700</xdr:colOff>
      <xdr:row>44</xdr:row>
      <xdr:rowOff>95250</xdr:rowOff>
    </xdr:to>
    <xdr:sp macro="" textlink="">
      <xdr:nvSpPr>
        <xdr:cNvPr id="378031" name="Text Box 175" hidden="1">
          <a:extLst>
            <a:ext uri="{FF2B5EF4-FFF2-40B4-BE49-F238E27FC236}">
              <a16:creationId xmlns:a16="http://schemas.microsoft.com/office/drawing/2014/main" id="{69027F53-0DBD-4FFB-254B-6A7631751805}"/>
            </a:ext>
          </a:extLst>
        </xdr:cNvPr>
        <xdr:cNvSpPr txBox="1">
          <a:spLocks noChangeArrowheads="1"/>
        </xdr:cNvSpPr>
      </xdr:nvSpPr>
      <xdr:spPr bwMode="auto">
        <a:xfrm>
          <a:off x="20485100" y="5746750"/>
          <a:ext cx="436245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40481</xdr:rowOff>
    </xdr:from>
    <xdr:to>
      <xdr:col>29</xdr:col>
      <xdr:colOff>647700</xdr:colOff>
      <xdr:row>148</xdr:row>
      <xdr:rowOff>59531</xdr:rowOff>
    </xdr:to>
    <xdr:sp macro="" textlink="">
      <xdr:nvSpPr>
        <xdr:cNvPr id="378030" name="Text Box 174" hidden="1">
          <a:extLst>
            <a:ext uri="{FF2B5EF4-FFF2-40B4-BE49-F238E27FC236}">
              <a16:creationId xmlns:a16="http://schemas.microsoft.com/office/drawing/2014/main" id="{2B8858D7-C9CF-1BA4-FCFE-10EAC110E54B}"/>
            </a:ext>
          </a:extLst>
        </xdr:cNvPr>
        <xdr:cNvSpPr txBox="1">
          <a:spLocks noChangeArrowheads="1"/>
        </xdr:cNvSpPr>
      </xdr:nvSpPr>
      <xdr:spPr bwMode="auto">
        <a:xfrm>
          <a:off x="20485100" y="26619200"/>
          <a:ext cx="4362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39</xdr:row>
      <xdr:rowOff>76200</xdr:rowOff>
    </xdr:from>
    <xdr:to>
      <xdr:col>16</xdr:col>
      <xdr:colOff>0</xdr:colOff>
      <xdr:row>58</xdr:row>
      <xdr:rowOff>40482</xdr:rowOff>
    </xdr:to>
    <xdr:sp macro="" textlink="">
      <xdr:nvSpPr>
        <xdr:cNvPr id="378029" name="Text Box 173" hidden="1">
          <a:extLst>
            <a:ext uri="{FF2B5EF4-FFF2-40B4-BE49-F238E27FC236}">
              <a16:creationId xmlns:a16="http://schemas.microsoft.com/office/drawing/2014/main" id="{AFDF978A-A511-3729-2176-86A59ECE4F67}"/>
            </a:ext>
          </a:extLst>
        </xdr:cNvPr>
        <xdr:cNvSpPr txBox="1">
          <a:spLocks noChangeArrowheads="1"/>
        </xdr:cNvSpPr>
      </xdr:nvSpPr>
      <xdr:spPr bwMode="auto">
        <a:xfrm>
          <a:off x="9721850" y="8483600"/>
          <a:ext cx="44958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39</xdr:row>
      <xdr:rowOff>76200</xdr:rowOff>
    </xdr:from>
    <xdr:to>
      <xdr:col>17</xdr:col>
      <xdr:colOff>666750</xdr:colOff>
      <xdr:row>58</xdr:row>
      <xdr:rowOff>40482</xdr:rowOff>
    </xdr:to>
    <xdr:sp macro="" textlink="">
      <xdr:nvSpPr>
        <xdr:cNvPr id="378028" name="Text Box 172" hidden="1">
          <a:extLst>
            <a:ext uri="{FF2B5EF4-FFF2-40B4-BE49-F238E27FC236}">
              <a16:creationId xmlns:a16="http://schemas.microsoft.com/office/drawing/2014/main" id="{266C6B11-B697-AFC0-5DF7-7664C852785D}"/>
            </a:ext>
          </a:extLst>
        </xdr:cNvPr>
        <xdr:cNvSpPr txBox="1">
          <a:spLocks noChangeArrowheads="1"/>
        </xdr:cNvSpPr>
      </xdr:nvSpPr>
      <xdr:spPr bwMode="auto">
        <a:xfrm>
          <a:off x="10820400" y="8483600"/>
          <a:ext cx="48260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21</xdr:row>
      <xdr:rowOff>0</xdr:rowOff>
    </xdr:from>
    <xdr:to>
      <xdr:col>34</xdr:col>
      <xdr:colOff>647700</xdr:colOff>
      <xdr:row>41</xdr:row>
      <xdr:rowOff>0</xdr:rowOff>
    </xdr:to>
    <xdr:sp macro="" textlink="">
      <xdr:nvSpPr>
        <xdr:cNvPr id="378027" name="Text Box 171" hidden="1">
          <a:extLst>
            <a:ext uri="{FF2B5EF4-FFF2-40B4-BE49-F238E27FC236}">
              <a16:creationId xmlns:a16="http://schemas.microsoft.com/office/drawing/2014/main" id="{5E70F801-5546-368E-FC51-2D9DC68446B1}"/>
            </a:ext>
          </a:extLst>
        </xdr:cNvPr>
        <xdr:cNvSpPr txBox="1">
          <a:spLocks noChangeArrowheads="1"/>
        </xdr:cNvSpPr>
      </xdr:nvSpPr>
      <xdr:spPr bwMode="auto">
        <a:xfrm>
          <a:off x="24295100" y="5099050"/>
          <a:ext cx="484505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181768</xdr:rowOff>
    </xdr:from>
    <xdr:to>
      <xdr:col>18</xdr:col>
      <xdr:colOff>571500</xdr:colOff>
      <xdr:row>75</xdr:row>
      <xdr:rowOff>139700</xdr:rowOff>
    </xdr:to>
    <xdr:sp macro="" textlink="">
      <xdr:nvSpPr>
        <xdr:cNvPr id="378026" name="Text Box 170" hidden="1">
          <a:extLst>
            <a:ext uri="{FF2B5EF4-FFF2-40B4-BE49-F238E27FC236}">
              <a16:creationId xmlns:a16="http://schemas.microsoft.com/office/drawing/2014/main" id="{234E0B14-16D8-343B-F9B6-DD894071525A}"/>
            </a:ext>
          </a:extLst>
        </xdr:cNvPr>
        <xdr:cNvSpPr txBox="1">
          <a:spLocks noChangeArrowheads="1"/>
        </xdr:cNvSpPr>
      </xdr:nvSpPr>
      <xdr:spPr bwMode="auto">
        <a:xfrm>
          <a:off x="11652250" y="12471400"/>
          <a:ext cx="46609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19050</xdr:rowOff>
    </xdr:from>
    <xdr:to>
      <xdr:col>18</xdr:col>
      <xdr:colOff>609600</xdr:colOff>
      <xdr:row>80</xdr:row>
      <xdr:rowOff>116682</xdr:rowOff>
    </xdr:to>
    <xdr:sp macro="" textlink="">
      <xdr:nvSpPr>
        <xdr:cNvPr id="378025" name="Text Box 169" hidden="1">
          <a:extLst>
            <a:ext uri="{FF2B5EF4-FFF2-40B4-BE49-F238E27FC236}">
              <a16:creationId xmlns:a16="http://schemas.microsoft.com/office/drawing/2014/main" id="{A973D97A-D8E4-1F44-9169-D232EC085ECF}"/>
            </a:ext>
          </a:extLst>
        </xdr:cNvPr>
        <xdr:cNvSpPr txBox="1">
          <a:spLocks noChangeArrowheads="1"/>
        </xdr:cNvSpPr>
      </xdr:nvSpPr>
      <xdr:spPr bwMode="auto">
        <a:xfrm>
          <a:off x="11690350" y="13277850"/>
          <a:ext cx="4660900" cy="429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39</xdr:row>
      <xdr:rowOff>76200</xdr:rowOff>
    </xdr:from>
    <xdr:to>
      <xdr:col>18</xdr:col>
      <xdr:colOff>609600</xdr:colOff>
      <xdr:row>58</xdr:row>
      <xdr:rowOff>40482</xdr:rowOff>
    </xdr:to>
    <xdr:sp macro="" textlink="">
      <xdr:nvSpPr>
        <xdr:cNvPr id="378024" name="Text Box 168" hidden="1">
          <a:extLst>
            <a:ext uri="{FF2B5EF4-FFF2-40B4-BE49-F238E27FC236}">
              <a16:creationId xmlns:a16="http://schemas.microsoft.com/office/drawing/2014/main" id="{47DDDF3C-EB1E-483F-0E5A-342C39D06143}"/>
            </a:ext>
          </a:extLst>
        </xdr:cNvPr>
        <xdr:cNvSpPr txBox="1">
          <a:spLocks noChangeArrowheads="1"/>
        </xdr:cNvSpPr>
      </xdr:nvSpPr>
      <xdr:spPr bwMode="auto">
        <a:xfrm>
          <a:off x="11690350" y="8483600"/>
          <a:ext cx="46609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15</xdr:row>
      <xdr:rowOff>95250</xdr:rowOff>
    </xdr:from>
    <xdr:to>
      <xdr:col>30</xdr:col>
      <xdr:colOff>666750</xdr:colOff>
      <xdr:row>35</xdr:row>
      <xdr:rowOff>152400</xdr:rowOff>
    </xdr:to>
    <xdr:sp macro="" textlink="">
      <xdr:nvSpPr>
        <xdr:cNvPr id="378022" name="Text Box 166" hidden="1">
          <a:extLst>
            <a:ext uri="{FF2B5EF4-FFF2-40B4-BE49-F238E27FC236}">
              <a16:creationId xmlns:a16="http://schemas.microsoft.com/office/drawing/2014/main" id="{3692B037-0EF0-21AE-F269-80B5AAEC27D8}"/>
            </a:ext>
          </a:extLst>
        </xdr:cNvPr>
        <xdr:cNvSpPr txBox="1">
          <a:spLocks noChangeArrowheads="1"/>
        </xdr:cNvSpPr>
      </xdr:nvSpPr>
      <xdr:spPr bwMode="auto">
        <a:xfrm>
          <a:off x="21247100" y="3740150"/>
          <a:ext cx="43815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24</xdr:row>
      <xdr:rowOff>95250</xdr:rowOff>
    </xdr:from>
    <xdr:to>
      <xdr:col>30</xdr:col>
      <xdr:colOff>666750</xdr:colOff>
      <xdr:row>44</xdr:row>
      <xdr:rowOff>152400</xdr:rowOff>
    </xdr:to>
    <xdr:sp macro="" textlink="">
      <xdr:nvSpPr>
        <xdr:cNvPr id="378021" name="Text Box 165" hidden="1">
          <a:extLst>
            <a:ext uri="{FF2B5EF4-FFF2-40B4-BE49-F238E27FC236}">
              <a16:creationId xmlns:a16="http://schemas.microsoft.com/office/drawing/2014/main" id="{FDA77EDB-4F14-72B5-98BA-54240E014AB8}"/>
            </a:ext>
          </a:extLst>
        </xdr:cNvPr>
        <xdr:cNvSpPr txBox="1">
          <a:spLocks noChangeArrowheads="1"/>
        </xdr:cNvSpPr>
      </xdr:nvSpPr>
      <xdr:spPr bwMode="auto">
        <a:xfrm>
          <a:off x="21247100" y="5746750"/>
          <a:ext cx="438150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130</xdr:row>
      <xdr:rowOff>97631</xdr:rowOff>
    </xdr:from>
    <xdr:to>
      <xdr:col>30</xdr:col>
      <xdr:colOff>666750</xdr:colOff>
      <xdr:row>150</xdr:row>
      <xdr:rowOff>135731</xdr:rowOff>
    </xdr:to>
    <xdr:sp macro="" textlink="">
      <xdr:nvSpPr>
        <xdr:cNvPr id="378020" name="Text Box 164" hidden="1">
          <a:extLst>
            <a:ext uri="{FF2B5EF4-FFF2-40B4-BE49-F238E27FC236}">
              <a16:creationId xmlns:a16="http://schemas.microsoft.com/office/drawing/2014/main" id="{F70FCE2E-5E45-8472-1F91-72A8AD3A76C9}"/>
            </a:ext>
          </a:extLst>
        </xdr:cNvPr>
        <xdr:cNvSpPr txBox="1">
          <a:spLocks noChangeArrowheads="1"/>
        </xdr:cNvSpPr>
      </xdr:nvSpPr>
      <xdr:spPr bwMode="auto">
        <a:xfrm>
          <a:off x="21247100" y="270446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15</xdr:row>
      <xdr:rowOff>114300</xdr:rowOff>
    </xdr:from>
    <xdr:to>
      <xdr:col>31</xdr:col>
      <xdr:colOff>666750</xdr:colOff>
      <xdr:row>35</xdr:row>
      <xdr:rowOff>152400</xdr:rowOff>
    </xdr:to>
    <xdr:sp macro="" textlink="">
      <xdr:nvSpPr>
        <xdr:cNvPr id="378019" name="Text Box 163" hidden="1">
          <a:extLst>
            <a:ext uri="{FF2B5EF4-FFF2-40B4-BE49-F238E27FC236}">
              <a16:creationId xmlns:a16="http://schemas.microsoft.com/office/drawing/2014/main" id="{D0C2B277-C207-C884-C92D-466C01EE62AB}"/>
            </a:ext>
          </a:extLst>
        </xdr:cNvPr>
        <xdr:cNvSpPr txBox="1">
          <a:spLocks noChangeArrowheads="1"/>
        </xdr:cNvSpPr>
      </xdr:nvSpPr>
      <xdr:spPr bwMode="auto">
        <a:xfrm>
          <a:off x="22009100" y="3759200"/>
          <a:ext cx="4864100" cy="4064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24</xdr:row>
      <xdr:rowOff>114300</xdr:rowOff>
    </xdr:from>
    <xdr:to>
      <xdr:col>31</xdr:col>
      <xdr:colOff>666750</xdr:colOff>
      <xdr:row>44</xdr:row>
      <xdr:rowOff>152400</xdr:rowOff>
    </xdr:to>
    <xdr:sp macro="" textlink="">
      <xdr:nvSpPr>
        <xdr:cNvPr id="378018" name="Text Box 162" hidden="1">
          <a:extLst>
            <a:ext uri="{FF2B5EF4-FFF2-40B4-BE49-F238E27FC236}">
              <a16:creationId xmlns:a16="http://schemas.microsoft.com/office/drawing/2014/main" id="{94A02E6B-837E-E358-6AE8-C1BDF59F947C}"/>
            </a:ext>
          </a:extLst>
        </xdr:cNvPr>
        <xdr:cNvSpPr txBox="1">
          <a:spLocks noChangeArrowheads="1"/>
        </xdr:cNvSpPr>
      </xdr:nvSpPr>
      <xdr:spPr bwMode="auto">
        <a:xfrm>
          <a:off x="22009100" y="5765800"/>
          <a:ext cx="48641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130</xdr:row>
      <xdr:rowOff>97631</xdr:rowOff>
    </xdr:from>
    <xdr:to>
      <xdr:col>31</xdr:col>
      <xdr:colOff>666750</xdr:colOff>
      <xdr:row>150</xdr:row>
      <xdr:rowOff>135731</xdr:rowOff>
    </xdr:to>
    <xdr:sp macro="" textlink="">
      <xdr:nvSpPr>
        <xdr:cNvPr id="378017" name="Text Box 161" hidden="1">
          <a:extLst>
            <a:ext uri="{FF2B5EF4-FFF2-40B4-BE49-F238E27FC236}">
              <a16:creationId xmlns:a16="http://schemas.microsoft.com/office/drawing/2014/main" id="{357AE951-79E7-5185-E566-764727FB70B2}"/>
            </a:ext>
          </a:extLst>
        </xdr:cNvPr>
        <xdr:cNvSpPr txBox="1">
          <a:spLocks noChangeArrowheads="1"/>
        </xdr:cNvSpPr>
      </xdr:nvSpPr>
      <xdr:spPr bwMode="auto">
        <a:xfrm>
          <a:off x="22009100" y="27044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15</xdr:row>
      <xdr:rowOff>95250</xdr:rowOff>
    </xdr:from>
    <xdr:to>
      <xdr:col>32</xdr:col>
      <xdr:colOff>57150</xdr:colOff>
      <xdr:row>35</xdr:row>
      <xdr:rowOff>95250</xdr:rowOff>
    </xdr:to>
    <xdr:sp macro="" textlink="">
      <xdr:nvSpPr>
        <xdr:cNvPr id="378016" name="Text Box 160" hidden="1">
          <a:extLst>
            <a:ext uri="{FF2B5EF4-FFF2-40B4-BE49-F238E27FC236}">
              <a16:creationId xmlns:a16="http://schemas.microsoft.com/office/drawing/2014/main" id="{028C9D47-77F3-9B7C-08DD-3958FFF832BD}"/>
            </a:ext>
          </a:extLst>
        </xdr:cNvPr>
        <xdr:cNvSpPr txBox="1">
          <a:spLocks noChangeArrowheads="1"/>
        </xdr:cNvSpPr>
      </xdr:nvSpPr>
      <xdr:spPr bwMode="auto">
        <a:xfrm>
          <a:off x="22809200" y="3740150"/>
          <a:ext cx="421640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24</xdr:row>
      <xdr:rowOff>95250</xdr:rowOff>
    </xdr:from>
    <xdr:to>
      <xdr:col>32</xdr:col>
      <xdr:colOff>57150</xdr:colOff>
      <xdr:row>44</xdr:row>
      <xdr:rowOff>114300</xdr:rowOff>
    </xdr:to>
    <xdr:sp macro="" textlink="">
      <xdr:nvSpPr>
        <xdr:cNvPr id="378015" name="Text Box 159" hidden="1">
          <a:extLst>
            <a:ext uri="{FF2B5EF4-FFF2-40B4-BE49-F238E27FC236}">
              <a16:creationId xmlns:a16="http://schemas.microsoft.com/office/drawing/2014/main" id="{B69B87B6-AA3D-4273-6984-6D02D0F4F24C}"/>
            </a:ext>
          </a:extLst>
        </xdr:cNvPr>
        <xdr:cNvSpPr txBox="1">
          <a:spLocks noChangeArrowheads="1"/>
        </xdr:cNvSpPr>
      </xdr:nvSpPr>
      <xdr:spPr bwMode="auto">
        <a:xfrm>
          <a:off x="22809200" y="5746750"/>
          <a:ext cx="42164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9</xdr:row>
      <xdr:rowOff>76200</xdr:rowOff>
    </xdr:from>
    <xdr:to>
      <xdr:col>42</xdr:col>
      <xdr:colOff>57150</xdr:colOff>
      <xdr:row>29</xdr:row>
      <xdr:rowOff>95250</xdr:rowOff>
    </xdr:to>
    <xdr:sp macro="" textlink="">
      <xdr:nvSpPr>
        <xdr:cNvPr id="378014" name="Text Box 158" hidden="1">
          <a:extLst>
            <a:ext uri="{FF2B5EF4-FFF2-40B4-BE49-F238E27FC236}">
              <a16:creationId xmlns:a16="http://schemas.microsoft.com/office/drawing/2014/main" id="{355DA8AB-1F38-C094-EAFC-115DAF4F594B}"/>
            </a:ext>
          </a:extLst>
        </xdr:cNvPr>
        <xdr:cNvSpPr txBox="1">
          <a:spLocks noChangeArrowheads="1"/>
        </xdr:cNvSpPr>
      </xdr:nvSpPr>
      <xdr:spPr bwMode="auto">
        <a:xfrm>
          <a:off x="30911800" y="261620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95250</xdr:colOff>
      <xdr:row>130</xdr:row>
      <xdr:rowOff>65881</xdr:rowOff>
    </xdr:from>
    <xdr:to>
      <xdr:col>28</xdr:col>
      <xdr:colOff>666750</xdr:colOff>
      <xdr:row>134</xdr:row>
      <xdr:rowOff>139700</xdr:rowOff>
    </xdr:to>
    <xdr:sp macro="" textlink="">
      <xdr:nvSpPr>
        <xdr:cNvPr id="378055" name="Text Box 199" hidden="1">
          <a:extLst>
            <a:ext uri="{FF2B5EF4-FFF2-40B4-BE49-F238E27FC236}">
              <a16:creationId xmlns:a16="http://schemas.microsoft.com/office/drawing/2014/main" id="{EC51281B-12F7-A159-290B-290C98FDADBA}"/>
            </a:ext>
          </a:extLst>
        </xdr:cNvPr>
        <xdr:cNvSpPr txBox="1">
          <a:spLocks noChangeArrowheads="1"/>
        </xdr:cNvSpPr>
      </xdr:nvSpPr>
      <xdr:spPr bwMode="auto">
        <a:xfrm>
          <a:off x="22771100" y="27012900"/>
          <a:ext cx="13335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xdr:from>
      <xdr:col>25</xdr:col>
      <xdr:colOff>725487</xdr:colOff>
      <xdr:row>11</xdr:row>
      <xdr:rowOff>152400</xdr:rowOff>
    </xdr:from>
    <xdr:to>
      <xdr:col>31</xdr:col>
      <xdr:colOff>246062</xdr:colOff>
      <xdr:row>25</xdr:row>
      <xdr:rowOff>9525</xdr:rowOff>
    </xdr:to>
    <xdr:graphicFrame macro="">
      <xdr:nvGraphicFramePr>
        <xdr:cNvPr id="2" name="Chart 1">
          <a:extLst>
            <a:ext uri="{FF2B5EF4-FFF2-40B4-BE49-F238E27FC236}">
              <a16:creationId xmlns:a16="http://schemas.microsoft.com/office/drawing/2014/main" id="{A26A6ED3-1E9F-5A76-3BEC-E7770B5D5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7781</xdr:rowOff>
    </xdr:from>
    <xdr:to>
      <xdr:col>2</xdr:col>
      <xdr:colOff>770723</xdr:colOff>
      <xdr:row>68</xdr:row>
      <xdr:rowOff>7781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103031</xdr:rowOff>
    </xdr:from>
    <xdr:to>
      <xdr:col>2</xdr:col>
      <xdr:colOff>656423</xdr:colOff>
      <xdr:row>64</xdr:row>
      <xdr:rowOff>87156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50661</xdr:rowOff>
    </xdr:from>
    <xdr:to>
      <xdr:col>2</xdr:col>
      <xdr:colOff>656423</xdr:colOff>
      <xdr:row>65</xdr:row>
      <xdr:rowOff>54464</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54464</xdr:rowOff>
    </xdr:from>
    <xdr:to>
      <xdr:col>2</xdr:col>
      <xdr:colOff>656423</xdr:colOff>
      <xdr:row>66</xdr:row>
      <xdr:rowOff>55406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55406</xdr:rowOff>
    </xdr:from>
    <xdr:to>
      <xdr:col>2</xdr:col>
      <xdr:colOff>656423</xdr:colOff>
      <xdr:row>66</xdr:row>
      <xdr:rowOff>169706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169706</xdr:rowOff>
    </xdr:from>
    <xdr:to>
      <xdr:col>2</xdr:col>
      <xdr:colOff>656423</xdr:colOff>
      <xdr:row>67</xdr:row>
      <xdr:rowOff>98286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98286</xdr:rowOff>
    </xdr:from>
    <xdr:to>
      <xdr:col>2</xdr:col>
      <xdr:colOff>656423</xdr:colOff>
      <xdr:row>68</xdr:row>
      <xdr:rowOff>87156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7781</xdr:rowOff>
    </xdr:from>
    <xdr:to>
      <xdr:col>2</xdr:col>
      <xdr:colOff>770723</xdr:colOff>
      <xdr:row>68</xdr:row>
      <xdr:rowOff>7781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103031</xdr:rowOff>
    </xdr:from>
    <xdr:to>
      <xdr:col>2</xdr:col>
      <xdr:colOff>656423</xdr:colOff>
      <xdr:row>64</xdr:row>
      <xdr:rowOff>87156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50661</xdr:rowOff>
    </xdr:from>
    <xdr:to>
      <xdr:col>2</xdr:col>
      <xdr:colOff>656423</xdr:colOff>
      <xdr:row>65</xdr:row>
      <xdr:rowOff>54464</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54464</xdr:rowOff>
    </xdr:from>
    <xdr:to>
      <xdr:col>2</xdr:col>
      <xdr:colOff>656423</xdr:colOff>
      <xdr:row>66</xdr:row>
      <xdr:rowOff>55406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55406</xdr:rowOff>
    </xdr:from>
    <xdr:to>
      <xdr:col>2</xdr:col>
      <xdr:colOff>656423</xdr:colOff>
      <xdr:row>66</xdr:row>
      <xdr:rowOff>169706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169706</xdr:rowOff>
    </xdr:from>
    <xdr:to>
      <xdr:col>2</xdr:col>
      <xdr:colOff>656423</xdr:colOff>
      <xdr:row>67</xdr:row>
      <xdr:rowOff>98286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98286</xdr:rowOff>
    </xdr:from>
    <xdr:to>
      <xdr:col>2</xdr:col>
      <xdr:colOff>656423</xdr:colOff>
      <xdr:row>68</xdr:row>
      <xdr:rowOff>87156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76200</xdr:rowOff>
    </xdr:from>
    <xdr:to>
      <xdr:col>2</xdr:col>
      <xdr:colOff>656423</xdr:colOff>
      <xdr:row>66</xdr:row>
      <xdr:rowOff>28575</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9525</xdr:rowOff>
    </xdr:from>
    <xdr:to>
      <xdr:col>2</xdr:col>
      <xdr:colOff>656423</xdr:colOff>
      <xdr:row>67</xdr:row>
      <xdr:rowOff>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0</xdr:rowOff>
    </xdr:from>
    <xdr:to>
      <xdr:col>2</xdr:col>
      <xdr:colOff>656423</xdr:colOff>
      <xdr:row>68</xdr:row>
      <xdr:rowOff>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0</xdr:rowOff>
    </xdr:from>
    <xdr:to>
      <xdr:col>2</xdr:col>
      <xdr:colOff>656423</xdr:colOff>
      <xdr:row>68</xdr:row>
      <xdr:rowOff>114300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114300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73025</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66</xdr:row>
      <xdr:rowOff>111125</xdr:rowOff>
    </xdr:from>
    <xdr:to>
      <xdr:col>3</xdr:col>
      <xdr:colOff>552450</xdr:colOff>
      <xdr:row>67</xdr:row>
      <xdr:rowOff>6350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6</xdr:col>
      <xdr:colOff>666750</xdr:colOff>
      <xdr:row>86</xdr:row>
      <xdr:rowOff>149225</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6</xdr:col>
      <xdr:colOff>666750</xdr:colOff>
      <xdr:row>87</xdr:row>
      <xdr:rowOff>149225</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64</xdr:row>
      <xdr:rowOff>0</xdr:rowOff>
    </xdr:from>
    <xdr:to>
      <xdr:col>6</xdr:col>
      <xdr:colOff>0</xdr:colOff>
      <xdr:row>84</xdr:row>
      <xdr:rowOff>171450</xdr:rowOff>
    </xdr:to>
    <xdr:sp macro="" textlink="">
      <xdr:nvSpPr>
        <xdr:cNvPr id="422919" name="Text Box 1031" hidden="1">
          <a:extLst>
            <a:ext uri="{FF2B5EF4-FFF2-40B4-BE49-F238E27FC236}">
              <a16:creationId xmlns:a16="http://schemas.microsoft.com/office/drawing/2014/main" id="{FB4FFC2A-2CBC-E486-8CB1-431B58EF82DC}"/>
            </a:ext>
          </a:extLst>
        </xdr:cNvPr>
        <xdr:cNvSpPr txBox="1">
          <a:spLocks noChangeArrowheads="1"/>
        </xdr:cNvSpPr>
      </xdr:nvSpPr>
      <xdr:spPr bwMode="auto">
        <a:xfrm>
          <a:off x="2628900" y="12890500"/>
          <a:ext cx="3924300" cy="385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61</xdr:row>
      <xdr:rowOff>171450</xdr:rowOff>
    </xdr:from>
    <xdr:to>
      <xdr:col>6</xdr:col>
      <xdr:colOff>666750</xdr:colOff>
      <xdr:row>81</xdr:row>
      <xdr:rowOff>19050</xdr:rowOff>
    </xdr:to>
    <xdr:sp macro="" textlink="">
      <xdr:nvSpPr>
        <xdr:cNvPr id="422918" name="Text Box 1030" hidden="1">
          <a:extLst>
            <a:ext uri="{FF2B5EF4-FFF2-40B4-BE49-F238E27FC236}">
              <a16:creationId xmlns:a16="http://schemas.microsoft.com/office/drawing/2014/main" id="{094A184C-75CF-7959-591B-C450FECD9358}"/>
            </a:ext>
          </a:extLst>
        </xdr:cNvPr>
        <xdr:cNvSpPr txBox="1">
          <a:spLocks noChangeArrowheads="1"/>
        </xdr:cNvSpPr>
      </xdr:nvSpPr>
      <xdr:spPr bwMode="auto">
        <a:xfrm>
          <a:off x="2609850" y="12071350"/>
          <a:ext cx="4610100" cy="396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133350</xdr:rowOff>
    </xdr:from>
    <xdr:to>
      <xdr:col>6</xdr:col>
      <xdr:colOff>666750</xdr:colOff>
      <xdr:row>82</xdr:row>
      <xdr:rowOff>19050</xdr:rowOff>
    </xdr:to>
    <xdr:sp macro="" textlink="">
      <xdr:nvSpPr>
        <xdr:cNvPr id="422917" name="Text Box 1029" hidden="1">
          <a:extLst>
            <a:ext uri="{FF2B5EF4-FFF2-40B4-BE49-F238E27FC236}">
              <a16:creationId xmlns:a16="http://schemas.microsoft.com/office/drawing/2014/main" id="{9401055A-F89D-06AB-B89A-4E0DBDCC6D97}"/>
            </a:ext>
          </a:extLst>
        </xdr:cNvPr>
        <xdr:cNvSpPr txBox="1">
          <a:spLocks noChangeArrowheads="1"/>
        </xdr:cNvSpPr>
      </xdr:nvSpPr>
      <xdr:spPr bwMode="auto">
        <a:xfrm>
          <a:off x="2609850" y="12363450"/>
          <a:ext cx="4610100" cy="386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304800</xdr:rowOff>
    </xdr:from>
    <xdr:to>
      <xdr:col>6</xdr:col>
      <xdr:colOff>666750</xdr:colOff>
      <xdr:row>82</xdr:row>
      <xdr:rowOff>133350</xdr:rowOff>
    </xdr:to>
    <xdr:sp macro="" textlink="">
      <xdr:nvSpPr>
        <xdr:cNvPr id="422916" name="Text Box 1028" hidden="1">
          <a:extLst>
            <a:ext uri="{FF2B5EF4-FFF2-40B4-BE49-F238E27FC236}">
              <a16:creationId xmlns:a16="http://schemas.microsoft.com/office/drawing/2014/main" id="{EE1D2466-4659-422A-6BFF-5780B0C89382}"/>
            </a:ext>
          </a:extLst>
        </xdr:cNvPr>
        <xdr:cNvSpPr txBox="1">
          <a:spLocks noChangeArrowheads="1"/>
        </xdr:cNvSpPr>
      </xdr:nvSpPr>
      <xdr:spPr bwMode="auto">
        <a:xfrm>
          <a:off x="2609850" y="12534900"/>
          <a:ext cx="4610100" cy="380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152400</xdr:rowOff>
    </xdr:from>
    <xdr:to>
      <xdr:col>6</xdr:col>
      <xdr:colOff>666750</xdr:colOff>
      <xdr:row>83</xdr:row>
      <xdr:rowOff>0</xdr:rowOff>
    </xdr:to>
    <xdr:sp macro="" textlink="">
      <xdr:nvSpPr>
        <xdr:cNvPr id="422915" name="Text Box 1027" hidden="1">
          <a:extLst>
            <a:ext uri="{FF2B5EF4-FFF2-40B4-BE49-F238E27FC236}">
              <a16:creationId xmlns:a16="http://schemas.microsoft.com/office/drawing/2014/main" id="{8046C7F9-19D0-9F45-F990-E1B3F2430DDC}"/>
            </a:ext>
          </a:extLst>
        </xdr:cNvPr>
        <xdr:cNvSpPr txBox="1">
          <a:spLocks noChangeArrowheads="1"/>
        </xdr:cNvSpPr>
      </xdr:nvSpPr>
      <xdr:spPr bwMode="auto">
        <a:xfrm>
          <a:off x="2609850" y="12712700"/>
          <a:ext cx="461010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247650</xdr:rowOff>
    </xdr:from>
    <xdr:to>
      <xdr:col>6</xdr:col>
      <xdr:colOff>666750</xdr:colOff>
      <xdr:row>83</xdr:row>
      <xdr:rowOff>114300</xdr:rowOff>
    </xdr:to>
    <xdr:sp macro="" textlink="">
      <xdr:nvSpPr>
        <xdr:cNvPr id="422914" name="Text Box 1026" hidden="1">
          <a:extLst>
            <a:ext uri="{FF2B5EF4-FFF2-40B4-BE49-F238E27FC236}">
              <a16:creationId xmlns:a16="http://schemas.microsoft.com/office/drawing/2014/main" id="{E08CA0F8-DEA4-FFB2-803A-B8A504A1F9F2}"/>
            </a:ext>
          </a:extLst>
        </xdr:cNvPr>
        <xdr:cNvSpPr txBox="1">
          <a:spLocks noChangeArrowheads="1"/>
        </xdr:cNvSpPr>
      </xdr:nvSpPr>
      <xdr:spPr bwMode="auto">
        <a:xfrm>
          <a:off x="2609850" y="12807950"/>
          <a:ext cx="46101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62</xdr:row>
      <xdr:rowOff>228600</xdr:rowOff>
    </xdr:from>
    <xdr:to>
      <xdr:col>7</xdr:col>
      <xdr:colOff>552450</xdr:colOff>
      <xdr:row>82</xdr:row>
      <xdr:rowOff>0</xdr:rowOff>
    </xdr:to>
    <xdr:sp macro="" textlink="">
      <xdr:nvSpPr>
        <xdr:cNvPr id="422913" name="Text Box 1025" hidden="1">
          <a:extLst>
            <a:ext uri="{FF2B5EF4-FFF2-40B4-BE49-F238E27FC236}">
              <a16:creationId xmlns:a16="http://schemas.microsoft.com/office/drawing/2014/main" id="{C75F777E-31B5-2A8E-1025-EC92E21532BD}"/>
            </a:ext>
          </a:extLst>
        </xdr:cNvPr>
        <xdr:cNvSpPr txBox="1">
          <a:spLocks noChangeArrowheads="1"/>
        </xdr:cNvSpPr>
      </xdr:nvSpPr>
      <xdr:spPr bwMode="auto">
        <a:xfrm>
          <a:off x="3479800" y="12458700"/>
          <a:ext cx="4387850" cy="374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64</xdr:row>
      <xdr:rowOff>0</xdr:rowOff>
    </xdr:from>
    <xdr:to>
      <xdr:col>6</xdr:col>
      <xdr:colOff>0</xdr:colOff>
      <xdr:row>84</xdr:row>
      <xdr:rowOff>171450</xdr:rowOff>
    </xdr:to>
    <xdr:sp macro="" textlink="">
      <xdr:nvSpPr>
        <xdr:cNvPr id="378915" name="Text Box 35" hidden="1">
          <a:extLst>
            <a:ext uri="{FF2B5EF4-FFF2-40B4-BE49-F238E27FC236}">
              <a16:creationId xmlns:a16="http://schemas.microsoft.com/office/drawing/2014/main" id="{A674B8D5-4093-4D7B-3B68-340879950F01}"/>
            </a:ext>
          </a:extLst>
        </xdr:cNvPr>
        <xdr:cNvSpPr txBox="1">
          <a:spLocks noChangeArrowheads="1"/>
        </xdr:cNvSpPr>
      </xdr:nvSpPr>
      <xdr:spPr bwMode="auto">
        <a:xfrm>
          <a:off x="2628900" y="12890500"/>
          <a:ext cx="3924300" cy="3854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61</xdr:row>
      <xdr:rowOff>171450</xdr:rowOff>
    </xdr:from>
    <xdr:to>
      <xdr:col>6</xdr:col>
      <xdr:colOff>666750</xdr:colOff>
      <xdr:row>81</xdr:row>
      <xdr:rowOff>19050</xdr:rowOff>
    </xdr:to>
    <xdr:sp macro="" textlink="">
      <xdr:nvSpPr>
        <xdr:cNvPr id="378914" name="Text Box 34" hidden="1">
          <a:extLst>
            <a:ext uri="{FF2B5EF4-FFF2-40B4-BE49-F238E27FC236}">
              <a16:creationId xmlns:a16="http://schemas.microsoft.com/office/drawing/2014/main" id="{F3D5DA52-0197-A3E2-2409-E9AD1828BFC0}"/>
            </a:ext>
          </a:extLst>
        </xdr:cNvPr>
        <xdr:cNvSpPr txBox="1">
          <a:spLocks noChangeArrowheads="1"/>
        </xdr:cNvSpPr>
      </xdr:nvSpPr>
      <xdr:spPr bwMode="auto">
        <a:xfrm>
          <a:off x="2609850" y="12071350"/>
          <a:ext cx="46101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133350</xdr:rowOff>
    </xdr:from>
    <xdr:to>
      <xdr:col>6</xdr:col>
      <xdr:colOff>666750</xdr:colOff>
      <xdr:row>82</xdr:row>
      <xdr:rowOff>19050</xdr:rowOff>
    </xdr:to>
    <xdr:sp macro="" textlink="">
      <xdr:nvSpPr>
        <xdr:cNvPr id="378913" name="Text Box 33" hidden="1">
          <a:extLst>
            <a:ext uri="{FF2B5EF4-FFF2-40B4-BE49-F238E27FC236}">
              <a16:creationId xmlns:a16="http://schemas.microsoft.com/office/drawing/2014/main" id="{25B4DFBA-E00D-073C-8FEC-1F93410CD03D}"/>
            </a:ext>
          </a:extLst>
        </xdr:cNvPr>
        <xdr:cNvSpPr txBox="1">
          <a:spLocks noChangeArrowheads="1"/>
        </xdr:cNvSpPr>
      </xdr:nvSpPr>
      <xdr:spPr bwMode="auto">
        <a:xfrm>
          <a:off x="2609850" y="12363450"/>
          <a:ext cx="46101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304800</xdr:rowOff>
    </xdr:from>
    <xdr:to>
      <xdr:col>6</xdr:col>
      <xdr:colOff>666750</xdr:colOff>
      <xdr:row>82</xdr:row>
      <xdr:rowOff>133350</xdr:rowOff>
    </xdr:to>
    <xdr:sp macro="" textlink="">
      <xdr:nvSpPr>
        <xdr:cNvPr id="378912" name="Text Box 32" hidden="1">
          <a:extLst>
            <a:ext uri="{FF2B5EF4-FFF2-40B4-BE49-F238E27FC236}">
              <a16:creationId xmlns:a16="http://schemas.microsoft.com/office/drawing/2014/main" id="{33077CF0-1415-F8B5-B0B8-BD77D06D4429}"/>
            </a:ext>
          </a:extLst>
        </xdr:cNvPr>
        <xdr:cNvSpPr txBox="1">
          <a:spLocks noChangeArrowheads="1"/>
        </xdr:cNvSpPr>
      </xdr:nvSpPr>
      <xdr:spPr bwMode="auto">
        <a:xfrm>
          <a:off x="2609850" y="12534900"/>
          <a:ext cx="4610100" cy="380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152400</xdr:rowOff>
    </xdr:from>
    <xdr:to>
      <xdr:col>6</xdr:col>
      <xdr:colOff>666750</xdr:colOff>
      <xdr:row>83</xdr:row>
      <xdr:rowOff>0</xdr:rowOff>
    </xdr:to>
    <xdr:sp macro="" textlink="">
      <xdr:nvSpPr>
        <xdr:cNvPr id="378911" name="Text Box 31" hidden="1">
          <a:extLst>
            <a:ext uri="{FF2B5EF4-FFF2-40B4-BE49-F238E27FC236}">
              <a16:creationId xmlns:a16="http://schemas.microsoft.com/office/drawing/2014/main" id="{40A5630B-D7A0-DA06-6BEE-6D31F423B1DB}"/>
            </a:ext>
          </a:extLst>
        </xdr:cNvPr>
        <xdr:cNvSpPr txBox="1">
          <a:spLocks noChangeArrowheads="1"/>
        </xdr:cNvSpPr>
      </xdr:nvSpPr>
      <xdr:spPr bwMode="auto">
        <a:xfrm>
          <a:off x="2609850" y="1271270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247650</xdr:rowOff>
    </xdr:from>
    <xdr:to>
      <xdr:col>6</xdr:col>
      <xdr:colOff>666750</xdr:colOff>
      <xdr:row>83</xdr:row>
      <xdr:rowOff>114300</xdr:rowOff>
    </xdr:to>
    <xdr:sp macro="" textlink="">
      <xdr:nvSpPr>
        <xdr:cNvPr id="378910" name="Text Box 30" hidden="1">
          <a:extLst>
            <a:ext uri="{FF2B5EF4-FFF2-40B4-BE49-F238E27FC236}">
              <a16:creationId xmlns:a16="http://schemas.microsoft.com/office/drawing/2014/main" id="{DE1F9B2B-3160-CB18-8ACE-FB2F669AF52F}"/>
            </a:ext>
          </a:extLst>
        </xdr:cNvPr>
        <xdr:cNvSpPr txBox="1">
          <a:spLocks noChangeArrowheads="1"/>
        </xdr:cNvSpPr>
      </xdr:nvSpPr>
      <xdr:spPr bwMode="auto">
        <a:xfrm>
          <a:off x="2609850" y="12807950"/>
          <a:ext cx="46101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62</xdr:row>
      <xdr:rowOff>228600</xdr:rowOff>
    </xdr:from>
    <xdr:to>
      <xdr:col>7</xdr:col>
      <xdr:colOff>552450</xdr:colOff>
      <xdr:row>82</xdr:row>
      <xdr:rowOff>0</xdr:rowOff>
    </xdr:to>
    <xdr:sp macro="" textlink="">
      <xdr:nvSpPr>
        <xdr:cNvPr id="378909" name="Text Box 29" hidden="1">
          <a:extLst>
            <a:ext uri="{FF2B5EF4-FFF2-40B4-BE49-F238E27FC236}">
              <a16:creationId xmlns:a16="http://schemas.microsoft.com/office/drawing/2014/main" id="{869C7C02-AB9C-7A0C-46CC-246AD59D6AEB}"/>
            </a:ext>
          </a:extLst>
        </xdr:cNvPr>
        <xdr:cNvSpPr txBox="1">
          <a:spLocks noChangeArrowheads="1"/>
        </xdr:cNvSpPr>
      </xdr:nvSpPr>
      <xdr:spPr bwMode="auto">
        <a:xfrm>
          <a:off x="3479800" y="1245870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424961" name="Text Box 1025" hidden="1">
          <a:extLst>
            <a:ext uri="{FF2B5EF4-FFF2-40B4-BE49-F238E27FC236}">
              <a16:creationId xmlns:a16="http://schemas.microsoft.com/office/drawing/2014/main" id="{20548AC5-1313-97DA-7A69-43B8BB6EA770}"/>
            </a:ext>
          </a:extLst>
        </xdr:cNvPr>
        <xdr:cNvSpPr txBox="1">
          <a:spLocks noChangeArrowheads="1"/>
        </xdr:cNvSpPr>
      </xdr:nvSpPr>
      <xdr:spPr bwMode="auto">
        <a:xfrm>
          <a:off x="11017250" y="558800"/>
          <a:ext cx="3505200" cy="397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9" name="Text Box 17" hidden="1">
          <a:extLst>
            <a:ext uri="{FF2B5EF4-FFF2-40B4-BE49-F238E27FC236}">
              <a16:creationId xmlns:a16="http://schemas.microsoft.com/office/drawing/2014/main" id="{583C4307-788F-B3EF-47FF-DA8D8D77675A}"/>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425986" name="Text Box 1026" hidden="1">
          <a:extLst>
            <a:ext uri="{FF2B5EF4-FFF2-40B4-BE49-F238E27FC236}">
              <a16:creationId xmlns:a16="http://schemas.microsoft.com/office/drawing/2014/main" id="{4AD6AAF5-2EAC-F1AE-2C63-E8AA26EF2305}"/>
            </a:ext>
          </a:extLst>
        </xdr:cNvPr>
        <xdr:cNvSpPr txBox="1">
          <a:spLocks noChangeArrowheads="1"/>
        </xdr:cNvSpPr>
      </xdr:nvSpPr>
      <xdr:spPr bwMode="auto">
        <a:xfrm>
          <a:off x="5156200" y="1504950"/>
          <a:ext cx="33337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425985" name="Text Box 1025" hidden="1">
          <a:extLst>
            <a:ext uri="{FF2B5EF4-FFF2-40B4-BE49-F238E27FC236}">
              <a16:creationId xmlns:a16="http://schemas.microsoft.com/office/drawing/2014/main" id="{4F8D5A8B-F8C2-82F4-A203-0F19F3F1A8B0}"/>
            </a:ext>
          </a:extLst>
        </xdr:cNvPr>
        <xdr:cNvSpPr txBox="1">
          <a:spLocks noChangeArrowheads="1"/>
        </xdr:cNvSpPr>
      </xdr:nvSpPr>
      <xdr:spPr bwMode="auto">
        <a:xfrm>
          <a:off x="9220200" y="1619250"/>
          <a:ext cx="30670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8" name="Text Box 32" hidden="1">
          <a:extLst>
            <a:ext uri="{FF2B5EF4-FFF2-40B4-BE49-F238E27FC236}">
              <a16:creationId xmlns:a16="http://schemas.microsoft.com/office/drawing/2014/main" id="{36022668-1466-A712-073A-02D716D99A0A}"/>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7" name="Text Box 31" hidden="1">
          <a:extLst>
            <a:ext uri="{FF2B5EF4-FFF2-40B4-BE49-F238E27FC236}">
              <a16:creationId xmlns:a16="http://schemas.microsoft.com/office/drawing/2014/main" id="{A63ABEC1-62F0-BC60-4F2E-98BE3EAD1DA4}"/>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Sarah Ahmad" id="{B61C96CF-201E-4FBB-AE0C-863888EC2CC5}" userId="S::SAhmad@brookings.edu::a57a138b-f8b3-487b-af77-be2c9712b9ab" providerId="AD"/>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 dT="2025-01-31T15:39:50.85" personId="{B61C96CF-201E-4FBB-AE0C-863888EC2CC5}" id="{C38F3C01-0C60-4CFA-B700-C810A0051A24}">
    <text>https://www.bea.gov/data/income-saving/personal-income</text>
    <extLst>
      <x:ext xmlns:xltc2="http://schemas.microsoft.com/office/spreadsheetml/2020/threadedcomments2" uri="{F7C98A9C-CBB3-438F-8F68-D28B6AF4A901}">
        <xltc2:checksum>2572769729</xltc2:checksum>
        <xltc2:hyperlink startIndex="0" length="54" url="https://www.bea.gov/data/income-saving/personal-income"/>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3.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B23" dT="2025-01-23T18:32:19.26" personId="{B61C96CF-201E-4FBB-AE0C-863888EC2CC5}" id="{3D5F4EE6-7C34-4CEF-BB21-59A8432CED3C}" parentId="{D9A1C32B-382A-44CE-B60A-7CEFD093B9EC}">
    <text>This is now January 2025, CBO Economic Projections, Quarterly table, Row 68 from 2022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5.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6.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9" dT="2025-01-23T18:39:00.01" personId="{B61C96CF-201E-4FBB-AE0C-863888EC2CC5}" id="{54E25019-9AE1-405D-AC1B-B5D7DFED84A5}" parentId="{976B723C-4211-4969-882A-4B89C4902055}">
    <text>This is now January 2025 CBO Economic Projections Quarterly table row 129 from 2022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B10" dT="2025-01-23T18:40:30.03" personId="{B61C96CF-201E-4FBB-AE0C-863888EC2CC5}" id="{38023FF8-3814-4834-81B6-74E3ECC740A3}" parentId="{02F35ABE-CA0E-4752-B4BE-50C4C795E703}">
    <text>This is now January 2025 CBO Economic Projections Quarterly table row 130 from 2022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5-01-23T18:41:36.52" personId="{B61C96CF-201E-4FBB-AE0C-863888EC2CC5}" id="{1A5990AC-5EA2-4AF3-B540-7760EC6CC6E7}" parentId="{3D5BBFAC-4E76-4F2A-B34F-264D54111B07}">
    <text xml:space="preserve">This is now January 2025 CBO Economic Projections Quarterly table row 131 from 2022 Q1 onward. </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26" dT="2025-01-23T18:42:51.59" personId="{B61C96CF-201E-4FBB-AE0C-863888EC2CC5}" id="{FB639BD2-406E-439E-9820-49E057356369}" parentId="{E7D459C7-D63C-4E4A-AE4E-B08D7B79CF4D}">
    <text xml:space="preserve">These data are from January 2025 CBO Economic Projections Quarterly table, raw 132 from 2022 Q1 onward. </text>
  </threadedComment>
  <threadedComment ref="B33" dT="2023-11-30T15:39:21.04" personId="{2C68A5A1-706F-4A3E-93A3-741BBABEC4EA}" id="{C146291D-B06B-4D46-A30C-B289BA81D51C}">
    <text>Start updating this chart again</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8.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B17" dT="2025-01-23T18:50:28.50" personId="{B61C96CF-201E-4FBB-AE0C-863888EC2CC5}" id="{9726D289-2962-4D89-AAEF-946DFF923C26}" parentId="{C3958D6E-5D0B-4757-8548-DC4AB51469BE}">
    <text>This is now January 2025 CBO Budget Projections Table B-4 Mandatory Outlays Adjusted to Exclude Effects of Timing Shifts, row 16, starting from 2024 onward</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9.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B21" dT="2025-01-23T18:52:57.33" personId="{B61C96CF-201E-4FBB-AE0C-863888EC2CC5}" id="{F0DDAD2B-6E55-41F4-8703-E44D28EE659E}" parentId="{FBCF6AFF-3308-4DB2-931F-AB1BC267CB41}">
    <text>This is now January 2025 CBO 10-year budget projections Table B-4 Mandatory Outlays Adjusted to Exclude Effects of Timing Shifts, row 15, from 2024 onward.</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10.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 ref="B91" dT="2025-01-23T18:55:27.42" personId="{B61C96CF-201E-4FBB-AE0C-863888EC2CC5}" id="{2C8DB9DB-2046-48DD-87AE-44C4EFC47AE7}" parentId="{6AF7CFB2-704D-4104-831C-CFDBBA2AEEEB}">
    <text xml:space="preserve">This is now January 2025 CBO budget projections Table B-4 Adjusted to Exclude Effects of Timing Shifts, row 13 Social Security Subtotal from 2024 onward. </text>
  </threadedComment>
</ThreadedComments>
</file>

<file path=xl/threadedComments/threadedComment12.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3.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36" dT="2023-09-29T18:40:36.76" personId="{2C68A5A1-706F-4A3E-93A3-741BBABEC4EA}" id="{1065F4CB-52AB-4B92-B793-654578199E67}">
    <text>We adjusted these growth rates upward because CBO expected taxes to fall gradually but instead they fell quickly.</text>
  </threadedComment>
  <threadedComment ref="K40" dT="2024-02-29T21:02:38.53" personId="{4C0C5F85-AD1E-4C57-B372-003AF5B78A9F}" id="{6EA59173-A6A4-4520-BC55-CD373EBDD6E4}">
    <text>We reduced the CBO growth rate from 36% to 10% because it seemed anomolously high</text>
  </threadedComment>
  <threadedComment ref="L40" dT="2024-02-29T21:03:05.03" personId="{4C0C5F85-AD1E-4C57-B372-003AF5B78A9F}" id="{B7BB92B9-56AF-428A-90BE-8769E0F9A367}">
    <text>We increased the CBO growth rate to account for our large adjustment in the previous year</text>
  </threadedComment>
  <threadedComment ref="M40" dT="2024-05-30T19:58:14.22" personId="{2C68A5A1-706F-4A3E-93A3-741BBABEC4EA}" id="{F12C7BC9-1DAF-45BE-BFCA-781CDA4BC7CD}">
    <text>Another additional add factor, similar to comment to the left</text>
  </threadedComment>
  <threadedComment ref="D56" dT="2023-02-15T20:39:04.10" personId="{609654FB-393E-4954-B3A3-EDB231775774}" id="{54F6D9F3-8868-417E-999A-B95E2C1FC589}">
    <text>May 2023 CBO Budget Projections Table 1 Row 12</text>
  </threadedComment>
  <threadedComment ref="D56" dT="2024-02-22T14:31:10.89" personId="{09FAC3F1-DFDB-4CF8-9903-358701529E2B}" id="{5AD6BF73-9438-4F75-A02E-C3EAB6B7E7E0}" parentId="{54F6D9F3-8868-417E-999A-B95E2C1FC589}">
    <text>Feb 2024 CBO Budget Projections Table 1-1 Row 10</text>
  </threadedComment>
  <threadedComment ref="D56" dT="2024-06-27T14:27:47.87" personId="{2C68A5A1-706F-4A3E-93A3-741BBABEC4EA}" id="{B8639833-1036-486E-B271-B2B70A5F4327}" parentId="{54F6D9F3-8868-417E-999A-B95E2C1FC589}">
    <text>June 2024 CBO Budget Projections Table 1-1 Row 10</text>
  </threadedComment>
  <threadedComment ref="D56" dT="2025-01-23T19:50:30.29" personId="{B61C96CF-201E-4FBB-AE0C-863888EC2CC5}" id="{9BB771C0-1D7D-4A18-A691-345E41F1D0D3}" parentId="{54F6D9F3-8868-417E-999A-B95E2C1FC589}">
    <text>January 2025 CBO Budget Projections Table B-1 Row 11 from 2024 onward</text>
  </threadedComment>
  <threadedComment ref="M56"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8" dT="2023-02-15T20:40:59.29" personId="{609654FB-393E-4954-B3A3-EDB231775774}" id="{1FB99C5A-E921-4C2B-94A6-469F8368DE8C}">
    <text>February 2023 Budget Projections Table 1 Row 13</text>
  </threadedComment>
  <threadedComment ref="D58" dT="2023-07-27T18:42:32.97" personId="{609654FB-393E-4954-B3A3-EDB231775774}" id="{6C707ADF-070D-4A54-B1A8-849B2DDA53F5}" parentId="{1FB99C5A-E921-4C2B-94A6-469F8368DE8C}">
    <text>These are now May 2023 Budget Projections Table 1 row 13</text>
  </threadedComment>
  <threadedComment ref="D58" dT="2024-02-22T14:36:16.32" personId="{09FAC3F1-DFDB-4CF8-9903-358701529E2B}" id="{9F895A21-C5E6-4F14-982E-DE530E6FCE79}" parentId="{1FB99C5A-E921-4C2B-94A6-469F8368DE8C}">
    <text>February 2024 CBO Budget Projections Table 1-1 Row 11</text>
  </threadedComment>
  <threadedComment ref="D58" dT="2024-06-27T14:28:28.14" personId="{2C68A5A1-706F-4A3E-93A3-741BBABEC4EA}" id="{AAC1A7F3-5101-4D77-A002-FBE231A1A27C}" parentId="{1FB99C5A-E921-4C2B-94A6-469F8368DE8C}">
    <text>June 2024 CBO Budget Projections Table 1-1 Row 11</text>
  </threadedComment>
  <threadedComment ref="D58" dT="2025-01-23T19:51:13.49" personId="{B61C96CF-201E-4FBB-AE0C-863888EC2CC5}" id="{68A5C0C3-6669-4F13-AC97-1C28D413955D}" parentId="{1FB99C5A-E921-4C2B-94A6-469F8368DE8C}">
    <text>January 2025 CBO Budget Projections Table B-1 Row 12 from 2024 onward</text>
  </threadedComment>
  <threadedComment ref="D60" dT="2023-02-15T20:49:24.23" personId="{609654FB-393E-4954-B3A3-EDB231775774}" id="{CE0F5DCB-3CCE-4E3D-A6E4-2AC8A4A5F19D}">
    <text>February 2023 CBO Budget Projections Table 1-6 Row 14</text>
  </threadedComment>
  <threadedComment ref="D60" dT="2024-02-22T14:44:59.03" personId="{09FAC3F1-DFDB-4CF8-9903-358701529E2B}" id="{570B49A8-6692-4986-87A6-4A3AB8B43DB9}" parentId="{CE0F5DCB-3CCE-4E3D-A6E4-2AC8A4A5F19D}">
    <text>February 2024 CBO Budget Projections Table 1-7 Row 14</text>
  </threadedComment>
  <threadedComment ref="D60" dT="2024-06-27T21:11:02.98" personId="{09FAC3F1-DFDB-4CF8-9903-358701529E2B}" id="{987C1579-7615-47DB-BE54-85464A342721}" parentId="{CE0F5DCB-3CCE-4E3D-A6E4-2AC8A4A5F19D}">
    <text>June 2024 CBO Revenue Projections by Category, Revenue Projections, Row 14</text>
  </threadedComment>
  <threadedComment ref="D60" dT="2025-01-24T16:18:13.91" personId="{09FAC3F1-DFDB-4CF8-9903-358701529E2B}" id="{1E08FE26-99AD-439F-9B14-3A00B6D3A357}" parentId="{CE0F5DCB-3CCE-4E3D-A6E4-2AC8A4A5F19D}">
    <text>January 2025 CBO Revenue Projections, by Category, Revenue Projections Row 14</text>
  </threadedComment>
  <threadedComment ref="D61" dT="2023-02-15T20:50:01.14" personId="{609654FB-393E-4954-B3A3-EDB231775774}" id="{B0E96582-484F-445D-8FF5-3592B5A172FA}">
    <text>February 2023 CBO Budget Projections Table 1-6 Row 16</text>
  </threadedComment>
  <threadedComment ref="D61" dT="2024-02-22T14:45:22.24" personId="{09FAC3F1-DFDB-4CF8-9903-358701529E2B}" id="{4F586962-5804-4FED-852B-7ABCF3DF98B2}" parentId="{B0E96582-484F-445D-8FF5-3592B5A172FA}">
    <text>February 2024 CBO Budget Projections Table 1-7, row 16</text>
  </threadedComment>
  <threadedComment ref="D61" dT="2024-06-27T21:11:21.66" personId="{09FAC3F1-DFDB-4CF8-9903-358701529E2B}" id="{86CF1027-BCEB-4550-AD6D-A909A0CEF61D}" parentId="{B0E96582-484F-445D-8FF5-3592B5A172FA}">
    <text>June 2024 CBO Revenue Projections, Revenue Projections Sheet, Row 16</text>
  </threadedComment>
  <threadedComment ref="D61" dT="2025-01-24T16:20:10.43" personId="{09FAC3F1-DFDB-4CF8-9903-358701529E2B}" id="{DBED5F51-4B7C-4207-861F-042671FF4D0B}" parentId="{B0E96582-484F-445D-8FF5-3592B5A172FA}">
    <text xml:space="preserve">January 2025 CBO Revenue Projections, Revenue Projections Sheet, Row 15
</text>
  </threadedComment>
  <threadedComment ref="D62" dT="2023-02-15T20:51:09.94" personId="{609654FB-393E-4954-B3A3-EDB231775774}" id="{E6B5A35A-07FA-4F2B-9A9E-866D21A47917}">
    <text>May 2023 CBO Budget Projections Table 1 Row 14</text>
  </threadedComment>
  <threadedComment ref="D62" dT="2024-02-22T14:47:44.47" personId="{09FAC3F1-DFDB-4CF8-9903-358701529E2B}" id="{E777AE82-BE55-4B42-9F51-8E1C71456A8B}" parentId="{E6B5A35A-07FA-4F2B-9A9E-866D21A47917}">
    <text>February 2023 CBO Budget Projections Table 1-1, row 12</text>
  </threadedComment>
  <threadedComment ref="D62" dT="2024-06-27T14:32:38.18" personId="{2C68A5A1-706F-4A3E-93A3-741BBABEC4EA}" id="{0FB34D58-0EA7-45D9-9687-C1C4AAD9A17B}" parentId="{E6B5A35A-07FA-4F2B-9A9E-866D21A47917}">
    <text>June 2024 CBO Budget projections table 1-1 row 12</text>
  </threadedComment>
  <threadedComment ref="D62" dT="2025-01-23T19:53:53.10" personId="{B61C96CF-201E-4FBB-AE0C-863888EC2CC5}" id="{8A6D3A49-6F1B-46FD-9724-1E601D11143C}" parentId="{E6B5A35A-07FA-4F2B-9A9E-866D21A47917}">
    <text>January 2025 CBO Budget Projections Table B-1 row 13 from 2024 onward</text>
  </threadedComment>
  <threadedComment ref="M62" dT="2024-05-30T19:35:19.75" personId="{2C68A5A1-706F-4A3E-93A3-741BBABEC4EA}" id="{4A8F6F92-75ED-4D7D-9EAC-6799BA8D11ED}">
    <text xml:space="preserve">See comment in M56 on using CBO estimate of TCJA not expiring
</text>
  </threadedComment>
  <threadedComment ref="D80" dT="2023-02-15T20:53:24.39" personId="{609654FB-393E-4954-B3A3-EDB231775774}" id="{BAC4C9C5-057D-4522-9D5B-345501733B13}">
    <text>February 2023 CBO Economic Projections Fiscal Year Table row 92</text>
  </threadedComment>
  <threadedComment ref="D80" dT="2023-07-27T18:46:48.63" personId="{609654FB-393E-4954-B3A3-EDB231775774}" id="{64D40D74-2A66-4530-BD07-3D55C243D880}" parentId="{BAC4C9C5-057D-4522-9D5B-345501733B13}">
    <text>July 2023 now</text>
  </threadedComment>
  <threadedComment ref="D80" dT="2024-02-22T15:10:21.02" personId="{09FAC3F1-DFDB-4CF8-9903-358701529E2B}" id="{9188F4B5-7FFF-4AD3-B884-A6BD992DF509}" parentId="{BAC4C9C5-057D-4522-9D5B-345501733B13}">
    <text>This is now February 2024 CBO Economic Projections Fiscal Year Sheet, row 94</text>
  </threadedComment>
  <threadedComment ref="D80" dT="2024-06-27T14:34:45.71" personId="{2C68A5A1-706F-4A3E-93A3-741BBABEC4EA}" id="{87A09169-659E-458F-A9F3-D0AB63E74083}" parentId="{BAC4C9C5-057D-4522-9D5B-345501733B13}">
    <text>June 2024 Econ projections Fiscal Year sheet row 94. Pasted for 2021 onward</text>
  </threadedComment>
  <threadedComment ref="D80" dT="2025-01-23T19:55:46.36" personId="{B61C96CF-201E-4FBB-AE0C-863888EC2CC5}" id="{C8B714F8-96D3-466B-B532-40F653B70695}" parentId="{BAC4C9C5-057D-4522-9D5B-345501733B13}">
    <text>January 2025 Economic Projections Fiscal Year Sheet row 94 from 2022 onward</text>
  </threadedComment>
  <threadedComment ref="D81" dT="2023-02-15T20:55:16.88" personId="{609654FB-393E-4954-B3A3-EDB231775774}" id="{903D683D-E956-41A0-87A0-4A0ACF2A3EC0}">
    <text>February 2023 CBO Economic Projections Fiscal Year Table row 96</text>
  </threadedComment>
  <threadedComment ref="D81" dT="2023-07-27T18:46:54.82" personId="{609654FB-393E-4954-B3A3-EDB231775774}" id="{D9697230-6007-4D86-9D27-2784C2D59C94}" parentId="{903D683D-E956-41A0-87A0-4A0ACF2A3EC0}">
    <text>July 2023 now</text>
  </threadedComment>
  <threadedComment ref="D81" dT="2024-02-22T15:12:46.20" personId="{09FAC3F1-DFDB-4CF8-9903-358701529E2B}" id="{5EB79390-D49F-4610-A389-9A566FE7B07F}" parentId="{903D683D-E956-41A0-87A0-4A0ACF2A3EC0}">
    <text>This is now February 2024 CBO Economic Projections Fiscal Year Table row, row 98</text>
  </threadedComment>
  <threadedComment ref="D81" dT="2024-06-27T14:35:02.92" personId="{2C68A5A1-706F-4A3E-93A3-741BBABEC4EA}" id="{7727E27A-5B75-4F93-BBAF-2B2028A6DBD6}" parentId="{903D683D-E956-41A0-87A0-4A0ACF2A3EC0}">
    <text>June 2024 Econ projections Fiscal Year sheet row 98. Pasted for 2021 onward</text>
  </threadedComment>
  <threadedComment ref="D81" dT="2025-01-23T21:37:17.60" personId="{B61C96CF-201E-4FBB-AE0C-863888EC2CC5}" id="{421872A7-87D1-4196-9B5A-B2E80B7BB76C}" parentId="{903D683D-E956-41A0-87A0-4A0ACF2A3EC0}">
    <text>January 2025 Economic Projections Fiscal Year Row 98 from 2022 onward</text>
  </threadedComment>
  <threadedComment ref="D82" dT="2023-02-15T20:56:03.85" personId="{609654FB-393E-4954-B3A3-EDB231775774}" id="{3EBCE0D2-6A48-4CE9-BC8C-5855F5261D1F}">
    <text>February 2023 CBO Economic Projections, Fiscal Year Table row 116</text>
  </threadedComment>
  <threadedComment ref="D82" dT="2023-07-27T18:47:32.66" personId="{609654FB-393E-4954-B3A3-EDB231775774}" id="{A6D061A0-2D6B-4586-A606-81C5A9C89977}" parentId="{3EBCE0D2-6A48-4CE9-BC8C-5855F5261D1F}">
    <text>July now</text>
  </threadedComment>
  <threadedComment ref="D82" dT="2024-02-22T15:13:36.88" personId="{09FAC3F1-DFDB-4CF8-9903-358701529E2B}" id="{5B0E85F2-3E88-4DE5-B75D-A1DFDE5E2251}" parentId="{3EBCE0D2-6A48-4CE9-BC8C-5855F5261D1F}">
    <text>February 2024 CBO Economic Projections, Fiscal Year Table, row 118</text>
  </threadedComment>
  <threadedComment ref="D82" dT="2024-06-27T14:36:46.17" personId="{2C68A5A1-706F-4A3E-93A3-741BBABEC4EA}" id="{742D0AD1-132D-49B8-ACB8-D7A00789C5CC}" parentId="{3EBCE0D2-6A48-4CE9-BC8C-5855F5261D1F}">
    <text>June 2024 CBO Economic Projections, Fiscal Year Table, row 118 pasted from 2021 onward</text>
  </threadedComment>
  <threadedComment ref="D82" dT="2025-01-23T21:39:29.83" personId="{B61C96CF-201E-4FBB-AE0C-863888EC2CC5}" id="{6020325F-C5B2-4C57-9D5F-797314CE5F4D}" parentId="{3EBCE0D2-6A48-4CE9-BC8C-5855F5261D1F}">
    <text>January 2025 CBO Economic Projections, Fiscal Year Table, row 118 from 2022 onward</text>
  </threadedComment>
  <threadedComment ref="D83" dT="2023-02-15T20:57:01.88" personId="{609654FB-393E-4954-B3A3-EDB231775774}" id="{48184811-5BD0-438A-8E38-4FDE0C8DFA8F}">
    <text>February 2023 CBO Economic Projections Fiscal Year Table row 110</text>
  </threadedComment>
  <threadedComment ref="D83" dT="2023-07-27T18:47:56.03" personId="{609654FB-393E-4954-B3A3-EDB231775774}" id="{42694EC8-B4D2-4CD1-BAD5-30DE831C4BF2}" parentId="{48184811-5BD0-438A-8E38-4FDE0C8DFA8F}">
    <text>July now</text>
  </threadedComment>
  <threadedComment ref="D83" dT="2024-02-22T15:15:43.17" personId="{09FAC3F1-DFDB-4CF8-9903-358701529E2B}" id="{7286570C-B0B2-4C53-B491-EBC2A429EFF9}" parentId="{48184811-5BD0-438A-8E38-4FDE0C8DFA8F}">
    <text>This is now February 2024 CBO Economic Projections Fiscal Year Table, row 112</text>
  </threadedComment>
  <threadedComment ref="D83" dT="2024-06-27T14:37:42.80" personId="{2C68A5A1-706F-4A3E-93A3-741BBABEC4EA}" id="{BDF2F21B-F60E-4F9C-A5EF-0E83248D90F2}" parentId="{48184811-5BD0-438A-8E38-4FDE0C8DFA8F}">
    <text>June 2024 CBO Economic Projections Fiscal Year Table, row 112 from 2021 onward</text>
  </threadedComment>
  <threadedComment ref="D83" dT="2025-01-23T21:41:08.62" personId="{B61C96CF-201E-4FBB-AE0C-863888EC2CC5}" id="{011DCA9C-1890-4EF7-A312-8EB8CBDC7AA3}" parentId="{48184811-5BD0-438A-8E38-4FDE0C8DFA8F}">
    <text>January 2025 CBO Economic Projections Fiscal Year Table, row 112 from 2022 onward</text>
  </threadedComment>
  <threadedComment ref="D104" dT="2023-02-15T21:14:11.24" personId="{609654FB-393E-4954-B3A3-EDB231775774}" id="{D2748782-D0E6-49AC-8A19-1F2FBF9255CC}">
    <text>February 2023 CBO Economic Projections Quarterly Table, row 96</text>
  </threadedComment>
  <threadedComment ref="D104" dT="2023-07-27T18:51:44.27" personId="{609654FB-393E-4954-B3A3-EDB231775774}" id="{7967E3A9-28DA-40F3-87FB-C23201CBC514}" parentId="{D2748782-D0E6-49AC-8A19-1F2FBF9255CC}">
    <text>Same table and row, July 2023</text>
  </threadedComment>
  <threadedComment ref="D104" dT="2024-02-22T15:28:26.88" personId="{09FAC3F1-DFDB-4CF8-9903-358701529E2B}" id="{3C76C544-F68F-455F-86CF-8627D74B7C59}" parentId="{D2748782-D0E6-49AC-8A19-1F2FBF9255CC}">
    <text>February 2024 CBO Economic Projections Quarterly Table, row 98</text>
  </threadedComment>
  <threadedComment ref="D104" dT="2024-06-27T14:40:11.35" personId="{2C68A5A1-706F-4A3E-93A3-741BBABEC4EA}" id="{A345901C-E565-4819-91C3-A4DED1F11875}" parentId="{D2748782-D0E6-49AC-8A19-1F2FBF9255CC}">
    <text>Ju 2024 economic projections quarterly table row 98 pasted from 2021 Q1 onward</text>
  </threadedComment>
  <threadedComment ref="D104" dT="2025-01-23T21:43:23.67" personId="{B61C96CF-201E-4FBB-AE0C-863888EC2CC5}" id="{CB6EDD8C-BF86-43D7-A30F-4806F4D077D6}" parentId="{D2748782-D0E6-49AC-8A19-1F2FBF9255CC}">
    <text>January 2025 Economic Projections Quarterly Table, Row 98 from 2022 Q1 onward</text>
  </threadedComment>
  <threadedComment ref="D105" dT="2023-02-15T21:14:52.42" personId="{609654FB-393E-4954-B3A3-EDB231775774}" id="{A46F7C4F-6912-4219-A6BF-9B291D29572E}">
    <text>February 2023 CBO Economic Projections quarterly tables, row 98</text>
  </threadedComment>
  <threadedComment ref="D105" dT="2023-07-27T18:51:58.38" personId="{609654FB-393E-4954-B3A3-EDB231775774}" id="{7A0F03B6-E33D-4474-9555-B84E69B17617}" parentId="{A46F7C4F-6912-4219-A6BF-9B291D29572E}">
    <text>Same table and row, July 2023</text>
  </threadedComment>
  <threadedComment ref="D105" dT="2024-02-22T15:30:49.62" personId="{09FAC3F1-DFDB-4CF8-9903-358701529E2B}" id="{8B50D8B1-7987-47E1-B1DC-D2F70DCC216E}" parentId="{A46F7C4F-6912-4219-A6BF-9B291D29572E}">
    <text>February 2024 CBO Economic Projections quarterly tables, row 100</text>
  </threadedComment>
  <threadedComment ref="D105" dT="2024-06-27T14:41:16.43" personId="{2C68A5A1-706F-4A3E-93A3-741BBABEC4EA}" id="{6425957B-D42C-489A-A538-4AA95EC109FD}" parentId="{A46F7C4F-6912-4219-A6BF-9B291D29572E}">
    <text>June 2024 CBO Economic Projections Quarterly table row 100 from 2021 Q1 onward</text>
  </threadedComment>
  <threadedComment ref="D105" dT="2025-01-23T21:44:55.46" personId="{B61C96CF-201E-4FBB-AE0C-863888EC2CC5}" id="{98CFB5AA-E68D-4003-A1AB-EA789D5B11B9}" parentId="{A46F7C4F-6912-4219-A6BF-9B291D29572E}">
    <text>January 2025 CBO Economic Projections Quarterly Table, Row 100 from 2022 Q1 onward</text>
  </threadedComment>
  <threadedComment ref="D106" dT="2023-02-15T21:15:38.27" personId="{609654FB-393E-4954-B3A3-EDB231775774}" id="{76E953CB-BD49-43CF-8F2D-8BFB47D725D7}">
    <text>February 2023 CBO Economic Projections quarterly table, row 116</text>
  </threadedComment>
  <threadedComment ref="D106" dT="2023-07-27T18:51:50.61" personId="{609654FB-393E-4954-B3A3-EDB231775774}" id="{5483793C-0C25-47A5-BAF9-EF712CAD7D04}" parentId="{76E953CB-BD49-43CF-8F2D-8BFB47D725D7}">
    <text>Same table and row, July 2023</text>
  </threadedComment>
  <threadedComment ref="D106" dT="2024-02-22T15:37:14.65" personId="{09FAC3F1-DFDB-4CF8-9903-358701529E2B}" id="{385DCECF-44A3-4344-9011-2A6CE78C506F}" parentId="{76E953CB-BD49-43CF-8F2D-8BFB47D725D7}">
    <text>This is now February 2024 CBO Economic Projections Quarterly Table, row 118</text>
  </threadedComment>
  <threadedComment ref="D10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6" dT="2025-01-23T21:45:46.12" personId="{B61C96CF-201E-4FBB-AE0C-863888EC2CC5}" id="{8C2B4E67-5388-4A6C-AD4C-0897E488E469}" parentId="{76E953CB-BD49-43CF-8F2D-8BFB47D725D7}">
    <text>January 2025 CBO Economic Projections Quarterly Table, Row 118 from 2022 Q1 onward</text>
  </threadedComment>
  <threadedComment ref="D107" dT="2023-02-15T21:16:25.78" personId="{609654FB-393E-4954-B3A3-EDB231775774}" id="{8FB584A5-2B54-4AD8-94A1-F46A717E4FE5}">
    <text>February 2023 CBO Economic Projections quarterly table row 112</text>
  </threadedComment>
  <threadedComment ref="D107" dT="2023-07-27T18:52:05.52" personId="{609654FB-393E-4954-B3A3-EDB231775774}" id="{0C631DB7-7EAD-4CD2-978E-4DD9468CD3B1}" parentId="{8FB584A5-2B54-4AD8-94A1-F46A717E4FE5}">
    <text>Same table and row, July 2023</text>
  </threadedComment>
  <threadedComment ref="D107" dT="2024-02-22T15:42:56.34" personId="{09FAC3F1-DFDB-4CF8-9903-358701529E2B}" id="{19BF4626-D0E8-42B5-BD70-3452F9A463CA}" parentId="{8FB584A5-2B54-4AD8-94A1-F46A717E4FE5}">
    <text>February 2024 CBO Economic Projections quarterly table row 114 corporate profits domestic</text>
  </threadedComment>
  <threadedComment ref="D10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D107" dT="2025-01-23T21:48:12.92" personId="{B61C96CF-201E-4FBB-AE0C-863888EC2CC5}" id="{E64D7BA7-DDF4-4C62-A641-B8FB8CABA7D8}" parentId="{8FB584A5-2B54-4AD8-94A1-F46A717E4FE5}">
    <text>January 2025 CBO Economic Projections Quarterly Table, Row 114 Profits, corporate, domestic, with IVA &amp; CCAdj from 2022 Q1 onward</text>
  </threadedComment>
  <threadedComment ref="U130" dT="2023-04-27T03:02:33.18" personId="{2C68A5A1-706F-4A3E-93A3-741BBABEC4EA}" id="{65B2F617-D738-4757-983D-98D9DB3870FB}">
    <text>I can't drag these over because of circular references.</text>
  </threadedComment>
  <threadedComment ref="V133" dT="2023-07-27T14:08:57.55" personId="{2C68A5A1-706F-4A3E-93A3-741BBABEC4EA}" id="{0AC09EFD-8A54-444C-A82D-77111C533292}">
    <text>Drag my predecessor forward in August 2023!! (Corporate taxes come in late, and we couldn't update in July!)</text>
  </threadedComment>
  <threadedComment ref="W133" dT="2023-10-26T13:42:51.37" personId="{609654FB-393E-4954-B3A3-EDB231775774}" id="{1B45073C-05DE-4E50-B57C-9DA43CA3E5DB}">
    <text>Drag forward in November by same logic as in previous cell.</text>
  </threadedComment>
  <threadedComment ref="X133" dT="2024-01-24T19:09:22.97" personId="{09FAC3F1-DFDB-4CF8-9903-358701529E2B}" id="{1EFE3D94-A914-4335-ADA0-94B1C8F72E64}">
    <text>Drag forward in February because we get Q4 Data 1 month late.</text>
  </threadedComment>
  <threadedComment ref="Y133" dT="2024-07-25T15:51:05.68" personId="{09FAC3F1-DFDB-4CF8-9903-358701529E2B}" id="{C31DCF28-75B2-4DBC-B036-BE5C96FD6331}">
    <text xml:space="preserve">Drag forward in August because we get the data a month late. </text>
  </threadedComment>
  <threadedComment ref="Z133" dT="2024-08-29T14:15:29.25" personId="{09FAC3F1-DFDB-4CF8-9903-358701529E2B}" id="{50A49FB6-37DC-43B3-965C-43A7195061F6}">
    <text xml:space="preserve">Drag this forward in November because we get taxes a month late. </text>
  </threadedComment>
  <threadedComment ref="AA133" dT="2025-01-31T15:14:38.88" personId="{B61C96CF-201E-4FBB-AE0C-863888EC2CC5}" id="{25B0BED1-95A1-48C5-AB16-3FDF328CCCC4}">
    <text xml:space="preserve">Drag this forward in February because we get taxes a month late. </text>
  </threadedComment>
</ThreadedComments>
</file>

<file path=xl/threadedComments/threadedComment14.xml><?xml version="1.0" encoding="utf-8"?>
<ThreadedComments xmlns="http://schemas.microsoft.com/office/spreadsheetml/2018/threadedcomments" xmlns:x="http://schemas.openxmlformats.org/spreadsheetml/2006/main">
  <threadedComment ref="B57"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59" dT="2023-07-27T18:54:18.72" personId="{609654FB-393E-4954-B3A3-EDB231775774}" id="{0DF18CD1-DDA4-4936-9B9E-36F885A8A9DF}">
    <text>July 2023 10-year economic projections Quarterly Table line 116</text>
  </threadedComment>
  <threadedComment ref="B59" dT="2024-02-22T16:14:54.16" personId="{09FAC3F1-DFDB-4CF8-9903-358701529E2B}" id="{5E636256-C425-4746-8026-732FFB49DCA6}" parentId="{0DF18CD1-DDA4-4936-9B9E-36F885A8A9DF}">
    <text>February 2024 CBO Economic Projections, Quarterly Table, Line 118</text>
  </threadedComment>
  <threadedComment ref="B59" dT="2024-06-27T14:46:21.05" personId="{2C68A5A1-706F-4A3E-93A3-741BBABEC4EA}" id="{D50CF423-E0D1-4B94-95BB-8C460DAA2108}" parentId="{0DF18CD1-DDA4-4936-9B9E-36F885A8A9DF}">
    <text>June 2024 CBO Economic Projections, Quarterly Table, Line 118 pasted from 2021 Q1 onward</text>
  </threadedComment>
  <threadedComment ref="B59" dT="2025-01-23T21:50:55.86" personId="{B61C96CF-201E-4FBB-AE0C-863888EC2CC5}" id="{CAB231F4-1DA4-4B3C-B5AE-8B26BDB5FE0A}" parentId="{0DF18CD1-DDA4-4936-9B9E-36F885A8A9DF}">
    <text>January 2025 CBO Economic Projections, Quarterly Table, Line 118 from 2022 Q1 onward</text>
  </threadedComment>
  <threadedComment ref="B60" dT="2023-07-27T18:58:29.78" personId="{609654FB-393E-4954-B3A3-EDB231775774}" id="{9DDFDF05-CB8A-4154-92B5-FB4AFBAE30F8}">
    <text>July 2023 10-year economic projections quarterly table line 127</text>
  </threadedComment>
  <threadedComment ref="B60" dT="2024-02-22T16:17:18.71" personId="{09FAC3F1-DFDB-4CF8-9903-358701529E2B}" id="{415918D2-8F3E-4EB4-8C8E-353F5D499194}" parentId="{9DDFDF05-CB8A-4154-92B5-FB4AFBAE30F8}">
    <text>July 2023 CBO Economic Projections, Quarterly Table Line 129</text>
  </threadedComment>
  <threadedComment ref="B60" dT="2024-06-27T14:46:52.06" personId="{2C68A5A1-706F-4A3E-93A3-741BBABEC4EA}" id="{50296040-D0CA-4737-BBB1-FF0CC10742F9}" parentId="{9DDFDF05-CB8A-4154-92B5-FB4AFBAE30F8}">
    <text>June 2024 CBO Economic Projections, Quarterly Table Line 129 from 2021 Q1 onward</text>
  </threadedComment>
  <threadedComment ref="B60" dT="2025-01-23T21:52:13.54" personId="{B61C96CF-201E-4FBB-AE0C-863888EC2CC5}" id="{C3005573-CFE8-4499-9881-F4D6618E38BC}" parentId="{9DDFDF05-CB8A-4154-92B5-FB4AFBAE30F8}">
    <text>January 2025 CBO Economic Projections, Quarterly Table Line 129 from 2022 Q1 onward</text>
  </threadedComment>
  <threadedComment ref="B61" dT="2023-07-27T18:58:47.03" personId="{609654FB-393E-4954-B3A3-EDB231775774}" id="{C72DB8C1-80AB-49EE-8306-B3882C563DE7}">
    <text>July 2023 economic projections quarterly table line 129</text>
  </threadedComment>
  <threadedComment ref="B61" dT="2024-02-22T16:18:11.19" personId="{09FAC3F1-DFDB-4CF8-9903-358701529E2B}" id="{D3B155C7-B049-48E7-A2B4-C43A9DB0EA80}" parentId="{C72DB8C1-80AB-49EE-8306-B3882C563DE7}">
    <text>February 2024 Economic Projections, Quarterly Table line 131</text>
  </threadedComment>
  <threadedComment ref="B61" dT="2024-06-27T14:47:56.28" personId="{2C68A5A1-706F-4A3E-93A3-741BBABEC4EA}" id="{75F43EB2-3F3C-4D75-9509-C56EEAB4DD69}" parentId="{C72DB8C1-80AB-49EE-8306-B3882C563DE7}">
    <text xml:space="preserve">June  2024 Economic Projections, Quarterly Table line 131 from 2021 Q1 onward
</text>
  </threadedComment>
  <threadedComment ref="B61" dT="2025-01-23T21:53:00.72" personId="{B61C96CF-201E-4FBB-AE0C-863888EC2CC5}" id="{EC06B0A7-A7D5-44A7-88E3-AFB308BBF369}" parentId="{C72DB8C1-80AB-49EE-8306-B3882C563DE7}">
    <text>January 2025 Economic Projections, Quarterly Table, Line 131 from 2022 Q1 onward</text>
  </threadedComment>
  <threadedComment ref="B62" dT="2023-07-27T18:59:18.12" personId="{609654FB-393E-4954-B3A3-EDB231775774}" id="{65400755-1E7E-45CD-B1D4-DAC1E9F13C96}">
    <text>July 2023 economic projections quarterly table line 139</text>
  </threadedComment>
  <threadedComment ref="B62" dT="2024-02-22T16:22:22.44" personId="{09FAC3F1-DFDB-4CF8-9903-358701529E2B}" id="{B6540356-436A-4581-AA68-7BEB752C9369}" parentId="{65400755-1E7E-45CD-B1D4-DAC1E9F13C96}">
    <text>February 2024 CBO Economic Projections, Quarterly Table, row 141</text>
  </threadedComment>
  <threadedComment ref="B62" dT="2024-06-27T14:50:57.19" personId="{2C68A5A1-706F-4A3E-93A3-741BBABEC4EA}" id="{D9A57EA5-FB02-4C18-A6DA-50261F26F942}" parentId="{65400755-1E7E-45CD-B1D4-DAC1E9F13C96}">
    <text>June 2024 CBO Economic Projections, Quarterly Table, row 141 from 2021 Q1 onward</text>
  </threadedComment>
  <threadedComment ref="B62" dT="2025-01-23T21:53:52.84" personId="{B61C96CF-201E-4FBB-AE0C-863888EC2CC5}" id="{D2BE47FE-A499-48A5-93D2-412C04A98C10}" parentId="{65400755-1E7E-45CD-B1D4-DAC1E9F13C96}">
    <text>January 2025 CBO Economic Projections, Quarterly Table, Row 141 from 2022 Q1 onward</text>
  </threadedComment>
  <threadedComment ref="B63" dT="2023-07-27T18:59:50.42" personId="{609654FB-393E-4954-B3A3-EDB231775774}" id="{2342851E-1027-489D-A9C9-2E8A800F814B}">
    <text>July 2023 economic projections quarterly table line 150</text>
  </threadedComment>
  <threadedComment ref="B63" dT="2024-02-22T16:24:23.29" personId="{09FAC3F1-DFDB-4CF8-9903-358701529E2B}" id="{1C910F0A-56B8-478F-AC70-88B4D842C6E9}" parentId="{2342851E-1027-489D-A9C9-2E8A800F814B}">
    <text>February 2024 CBO Economic Projections, Quarterly Table, Line 152</text>
  </threadedComment>
  <threadedComment ref="B63" dT="2024-06-27T14:51:10.46" personId="{2C68A5A1-706F-4A3E-93A3-741BBABEC4EA}" id="{E134738C-B99D-4F51-A452-DDB0BD4715FF}" parentId="{2342851E-1027-489D-A9C9-2E8A800F814B}">
    <text>June 2024 CBO Economic Projections, Quarterly Table, Line 152 from 2021 Q1 onward</text>
  </threadedComment>
  <threadedComment ref="B63" dT="2025-01-23T21:54:43.52" personId="{B61C96CF-201E-4FBB-AE0C-863888EC2CC5}" id="{97B75CA0-04C0-41EB-BF36-8476127951E0}" parentId="{2342851E-1027-489D-A9C9-2E8A800F814B}">
    <text>January 2025 CBO Economic Projections, Quarterly Table, Line 152 from 2022 Q1 onward</text>
  </threadedComment>
  <threadedComment ref="B64" dT="2023-07-27T19:00:00.27" personId="{609654FB-393E-4954-B3A3-EDB231775774}" id="{7C559531-A861-49AD-8365-07F57C6BE5A0}">
    <text>July 2023 economic projections quarterly table line 152</text>
  </threadedComment>
  <threadedComment ref="B64" dT="2024-02-22T16:28:42.10" personId="{09FAC3F1-DFDB-4CF8-9903-358701529E2B}" id="{90DE8F8A-2245-44B5-B9ED-169DA3A954BB}" parentId="{7C559531-A861-49AD-8365-07F57C6BE5A0}">
    <text>This is now February 2024 economic Projections, Quarterly Table, row 154</text>
  </threadedComment>
  <threadedComment ref="B64" dT="2025-01-23T21:56:52.70" personId="{B61C96CF-201E-4FBB-AE0C-863888EC2CC5}" id="{511B591D-3E90-4093-B4C0-B8CCA6705B31}" parentId="{7C559531-A861-49AD-8365-07F57C6BE5A0}">
    <text>January 2025 CBO Economic Projections, Quarterly Table, Line 154 from 2022 Q1 onward</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8" Type="http://schemas.openxmlformats.org/officeDocument/2006/relationships/hyperlink" Target="mailto:lasgova@usecon" TargetMode="External"/><Relationship Id="rId13" Type="http://schemas.microsoft.com/office/2017/10/relationships/threadedComment" Target="../threadedComments/threadedComment1.xm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12" Type="http://schemas.openxmlformats.org/officeDocument/2006/relationships/comments" Target="../comments1.xm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11" Type="http://schemas.openxmlformats.org/officeDocument/2006/relationships/vmlDrawing" Target="../drawings/vmlDrawing1.vml"/><Relationship Id="rId5" Type="http://schemas.openxmlformats.org/officeDocument/2006/relationships/hyperlink" Target="https://www.bea.gov/help/faq/1407" TargetMode="External"/><Relationship Id="rId10" Type="http://schemas.openxmlformats.org/officeDocument/2006/relationships/drawing" Target="../drawings/drawing2.xm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1.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ivotTable" Target="../pivotTables/pivotTable2.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lalgova@usecon" TargetMode="External"/><Relationship Id="rId1" Type="http://schemas.openxmlformats.org/officeDocument/2006/relationships/hyperlink" Target="mailto:lasgova@usecon"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 Id="rId4" Type="http://schemas.microsoft.com/office/2017/10/relationships/threadedComment" Target="../threadedComments/threadedComment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8.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9.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L34" sqref="L34"/>
    </sheetView>
  </sheetViews>
  <sheetFormatPr defaultColWidth="10.90625" defaultRowHeight="14.5" x14ac:dyDescent="0.35"/>
  <cols>
    <col min="2" max="2" width="34.1796875" customWidth="1"/>
    <col min="17" max="17" width="38.453125" customWidth="1"/>
  </cols>
  <sheetData>
    <row r="10" spans="2:17" x14ac:dyDescent="0.35">
      <c r="B10" s="1221" t="s">
        <v>0</v>
      </c>
      <c r="C10" s="1222"/>
      <c r="D10" s="1222"/>
      <c r="E10" s="1222"/>
      <c r="F10" s="1222"/>
      <c r="G10" s="1222"/>
      <c r="H10" s="1222"/>
      <c r="I10" s="1222"/>
      <c r="J10" s="1222"/>
      <c r="K10" s="1222"/>
      <c r="L10" s="1222"/>
      <c r="M10" s="1222"/>
      <c r="N10" s="1222"/>
      <c r="O10" s="1222"/>
      <c r="P10" s="1222"/>
      <c r="Q10" s="1223"/>
    </row>
    <row r="11" spans="2:17" x14ac:dyDescent="0.35">
      <c r="B11" s="1224"/>
      <c r="C11" s="1225"/>
      <c r="D11" s="1225"/>
      <c r="E11" s="1225"/>
      <c r="F11" s="1225"/>
      <c r="G11" s="1225"/>
      <c r="H11" s="1225"/>
      <c r="I11" s="1225"/>
      <c r="J11" s="1225"/>
      <c r="K11" s="1225"/>
      <c r="L11" s="1225"/>
      <c r="M11" s="1225"/>
      <c r="N11" s="1225"/>
      <c r="O11" s="1225"/>
      <c r="P11" s="1225"/>
      <c r="Q11" s="1226"/>
    </row>
    <row r="12" spans="2:17" x14ac:dyDescent="0.35">
      <c r="B12" s="3" t="s">
        <v>1</v>
      </c>
      <c r="C12" s="12"/>
      <c r="D12" s="12"/>
      <c r="E12" s="12"/>
      <c r="F12" s="12"/>
      <c r="G12" s="12"/>
      <c r="H12" s="12"/>
      <c r="I12" s="12"/>
      <c r="J12" s="12"/>
      <c r="K12" s="12"/>
      <c r="L12" s="12"/>
      <c r="M12" s="12"/>
      <c r="N12" s="12"/>
      <c r="O12" s="12"/>
      <c r="P12" s="12"/>
      <c r="Q12" s="11"/>
    </row>
    <row r="13" spans="2:17" x14ac:dyDescent="0.35">
      <c r="B13" s="2" t="s">
        <v>2</v>
      </c>
      <c r="C13" s="1227" t="s">
        <v>3</v>
      </c>
      <c r="D13" s="1227"/>
      <c r="E13" s="1227"/>
      <c r="F13" s="1227"/>
      <c r="G13" s="1227"/>
      <c r="H13" s="1227"/>
      <c r="I13" s="1227"/>
      <c r="J13" s="1227"/>
      <c r="K13" s="1227"/>
      <c r="L13" s="1227"/>
      <c r="M13" s="1227"/>
      <c r="N13" s="1227"/>
      <c r="O13" s="1227"/>
      <c r="P13" s="1227"/>
      <c r="Q13" s="1228"/>
    </row>
    <row r="14" spans="2:17" x14ac:dyDescent="0.35">
      <c r="B14" s="2" t="s">
        <v>4</v>
      </c>
      <c r="C14" s="6" t="s">
        <v>5</v>
      </c>
      <c r="D14" s="6"/>
      <c r="E14" s="6"/>
      <c r="F14" s="6"/>
      <c r="G14" s="6"/>
      <c r="H14" s="6"/>
      <c r="I14" s="6"/>
      <c r="J14" s="6"/>
      <c r="K14" s="6"/>
      <c r="L14" s="6"/>
      <c r="M14" s="6"/>
      <c r="N14" s="6"/>
      <c r="O14" s="6"/>
      <c r="P14" s="6"/>
      <c r="Q14" s="7"/>
    </row>
    <row r="15" spans="2:17" x14ac:dyDescent="0.35">
      <c r="B15" s="2" t="s">
        <v>6</v>
      </c>
      <c r="C15" s="6" t="s">
        <v>7</v>
      </c>
      <c r="D15" s="6"/>
      <c r="E15" s="6"/>
      <c r="F15" s="6"/>
      <c r="G15" s="6"/>
      <c r="H15" s="6"/>
      <c r="I15" s="6"/>
      <c r="J15" s="6"/>
      <c r="K15" s="6"/>
      <c r="L15" s="6"/>
      <c r="M15" s="6"/>
      <c r="N15" s="6"/>
      <c r="O15" s="6"/>
      <c r="P15" s="6"/>
      <c r="Q15" s="7"/>
    </row>
    <row r="16" spans="2:17" x14ac:dyDescent="0.35">
      <c r="B16" s="2" t="s">
        <v>8</v>
      </c>
      <c r="C16" s="6" t="s">
        <v>829</v>
      </c>
      <c r="D16" s="6"/>
      <c r="E16" s="6"/>
      <c r="F16" s="6"/>
      <c r="G16" s="6"/>
      <c r="H16" s="6"/>
      <c r="I16" s="6"/>
      <c r="J16" s="6"/>
      <c r="K16" s="6"/>
      <c r="L16" s="6"/>
      <c r="M16" s="6"/>
      <c r="N16" s="6"/>
      <c r="O16" s="6"/>
      <c r="P16" s="6"/>
      <c r="Q16" s="7"/>
    </row>
    <row r="17" spans="2:17" x14ac:dyDescent="0.35">
      <c r="B17" s="2" t="s">
        <v>9</v>
      </c>
      <c r="C17" s="6" t="s">
        <v>10</v>
      </c>
      <c r="D17" s="6"/>
      <c r="E17" s="6"/>
      <c r="F17" s="6"/>
      <c r="G17" s="6"/>
      <c r="H17" s="6"/>
      <c r="I17" s="6"/>
      <c r="J17" s="6"/>
      <c r="K17" s="6"/>
      <c r="L17" s="6"/>
      <c r="M17" s="6"/>
      <c r="N17" s="6"/>
      <c r="O17" s="6"/>
      <c r="P17" s="6"/>
      <c r="Q17" s="7"/>
    </row>
    <row r="18" spans="2:17" x14ac:dyDescent="0.35">
      <c r="B18" s="2" t="s">
        <v>830</v>
      </c>
      <c r="C18" s="6" t="s">
        <v>11</v>
      </c>
      <c r="D18" s="6"/>
      <c r="E18" s="6"/>
      <c r="F18" s="6"/>
      <c r="G18" s="6"/>
      <c r="H18" s="6"/>
      <c r="I18" s="6"/>
      <c r="J18" s="6"/>
      <c r="K18" s="6"/>
      <c r="L18" s="6"/>
      <c r="M18" s="6"/>
      <c r="N18" s="6"/>
      <c r="O18" s="6"/>
      <c r="P18" s="6"/>
      <c r="Q18" s="7"/>
    </row>
    <row r="19" spans="2:17" x14ac:dyDescent="0.35">
      <c r="B19" s="2" t="s">
        <v>12</v>
      </c>
      <c r="C19" s="6" t="s">
        <v>831</v>
      </c>
      <c r="D19" s="6"/>
      <c r="E19" s="6"/>
      <c r="F19" s="6"/>
      <c r="G19" s="6"/>
      <c r="H19" s="6"/>
      <c r="I19" s="6"/>
      <c r="J19" s="6"/>
      <c r="K19" s="6"/>
      <c r="L19" s="6"/>
      <c r="M19" s="6"/>
      <c r="N19" s="6"/>
      <c r="O19" s="6"/>
      <c r="P19" s="6"/>
      <c r="Q19" s="7"/>
    </row>
    <row r="20" spans="2:17" ht="30.75" customHeight="1" x14ac:dyDescent="0.35">
      <c r="B20" s="2" t="s">
        <v>13</v>
      </c>
      <c r="C20" s="1219" t="s">
        <v>14</v>
      </c>
      <c r="D20" s="1219"/>
      <c r="E20" s="1219"/>
      <c r="F20" s="1219"/>
      <c r="G20" s="1219"/>
      <c r="H20" s="1219"/>
      <c r="I20" s="1219"/>
      <c r="J20" s="1219"/>
      <c r="K20" s="1219"/>
      <c r="L20" s="1219"/>
      <c r="M20" s="1219"/>
      <c r="N20" s="1219"/>
      <c r="O20" s="1219"/>
      <c r="P20" s="1219"/>
      <c r="Q20" s="1220"/>
    </row>
    <row r="21" spans="2:17" x14ac:dyDescent="0.35">
      <c r="B21" s="2" t="s">
        <v>15</v>
      </c>
      <c r="C21" s="6" t="s">
        <v>16</v>
      </c>
      <c r="D21" s="6"/>
      <c r="E21" s="6"/>
      <c r="F21" s="6"/>
      <c r="G21" s="6"/>
      <c r="H21" s="6"/>
      <c r="I21" s="6"/>
      <c r="J21" s="6"/>
      <c r="K21" s="6"/>
      <c r="L21" s="6"/>
      <c r="M21" s="6"/>
      <c r="N21" s="6"/>
      <c r="O21" s="6"/>
      <c r="P21" s="6"/>
      <c r="Q21" s="7"/>
    </row>
    <row r="22" spans="2:17" ht="32.25" customHeight="1" x14ac:dyDescent="0.35">
      <c r="B22" s="1" t="s">
        <v>833</v>
      </c>
      <c r="C22" s="1219" t="s">
        <v>832</v>
      </c>
      <c r="D22" s="1219"/>
      <c r="E22" s="1219"/>
      <c r="F22" s="1219"/>
      <c r="G22" s="1219"/>
      <c r="H22" s="1219"/>
      <c r="I22" s="1219"/>
      <c r="J22" s="1219"/>
      <c r="K22" s="1219"/>
      <c r="L22" s="1219"/>
      <c r="M22" s="1219"/>
      <c r="N22" s="1219"/>
      <c r="O22" s="1219"/>
      <c r="P22" s="1219"/>
      <c r="Q22" s="1220"/>
    </row>
    <row r="23" spans="2:17" ht="31.4" customHeight="1" x14ac:dyDescent="0.35">
      <c r="B23" s="2" t="s">
        <v>17</v>
      </c>
      <c r="C23" s="1219" t="s">
        <v>834</v>
      </c>
      <c r="D23" s="1219"/>
      <c r="E23" s="1219"/>
      <c r="F23" s="1219"/>
      <c r="G23" s="1219"/>
      <c r="H23" s="1219"/>
      <c r="I23" s="1219"/>
      <c r="J23" s="1219"/>
      <c r="K23" s="1219"/>
      <c r="L23" s="1219"/>
      <c r="M23" s="1219"/>
      <c r="N23" s="1219"/>
      <c r="O23" s="1219"/>
      <c r="P23" s="1219"/>
      <c r="Q23" s="1220"/>
    </row>
    <row r="24" spans="2:17" x14ac:dyDescent="0.35">
      <c r="B24" s="2" t="s">
        <v>18</v>
      </c>
      <c r="C24" s="6" t="s">
        <v>19</v>
      </c>
      <c r="D24" s="6"/>
      <c r="E24" s="6"/>
      <c r="F24" s="6"/>
      <c r="G24" s="6"/>
      <c r="H24" s="6"/>
      <c r="I24" s="6"/>
      <c r="J24" s="6"/>
      <c r="K24" s="6"/>
      <c r="L24" s="6"/>
      <c r="M24" s="6"/>
      <c r="N24" s="6"/>
      <c r="O24" s="6"/>
      <c r="P24" s="6"/>
      <c r="Q24" s="7"/>
    </row>
    <row r="25" spans="2:17" x14ac:dyDescent="0.35">
      <c r="B25" s="2" t="s">
        <v>20</v>
      </c>
      <c r="C25" s="6" t="s">
        <v>21</v>
      </c>
      <c r="D25" s="6"/>
      <c r="E25" s="6"/>
      <c r="F25" s="6"/>
      <c r="G25" s="6"/>
      <c r="H25" s="6"/>
      <c r="I25" s="6"/>
      <c r="J25" s="6"/>
      <c r="K25" s="6"/>
      <c r="L25" s="6"/>
      <c r="M25" s="6"/>
      <c r="N25" s="6"/>
      <c r="O25" s="6"/>
      <c r="P25" s="6"/>
      <c r="Q25" s="7"/>
    </row>
    <row r="26" spans="2:17" x14ac:dyDescent="0.35">
      <c r="B26" s="2" t="s">
        <v>22</v>
      </c>
      <c r="C26" s="6" t="s">
        <v>23</v>
      </c>
      <c r="D26" s="6"/>
      <c r="E26" s="6"/>
      <c r="F26" s="6"/>
      <c r="G26" s="6"/>
      <c r="H26" s="6"/>
      <c r="I26" s="6"/>
      <c r="J26" s="6"/>
      <c r="K26" s="6"/>
      <c r="L26" s="6"/>
      <c r="M26" s="6"/>
      <c r="N26" s="6"/>
      <c r="O26" s="6"/>
      <c r="P26" s="6"/>
      <c r="Q26" s="7"/>
    </row>
    <row r="27" spans="2:17" x14ac:dyDescent="0.35">
      <c r="B27" s="2" t="s">
        <v>24</v>
      </c>
      <c r="C27" s="6" t="s">
        <v>835</v>
      </c>
      <c r="D27" s="6"/>
      <c r="E27" s="6"/>
      <c r="F27" s="6"/>
      <c r="G27" s="6"/>
      <c r="H27" s="6"/>
      <c r="I27" s="6"/>
      <c r="J27" s="6"/>
      <c r="K27" s="6"/>
      <c r="L27" s="6"/>
      <c r="M27" s="6"/>
      <c r="N27" s="6"/>
      <c r="O27" s="6"/>
      <c r="P27" s="6"/>
      <c r="Q27" s="7"/>
    </row>
    <row r="28" spans="2:17" x14ac:dyDescent="0.35">
      <c r="B28" s="2" t="s">
        <v>25</v>
      </c>
      <c r="C28" s="6" t="s">
        <v>836</v>
      </c>
      <c r="D28" s="6"/>
      <c r="E28" s="6"/>
      <c r="F28" s="6"/>
      <c r="G28" s="6"/>
      <c r="H28" s="6"/>
      <c r="I28" s="6"/>
      <c r="J28" s="6"/>
      <c r="K28" s="6"/>
      <c r="L28" s="6"/>
      <c r="M28" s="6"/>
      <c r="N28" s="6"/>
      <c r="O28" s="6"/>
      <c r="P28" s="6"/>
      <c r="Q28" s="7"/>
    </row>
    <row r="29" spans="2:17" x14ac:dyDescent="0.35">
      <c r="B29" s="2" t="s">
        <v>26</v>
      </c>
      <c r="C29" s="6" t="s">
        <v>27</v>
      </c>
      <c r="D29" s="6"/>
      <c r="E29" s="6"/>
      <c r="F29" s="6"/>
      <c r="G29" s="6"/>
      <c r="H29" s="6"/>
      <c r="I29" s="6"/>
      <c r="J29" s="6"/>
      <c r="K29" s="6"/>
      <c r="L29" s="6"/>
      <c r="M29" s="6"/>
      <c r="N29" s="6"/>
      <c r="O29" s="6"/>
      <c r="P29" s="6"/>
      <c r="Q29" s="7"/>
    </row>
    <row r="30" spans="2:17" x14ac:dyDescent="0.35">
      <c r="B30" s="2"/>
      <c r="C30" s="6"/>
      <c r="D30" s="6"/>
      <c r="E30" s="6"/>
      <c r="F30" s="6"/>
      <c r="G30" s="6"/>
      <c r="H30" s="6"/>
      <c r="I30" s="6"/>
      <c r="J30" s="6"/>
      <c r="K30" s="6"/>
      <c r="L30" s="6"/>
      <c r="M30" s="6"/>
      <c r="N30" s="6"/>
      <c r="O30" s="6"/>
      <c r="P30" s="6"/>
      <c r="Q30" s="7"/>
    </row>
    <row r="31" spans="2:17" x14ac:dyDescent="0.35">
      <c r="B31" s="4" t="s">
        <v>28</v>
      </c>
      <c r="C31" s="6"/>
      <c r="D31" s="6"/>
      <c r="E31" s="6"/>
      <c r="F31" s="6"/>
      <c r="G31" s="6"/>
      <c r="H31" s="6"/>
      <c r="I31" s="6"/>
      <c r="J31" s="6"/>
      <c r="K31" s="6"/>
      <c r="L31" s="6"/>
      <c r="M31" s="6"/>
      <c r="N31" s="6"/>
      <c r="O31" s="6"/>
      <c r="P31" s="6"/>
      <c r="Q31" s="7"/>
    </row>
    <row r="32" spans="2:17" x14ac:dyDescent="0.35">
      <c r="B32" s="2" t="s">
        <v>29</v>
      </c>
      <c r="C32" s="6"/>
      <c r="D32" s="6"/>
      <c r="E32" s="6"/>
      <c r="F32" s="6"/>
      <c r="G32" s="6"/>
      <c r="H32" s="6"/>
      <c r="I32" s="6"/>
      <c r="J32" s="6"/>
      <c r="K32" s="6"/>
      <c r="L32" s="6"/>
      <c r="M32" s="6"/>
      <c r="N32" s="6"/>
      <c r="O32" s="6"/>
      <c r="P32" s="6"/>
      <c r="Q32" s="7"/>
    </row>
    <row r="33" spans="2:17" ht="30.75" customHeight="1" x14ac:dyDescent="0.35">
      <c r="B33" s="1218" t="s">
        <v>837</v>
      </c>
      <c r="C33" s="1219"/>
      <c r="D33" s="1219"/>
      <c r="E33" s="1219"/>
      <c r="F33" s="1219"/>
      <c r="G33" s="1219"/>
      <c r="H33" s="1219"/>
      <c r="I33" s="1219"/>
      <c r="J33" s="1219"/>
      <c r="K33" s="1219"/>
      <c r="L33" s="1219"/>
      <c r="M33" s="1219"/>
      <c r="N33" s="1219"/>
      <c r="O33" s="1219"/>
      <c r="P33" s="1219"/>
      <c r="Q33" s="1220"/>
    </row>
    <row r="34" spans="2:17" x14ac:dyDescent="0.35">
      <c r="B34" s="9" t="s">
        <v>30</v>
      </c>
      <c r="C34" s="6"/>
      <c r="D34" s="6"/>
      <c r="E34" s="6"/>
      <c r="F34" s="6"/>
      <c r="G34" s="6"/>
      <c r="H34" s="6"/>
      <c r="I34" s="6"/>
      <c r="J34" s="6"/>
      <c r="K34" s="6"/>
      <c r="L34" s="6"/>
      <c r="M34" s="6"/>
      <c r="N34" s="6"/>
      <c r="O34" s="6"/>
      <c r="P34" s="6"/>
      <c r="Q34" s="7"/>
    </row>
    <row r="35" spans="2:17" x14ac:dyDescent="0.35">
      <c r="B35" s="2" t="s">
        <v>31</v>
      </c>
      <c r="C35" s="6"/>
      <c r="D35" s="6"/>
      <c r="E35" s="6"/>
      <c r="F35" s="6"/>
      <c r="G35" s="6"/>
      <c r="H35" s="6"/>
      <c r="I35" s="6"/>
      <c r="J35" s="6"/>
      <c r="K35" s="6"/>
      <c r="L35" s="6"/>
      <c r="M35" s="6"/>
      <c r="N35" s="6"/>
      <c r="O35" s="6"/>
      <c r="P35" s="6"/>
      <c r="Q35" s="7"/>
    </row>
    <row r="36" spans="2:17" x14ac:dyDescent="0.35">
      <c r="B36" s="13" t="s">
        <v>32</v>
      </c>
      <c r="C36" s="5"/>
      <c r="D36" s="5"/>
      <c r="E36" s="5"/>
      <c r="F36" s="5"/>
      <c r="G36" s="5"/>
      <c r="H36" s="5"/>
      <c r="I36" s="5"/>
      <c r="J36" s="5"/>
      <c r="K36" s="5"/>
      <c r="L36" s="5"/>
      <c r="M36" s="5"/>
      <c r="N36" s="5"/>
      <c r="O36" s="5"/>
      <c r="P36" s="5"/>
      <c r="Q36" s="8"/>
    </row>
    <row r="39" spans="2:17" x14ac:dyDescent="0.35">
      <c r="B39" s="10"/>
      <c r="C39" s="10"/>
      <c r="D39" s="10"/>
      <c r="E39" s="10"/>
      <c r="F39" s="10"/>
      <c r="G39" s="10"/>
      <c r="H39" s="10"/>
      <c r="I39" s="10"/>
      <c r="J39" s="10"/>
      <c r="K39" s="10"/>
      <c r="L39" s="10"/>
      <c r="M39" s="10"/>
      <c r="N39" s="10"/>
      <c r="O39" s="10"/>
      <c r="P39" s="10"/>
      <c r="Q39" s="10"/>
    </row>
    <row r="40" spans="2:17" x14ac:dyDescent="0.35">
      <c r="B40" s="10"/>
      <c r="C40" s="10"/>
      <c r="D40" s="10"/>
      <c r="E40" s="10"/>
      <c r="F40" s="10"/>
      <c r="G40" s="10"/>
      <c r="H40" s="10"/>
      <c r="I40" s="10"/>
      <c r="J40" s="10"/>
      <c r="K40" s="10"/>
      <c r="L40" s="10"/>
      <c r="M40" s="10"/>
      <c r="N40" s="10"/>
      <c r="O40" s="10"/>
      <c r="P40" s="10"/>
      <c r="Q40" s="10"/>
    </row>
    <row r="41" spans="2:17" x14ac:dyDescent="0.35">
      <c r="B41" s="10"/>
      <c r="C41" s="10"/>
      <c r="D41" s="10"/>
      <c r="E41" s="10"/>
      <c r="F41" s="10"/>
      <c r="G41" s="10"/>
      <c r="H41" s="10"/>
      <c r="I41" s="10"/>
      <c r="J41" s="10"/>
      <c r="K41" s="10"/>
      <c r="L41" s="10"/>
      <c r="M41" s="10"/>
      <c r="N41" s="10"/>
      <c r="O41" s="10"/>
      <c r="P41" s="10"/>
      <c r="Q41" s="10"/>
    </row>
    <row r="42" spans="2:17" x14ac:dyDescent="0.35">
      <c r="B42" s="10"/>
      <c r="C42" s="10"/>
      <c r="D42" s="10"/>
      <c r="E42" s="10"/>
      <c r="F42" s="10"/>
      <c r="G42" s="10"/>
      <c r="H42" s="10"/>
      <c r="I42" s="10"/>
      <c r="J42" s="10"/>
      <c r="K42" s="10"/>
      <c r="L42" s="10"/>
      <c r="M42" s="10"/>
      <c r="N42" s="10"/>
      <c r="O42" s="10"/>
      <c r="P42" s="10"/>
      <c r="Q42" s="10"/>
    </row>
    <row r="43" spans="2:17" x14ac:dyDescent="0.35">
      <c r="B43" s="10"/>
      <c r="C43" s="10"/>
      <c r="D43" s="10"/>
      <c r="E43" s="10"/>
      <c r="F43" s="10"/>
      <c r="G43" s="10"/>
      <c r="H43" s="10"/>
      <c r="I43" s="10"/>
      <c r="J43" s="10"/>
      <c r="K43" s="10"/>
      <c r="L43" s="10"/>
      <c r="M43" s="10"/>
      <c r="N43" s="10"/>
      <c r="O43" s="10"/>
      <c r="P43" s="10"/>
      <c r="Q43" s="10"/>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85" zoomScaleNormal="85" workbookViewId="0">
      <selection activeCell="A12" sqref="A12:D12"/>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4" t="s">
        <v>33</v>
      </c>
      <c r="B1" s="25" t="s">
        <v>34</v>
      </c>
      <c r="C1" s="25" t="s">
        <v>35</v>
      </c>
      <c r="D1" s="26" t="s">
        <v>36</v>
      </c>
      <c r="E1" s="16"/>
      <c r="F1" s="16"/>
    </row>
    <row r="2" spans="1:7" ht="16.5" customHeight="1" x14ac:dyDescent="0.35">
      <c r="A2" s="1231" t="s">
        <v>37</v>
      </c>
      <c r="B2" s="1232"/>
      <c r="C2" s="1232"/>
      <c r="D2" s="1233"/>
      <c r="E2" s="16"/>
      <c r="F2" s="16"/>
    </row>
    <row r="3" spans="1:7" ht="148.4" customHeight="1" x14ac:dyDescent="0.35">
      <c r="A3" s="18" t="s">
        <v>849</v>
      </c>
      <c r="B3" s="14" t="s">
        <v>1743</v>
      </c>
      <c r="C3" s="14" t="s">
        <v>848</v>
      </c>
      <c r="D3" s="22" t="s">
        <v>914</v>
      </c>
    </row>
    <row r="4" spans="1:7" ht="85.5" customHeight="1" x14ac:dyDescent="0.35">
      <c r="A4" s="18" t="s">
        <v>1819</v>
      </c>
      <c r="B4" s="14" t="s">
        <v>1820</v>
      </c>
      <c r="C4" s="14" t="s">
        <v>916</v>
      </c>
      <c r="D4" s="22" t="s">
        <v>917</v>
      </c>
      <c r="E4" s="14" t="s">
        <v>917</v>
      </c>
      <c r="F4" s="14"/>
    </row>
    <row r="5" spans="1:7" ht="168" customHeight="1" x14ac:dyDescent="0.35">
      <c r="A5" s="18" t="s">
        <v>838</v>
      </c>
      <c r="B5" s="14" t="s">
        <v>839</v>
      </c>
      <c r="C5" s="14" t="s">
        <v>860</v>
      </c>
      <c r="D5" s="22" t="s">
        <v>917</v>
      </c>
      <c r="E5" s="14" t="s">
        <v>917</v>
      </c>
      <c r="F5" s="14"/>
    </row>
    <row r="6" spans="1:7" ht="101.5" customHeight="1" x14ac:dyDescent="0.35">
      <c r="A6" s="18" t="s">
        <v>840</v>
      </c>
      <c r="B6" s="14" t="s">
        <v>38</v>
      </c>
      <c r="C6" s="14" t="s">
        <v>39</v>
      </c>
      <c r="D6" s="22" t="s">
        <v>914</v>
      </c>
      <c r="E6" s="14"/>
      <c r="F6" s="14"/>
    </row>
    <row r="7" spans="1:7" ht="88" customHeight="1" x14ac:dyDescent="0.35">
      <c r="A7" s="18" t="s">
        <v>1822</v>
      </c>
      <c r="B7" s="14" t="s">
        <v>1823</v>
      </c>
      <c r="C7" s="14" t="s">
        <v>1827</v>
      </c>
      <c r="D7" s="22" t="s">
        <v>917</v>
      </c>
      <c r="E7" t="s">
        <v>917</v>
      </c>
      <c r="F7" s="14"/>
    </row>
    <row r="8" spans="1:7" ht="100.4" customHeight="1" x14ac:dyDescent="0.35">
      <c r="A8" s="18" t="s">
        <v>42</v>
      </c>
      <c r="B8" s="14" t="s">
        <v>43</v>
      </c>
      <c r="C8" s="27" t="s">
        <v>44</v>
      </c>
      <c r="D8" s="22" t="s">
        <v>917</v>
      </c>
      <c r="E8" s="29" t="s">
        <v>917</v>
      </c>
      <c r="F8" s="14"/>
      <c r="G8" s="28"/>
    </row>
    <row r="9" spans="1:7" ht="78" customHeight="1" x14ac:dyDescent="0.35">
      <c r="A9" s="18" t="s">
        <v>45</v>
      </c>
      <c r="B9" s="14" t="s">
        <v>46</v>
      </c>
      <c r="C9" s="14" t="s">
        <v>866</v>
      </c>
      <c r="D9" s="22" t="s">
        <v>917</v>
      </c>
      <c r="E9" s="14"/>
      <c r="F9" s="14"/>
    </row>
    <row r="10" spans="1:7" ht="67.5" customHeight="1" x14ac:dyDescent="0.35">
      <c r="A10" s="18" t="s">
        <v>814</v>
      </c>
      <c r="B10" s="14" t="s">
        <v>824</v>
      </c>
      <c r="C10" s="14" t="s">
        <v>878</v>
      </c>
      <c r="D10" s="22" t="s">
        <v>917</v>
      </c>
      <c r="E10" s="14" t="s">
        <v>917</v>
      </c>
      <c r="F10" s="14"/>
    </row>
    <row r="11" spans="1:7" ht="88" customHeight="1" x14ac:dyDescent="0.35">
      <c r="A11" s="18" t="s">
        <v>47</v>
      </c>
      <c r="B11" s="14" t="s">
        <v>2293</v>
      </c>
      <c r="C11" s="14" t="s">
        <v>841</v>
      </c>
      <c r="D11" s="15"/>
      <c r="E11" s="14" t="s">
        <v>917</v>
      </c>
      <c r="F11" s="14"/>
    </row>
    <row r="12" spans="1:7" ht="15" customHeight="1" x14ac:dyDescent="0.35">
      <c r="A12" s="1231" t="s">
        <v>842</v>
      </c>
      <c r="B12" s="1232"/>
      <c r="C12" s="1232"/>
      <c r="D12" s="1233"/>
      <c r="E12" s="16"/>
      <c r="F12" s="14"/>
    </row>
    <row r="13" spans="1:7" ht="29.9" customHeight="1" x14ac:dyDescent="0.35">
      <c r="A13" s="19" t="s">
        <v>9</v>
      </c>
      <c r="B13" s="1237" t="s">
        <v>844</v>
      </c>
      <c r="C13" s="1237"/>
      <c r="D13" s="23"/>
      <c r="E13" s="16"/>
      <c r="F13" s="14"/>
    </row>
    <row r="14" spans="1:7" ht="48.65" customHeight="1" x14ac:dyDescent="0.35">
      <c r="A14" s="17" t="s">
        <v>843</v>
      </c>
      <c r="B14" s="1237" t="s">
        <v>853</v>
      </c>
      <c r="C14" s="1237"/>
      <c r="D14" s="22"/>
      <c r="E14" s="16"/>
      <c r="F14" s="14"/>
    </row>
    <row r="15" spans="1:7" ht="48.65" customHeight="1" x14ac:dyDescent="0.35">
      <c r="A15" s="17" t="s">
        <v>845</v>
      </c>
      <c r="B15" s="1237" t="s">
        <v>846</v>
      </c>
      <c r="C15" s="1237"/>
      <c r="D15" s="15"/>
      <c r="E15" s="16"/>
      <c r="F15" s="14"/>
    </row>
    <row r="16" spans="1:7" x14ac:dyDescent="0.35">
      <c r="A16" s="1234" t="s">
        <v>59</v>
      </c>
      <c r="B16" s="1235"/>
      <c r="C16" s="1235"/>
      <c r="D16" s="1236"/>
      <c r="E16" s="14"/>
      <c r="F16" s="14"/>
    </row>
    <row r="17" spans="1:6" ht="36.65" customHeight="1" x14ac:dyDescent="0.35">
      <c r="A17" s="1229" t="s">
        <v>847</v>
      </c>
      <c r="B17" s="1230"/>
      <c r="C17" s="1230"/>
      <c r="D17" s="23"/>
      <c r="E17" s="14"/>
      <c r="F17" s="14"/>
    </row>
    <row r="18" spans="1:6" ht="145.5" customHeight="1" x14ac:dyDescent="0.35">
      <c r="A18" s="18" t="s">
        <v>60</v>
      </c>
      <c r="B18" s="14" t="s">
        <v>867</v>
      </c>
      <c r="C18" s="14" t="s">
        <v>873</v>
      </c>
      <c r="D18" s="22"/>
      <c r="E18" s="14"/>
      <c r="F18" s="14"/>
    </row>
    <row r="19" spans="1:6" ht="63.65" customHeight="1" x14ac:dyDescent="0.35">
      <c r="A19" s="18" t="s">
        <v>61</v>
      </c>
      <c r="B19" s="14" t="s">
        <v>868</v>
      </c>
      <c r="C19" s="14" t="s">
        <v>869</v>
      </c>
      <c r="D19" s="22"/>
      <c r="E19" s="14"/>
      <c r="F19" s="14"/>
    </row>
    <row r="20" spans="1:6" ht="63.65" customHeight="1" x14ac:dyDescent="0.35">
      <c r="A20" s="18" t="s">
        <v>870</v>
      </c>
      <c r="B20" s="14" t="s">
        <v>871</v>
      </c>
      <c r="C20" s="14" t="s">
        <v>872</v>
      </c>
      <c r="D20" s="22"/>
      <c r="E20" s="14"/>
      <c r="F20" s="14"/>
    </row>
    <row r="21" spans="1:6" ht="34.4" customHeight="1" x14ac:dyDescent="0.35">
      <c r="A21" s="1229" t="s">
        <v>821</v>
      </c>
      <c r="B21" s="1230"/>
      <c r="C21" s="1230"/>
      <c r="D21" s="15"/>
      <c r="E21" s="14"/>
      <c r="F21" s="14"/>
    </row>
    <row r="22" spans="1:6" x14ac:dyDescent="0.35">
      <c r="A22" s="1234" t="s">
        <v>62</v>
      </c>
      <c r="B22" s="1235"/>
      <c r="C22" s="1235"/>
      <c r="D22" s="1236"/>
      <c r="E22" s="14"/>
      <c r="F22" s="14"/>
    </row>
    <row r="23" spans="1:6" ht="29.15" customHeight="1" x14ac:dyDescent="0.35">
      <c r="A23" s="18" t="s">
        <v>63</v>
      </c>
      <c r="B23" s="14"/>
      <c r="C23" s="14" t="s">
        <v>64</v>
      </c>
      <c r="D23" s="23"/>
      <c r="E23" s="14"/>
      <c r="F23" s="14"/>
    </row>
    <row r="24" spans="1:6" ht="57.65" customHeight="1" x14ac:dyDescent="0.35">
      <c r="A24" s="18" t="s">
        <v>65</v>
      </c>
      <c r="B24" s="14" t="s">
        <v>66</v>
      </c>
      <c r="C24" s="14" t="s">
        <v>67</v>
      </c>
      <c r="D24" s="22"/>
      <c r="E24" s="14"/>
      <c r="F24" s="14"/>
    </row>
    <row r="25" spans="1:6" ht="29.15" customHeight="1" x14ac:dyDescent="0.35">
      <c r="A25" s="18" t="s">
        <v>68</v>
      </c>
      <c r="B25" s="14" t="s">
        <v>69</v>
      </c>
      <c r="C25" s="14" t="s">
        <v>859</v>
      </c>
      <c r="D25" s="22"/>
      <c r="E25" s="14"/>
      <c r="F25" s="14"/>
    </row>
    <row r="26" spans="1:6" ht="72" customHeight="1" x14ac:dyDescent="0.35">
      <c r="A26" s="20" t="s">
        <v>70</v>
      </c>
      <c r="B26" s="21" t="s">
        <v>71</v>
      </c>
      <c r="C26" s="21"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2" priority="1" operator="containsText" text="Yes">
      <formula>NOT(ISERROR(SEARCH("Yes",D3)))</formula>
    </cfRule>
  </conditionalFormatting>
  <conditionalFormatting sqref="D11 D13:D15">
    <cfRule type="containsText" dxfId="11" priority="6" operator="containsText" text="Yes">
      <formula>NOT(ISERROR(SEARCH("Yes",D11)))</formula>
    </cfRule>
  </conditionalFormatting>
  <conditionalFormatting sqref="D17:D21">
    <cfRule type="containsText" dxfId="10" priority="3" operator="containsText" text="Yes">
      <formula>NOT(ISERROR(SEARCH("Yes",D17)))</formula>
    </cfRule>
  </conditionalFormatting>
  <conditionalFormatting sqref="D23:D26">
    <cfRule type="containsText" dxfId="9"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2" activePane="bottomLeft" state="frozen"/>
      <selection pane="bottomLeft" activeCell="E4" sqref="E4"/>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4" t="s">
        <v>33</v>
      </c>
      <c r="B1" s="25" t="s">
        <v>34</v>
      </c>
      <c r="C1" s="25" t="s">
        <v>35</v>
      </c>
      <c r="D1" s="26" t="s">
        <v>36</v>
      </c>
      <c r="E1" s="30"/>
      <c r="F1" s="30"/>
    </row>
    <row r="2" spans="1:6" ht="16.5" customHeight="1" x14ac:dyDescent="0.35">
      <c r="A2" s="1231" t="s">
        <v>37</v>
      </c>
      <c r="B2" s="1232"/>
      <c r="C2" s="1232"/>
      <c r="D2" s="1233"/>
      <c r="E2" s="30"/>
      <c r="F2" s="30"/>
    </row>
    <row r="3" spans="1:6" ht="148.4" customHeight="1" x14ac:dyDescent="0.35">
      <c r="A3" s="18" t="s">
        <v>849</v>
      </c>
      <c r="B3" s="14" t="s">
        <v>1961</v>
      </c>
      <c r="C3" s="14" t="s">
        <v>848</v>
      </c>
      <c r="D3" s="22" t="s">
        <v>917</v>
      </c>
    </row>
    <row r="4" spans="1:6" ht="148.4" customHeight="1" x14ac:dyDescent="0.35">
      <c r="A4" s="18" t="s">
        <v>79</v>
      </c>
      <c r="B4" s="14" t="s">
        <v>40</v>
      </c>
      <c r="C4" s="14" t="s">
        <v>901</v>
      </c>
      <c r="D4" s="22" t="s">
        <v>917</v>
      </c>
      <c r="E4" s="14"/>
      <c r="F4" s="14"/>
    </row>
    <row r="5" spans="1:6" ht="61.5" customHeight="1" x14ac:dyDescent="0.35">
      <c r="A5" s="18" t="s">
        <v>73</v>
      </c>
      <c r="B5" s="14" t="s">
        <v>74</v>
      </c>
      <c r="C5" s="32" t="s">
        <v>44</v>
      </c>
      <c r="D5" s="22" t="s">
        <v>1957</v>
      </c>
    </row>
    <row r="6" spans="1:6" ht="78" customHeight="1" x14ac:dyDescent="0.35">
      <c r="A6" s="18" t="s">
        <v>45</v>
      </c>
      <c r="B6" s="14" t="s">
        <v>46</v>
      </c>
      <c r="C6" s="14" t="s">
        <v>1963</v>
      </c>
      <c r="D6" s="22" t="s">
        <v>1957</v>
      </c>
      <c r="E6" s="14"/>
      <c r="F6" s="14"/>
    </row>
    <row r="7" spans="1:6" ht="50.9" customHeight="1" x14ac:dyDescent="0.35">
      <c r="A7" s="18" t="s">
        <v>814</v>
      </c>
      <c r="B7" s="14" t="s">
        <v>824</v>
      </c>
      <c r="C7" s="14" t="s">
        <v>1430</v>
      </c>
      <c r="D7" s="22" t="s">
        <v>1957</v>
      </c>
      <c r="E7" s="16"/>
      <c r="F7" s="14"/>
    </row>
    <row r="8" spans="1:6" ht="78.650000000000006" customHeight="1" x14ac:dyDescent="0.35">
      <c r="A8" s="18" t="s">
        <v>75</v>
      </c>
      <c r="B8" s="14" t="s">
        <v>76</v>
      </c>
      <c r="C8" s="14" t="s">
        <v>77</v>
      </c>
      <c r="D8" s="22" t="s">
        <v>1957</v>
      </c>
      <c r="E8" s="16"/>
      <c r="F8" s="14"/>
    </row>
    <row r="9" spans="1:6" ht="96.65" customHeight="1" x14ac:dyDescent="0.35">
      <c r="A9" s="18" t="s">
        <v>47</v>
      </c>
      <c r="B9" s="14" t="s">
        <v>48</v>
      </c>
      <c r="C9" s="14" t="s">
        <v>841</v>
      </c>
      <c r="D9" s="22" t="s">
        <v>914</v>
      </c>
      <c r="E9" s="16"/>
      <c r="F9" s="14"/>
    </row>
    <row r="10" spans="1:6" ht="22.5" customHeight="1" x14ac:dyDescent="0.35">
      <c r="A10" s="1231" t="s">
        <v>842</v>
      </c>
      <c r="B10" s="1232"/>
      <c r="C10" s="1232"/>
      <c r="D10" s="1233"/>
      <c r="E10" s="16"/>
      <c r="F10" s="14"/>
    </row>
    <row r="11" spans="1:6" ht="22.5" customHeight="1" x14ac:dyDescent="0.35">
      <c r="A11" s="19" t="s">
        <v>75</v>
      </c>
      <c r="B11" s="1244" t="s">
        <v>851</v>
      </c>
      <c r="C11" s="1245"/>
      <c r="D11" s="31"/>
      <c r="E11" s="16"/>
      <c r="F11" s="14"/>
    </row>
    <row r="12" spans="1:6" ht="33" customHeight="1" x14ac:dyDescent="0.35">
      <c r="A12" s="19" t="s">
        <v>850</v>
      </c>
      <c r="B12" s="1237" t="s">
        <v>852</v>
      </c>
      <c r="C12" s="1237"/>
      <c r="D12" s="22"/>
      <c r="E12" s="14"/>
      <c r="F12" s="14"/>
    </row>
    <row r="13" spans="1:6" ht="39.65" customHeight="1" x14ac:dyDescent="0.35">
      <c r="A13" s="17" t="s">
        <v>843</v>
      </c>
      <c r="B13" s="1237" t="s">
        <v>853</v>
      </c>
      <c r="C13" s="1237"/>
      <c r="D13" s="22"/>
    </row>
    <row r="14" spans="1:6" ht="38.9" customHeight="1" x14ac:dyDescent="0.35">
      <c r="A14" s="17" t="s">
        <v>845</v>
      </c>
      <c r="B14" s="1237" t="s">
        <v>846</v>
      </c>
      <c r="C14" s="1237"/>
      <c r="D14" s="22"/>
    </row>
    <row r="15" spans="1:6" ht="20.149999999999999" customHeight="1" x14ac:dyDescent="0.35">
      <c r="A15" s="1234" t="s">
        <v>59</v>
      </c>
      <c r="B15" s="1235"/>
      <c r="C15" s="1235"/>
      <c r="D15" s="1236"/>
    </row>
    <row r="16" spans="1:6" ht="24.65" customHeight="1" x14ac:dyDescent="0.35">
      <c r="A16" s="1238" t="s">
        <v>822</v>
      </c>
      <c r="B16" s="1239"/>
      <c r="C16" s="1240"/>
      <c r="D16" s="22"/>
    </row>
    <row r="17" spans="1:7" ht="101.9" customHeight="1" x14ac:dyDescent="0.35">
      <c r="A17" s="17" t="s">
        <v>60</v>
      </c>
      <c r="B17" s="33" t="s">
        <v>867</v>
      </c>
      <c r="C17" s="33" t="s">
        <v>873</v>
      </c>
      <c r="D17" s="34"/>
      <c r="E17" s="33"/>
      <c r="F17" s="33"/>
      <c r="G17" s="33"/>
    </row>
    <row r="18" spans="1:7" ht="101.15" customHeight="1" x14ac:dyDescent="0.35">
      <c r="A18" s="17" t="s">
        <v>61</v>
      </c>
      <c r="B18" s="33" t="s">
        <v>868</v>
      </c>
      <c r="C18" s="33" t="s">
        <v>869</v>
      </c>
      <c r="D18" s="34"/>
      <c r="E18" s="33"/>
      <c r="F18" s="33"/>
      <c r="G18" s="33"/>
    </row>
    <row r="19" spans="1:7" ht="57.65" customHeight="1" x14ac:dyDescent="0.35">
      <c r="A19" s="17" t="s">
        <v>870</v>
      </c>
      <c r="B19" s="33" t="s">
        <v>871</v>
      </c>
      <c r="C19" s="33" t="s">
        <v>872</v>
      </c>
      <c r="D19" s="34"/>
      <c r="E19" s="33"/>
      <c r="F19" s="33"/>
      <c r="G19" s="33"/>
    </row>
    <row r="20" spans="1:7" ht="37.5" customHeight="1" x14ac:dyDescent="0.35">
      <c r="A20" s="1241" t="s">
        <v>821</v>
      </c>
      <c r="B20" s="1242"/>
      <c r="C20" s="1243"/>
      <c r="D20" s="22"/>
    </row>
    <row r="21" spans="1:7" x14ac:dyDescent="0.35">
      <c r="A21" s="1234" t="s">
        <v>62</v>
      </c>
      <c r="B21" s="1235"/>
      <c r="C21" s="1235"/>
      <c r="D21" s="1236"/>
    </row>
    <row r="22" spans="1:7" ht="29.15" customHeight="1" x14ac:dyDescent="0.35">
      <c r="A22" s="18" t="s">
        <v>63</v>
      </c>
      <c r="B22" s="14" t="s">
        <v>78</v>
      </c>
      <c r="C22" s="14" t="s">
        <v>64</v>
      </c>
      <c r="D22" s="22"/>
    </row>
    <row r="23" spans="1:7" ht="72" customHeight="1" x14ac:dyDescent="0.35">
      <c r="A23" s="18" t="s">
        <v>65</v>
      </c>
      <c r="B23" s="14" t="s">
        <v>66</v>
      </c>
      <c r="C23" s="14" t="s">
        <v>67</v>
      </c>
      <c r="D23" s="22"/>
    </row>
    <row r="24" spans="1:7" ht="29.15" customHeight="1" x14ac:dyDescent="0.35">
      <c r="A24" s="18" t="s">
        <v>68</v>
      </c>
      <c r="B24" s="14" t="s">
        <v>69</v>
      </c>
      <c r="C24" s="14" t="s">
        <v>859</v>
      </c>
      <c r="D24" s="22"/>
    </row>
    <row r="25" spans="1:7" ht="101.15" customHeight="1" x14ac:dyDescent="0.35">
      <c r="A25" s="20" t="s">
        <v>70</v>
      </c>
      <c r="B25" s="21" t="s">
        <v>71</v>
      </c>
      <c r="C25" s="21"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8" priority="6" operator="containsText" text="Yes">
      <formula>NOT(ISERROR(SEARCH("Yes",D3)))</formula>
    </cfRule>
  </conditionalFormatting>
  <conditionalFormatting sqref="D12:D14">
    <cfRule type="containsText" dxfId="7" priority="3" operator="containsText" text="Yes">
      <formula>NOT(ISERROR(SEARCH("Yes",D12)))</formula>
    </cfRule>
  </conditionalFormatting>
  <conditionalFormatting sqref="D16 D20 D22:D137">
    <cfRule type="containsText" dxfId="6"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4" sqref="E4"/>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1907</v>
      </c>
      <c r="E2" s="48" t="s">
        <v>1908</v>
      </c>
      <c r="F2" s="48" t="s">
        <v>1924</v>
      </c>
      <c r="G2" s="48" t="s">
        <v>1925</v>
      </c>
      <c r="H2" s="29"/>
    </row>
    <row r="3" spans="1:11" x14ac:dyDescent="0.35">
      <c r="B3" s="43" t="s">
        <v>91</v>
      </c>
      <c r="C3" s="43" t="str">
        <f>'Haver Pivoted'!A2</f>
        <v>gdp</v>
      </c>
      <c r="D3">
        <v>27610.1</v>
      </c>
      <c r="E3" s="43">
        <f>'Haver Pivoted'!HH2</f>
        <v>27967.7</v>
      </c>
      <c r="F3" s="43">
        <f>E3-D3</f>
        <v>357.60000000000218</v>
      </c>
      <c r="G3" s="49">
        <f>F3/D3</f>
        <v>1.2951782137696068E-2</v>
      </c>
      <c r="H3" s="50"/>
    </row>
    <row r="4" spans="1:11" x14ac:dyDescent="0.35">
      <c r="B4" s="43" t="s">
        <v>92</v>
      </c>
      <c r="C4" s="43" t="str">
        <f>'Haver Pivoted'!A3</f>
        <v>gdph</v>
      </c>
      <c r="D4">
        <v>22490.7</v>
      </c>
      <c r="E4" s="43">
        <f>'Haver Pivoted'!HH3</f>
        <v>22780.9</v>
      </c>
      <c r="F4" s="43">
        <f t="shared" ref="F4:F67" si="0">E4-D4</f>
        <v>290.20000000000073</v>
      </c>
      <c r="G4" s="49">
        <f t="shared" ref="G4:G67" si="1">F4/D4</f>
        <v>1.2903111063684133E-2</v>
      </c>
      <c r="H4" s="50"/>
    </row>
    <row r="5" spans="1:11" x14ac:dyDescent="0.35">
      <c r="B5" s="43" t="s">
        <v>93</v>
      </c>
      <c r="C5" s="43" t="str">
        <f>'Haver Pivoted'!A4</f>
        <v>jgdp</v>
      </c>
      <c r="D5">
        <v>122.792</v>
      </c>
      <c r="E5" s="43">
        <f>'Haver Pivoted'!HH4</f>
        <v>122.785</v>
      </c>
      <c r="F5" s="43">
        <f t="shared" si="0"/>
        <v>-7.0000000000050022E-3</v>
      </c>
      <c r="G5" s="49">
        <f t="shared" si="1"/>
        <v>-5.7006971138225632E-5</v>
      </c>
      <c r="H5" s="51"/>
    </row>
    <row r="6" spans="1:11" x14ac:dyDescent="0.35">
      <c r="B6" s="43" t="s">
        <v>94</v>
      </c>
      <c r="C6" s="43" t="str">
        <f>'Haver Pivoted'!A5</f>
        <v>c</v>
      </c>
      <c r="D6">
        <v>18679.5</v>
      </c>
      <c r="E6" s="43">
        <f>'Haver Pivoted'!HH5</f>
        <v>18929</v>
      </c>
      <c r="F6" s="43">
        <f t="shared" si="0"/>
        <v>249.5</v>
      </c>
      <c r="G6" s="49">
        <f t="shared" si="1"/>
        <v>1.3356888567681148E-2</v>
      </c>
    </row>
    <row r="7" spans="1:11" x14ac:dyDescent="0.35">
      <c r="B7" s="43" t="s">
        <v>95</v>
      </c>
      <c r="C7" s="43" t="str">
        <f>'Haver Pivoted'!A6</f>
        <v>ch</v>
      </c>
      <c r="D7">
        <v>15461.4</v>
      </c>
      <c r="E7" s="43">
        <f>'Haver Pivoted'!HH6</f>
        <v>15646.7</v>
      </c>
      <c r="F7" s="43">
        <f t="shared" si="0"/>
        <v>185.30000000000109</v>
      </c>
      <c r="G7" s="49">
        <f t="shared" si="1"/>
        <v>1.198468443996023E-2</v>
      </c>
      <c r="K7" s="51"/>
    </row>
    <row r="8" spans="1:11" x14ac:dyDescent="0.35">
      <c r="B8" s="43" t="s">
        <v>96</v>
      </c>
      <c r="C8" s="43" t="str">
        <f>'Haver Pivoted'!A7</f>
        <v>jc</v>
      </c>
      <c r="D8">
        <v>120.81399999999999</v>
      </c>
      <c r="E8" s="43">
        <f>'Haver Pivoted'!HH7</f>
        <v>120.983</v>
      </c>
      <c r="F8" s="43">
        <f t="shared" si="0"/>
        <v>0.16900000000001114</v>
      </c>
      <c r="G8" s="49">
        <f t="shared" si="1"/>
        <v>1.3988445047760289E-3</v>
      </c>
    </row>
    <row r="9" spans="1:11" x14ac:dyDescent="0.35">
      <c r="B9" s="43" t="s">
        <v>97</v>
      </c>
      <c r="C9" s="43" t="str">
        <f>'Haver Pivoted'!A8</f>
        <v>jgf</v>
      </c>
      <c r="D9">
        <v>120.09699999999999</v>
      </c>
      <c r="E9" s="43">
        <f>'Haver Pivoted'!HH8</f>
        <v>120.759</v>
      </c>
      <c r="F9" s="43">
        <f t="shared" si="0"/>
        <v>0.66200000000000614</v>
      </c>
      <c r="G9" s="49">
        <f t="shared" si="1"/>
        <v>5.5122109628051169E-3</v>
      </c>
    </row>
    <row r="10" spans="1:11" x14ac:dyDescent="0.35">
      <c r="B10" s="43" t="s">
        <v>98</v>
      </c>
      <c r="C10" s="43" t="str">
        <f>'Haver Pivoted'!A9</f>
        <v>jgs</v>
      </c>
      <c r="D10">
        <v>127.717</v>
      </c>
      <c r="E10" s="43">
        <f>'Haver Pivoted'!HH9</f>
        <v>126.041</v>
      </c>
      <c r="F10" s="43">
        <f t="shared" si="0"/>
        <v>-1.6760000000000019</v>
      </c>
      <c r="G10" s="49">
        <f t="shared" si="1"/>
        <v>-1.3122763610169374E-2</v>
      </c>
    </row>
    <row r="11" spans="1:11" x14ac:dyDescent="0.35">
      <c r="B11" s="43" t="s">
        <v>99</v>
      </c>
      <c r="C11" s="43" t="str">
        <f>'Haver Pivoted'!A10</f>
        <v>jgse</v>
      </c>
      <c r="D11">
        <v>127.176</v>
      </c>
      <c r="E11" s="43">
        <f>'Haver Pivoted'!HH10</f>
        <v>124.699</v>
      </c>
      <c r="F11" s="43">
        <f t="shared" si="0"/>
        <v>-2.4770000000000039</v>
      </c>
      <c r="G11" s="49">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49">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49">
        <f t="shared" si="1"/>
        <v>7.7776603614075901E-2</v>
      </c>
      <c r="I13" s="52"/>
    </row>
    <row r="14" spans="1:11" x14ac:dyDescent="0.35">
      <c r="A14" s="43" t="s">
        <v>54</v>
      </c>
      <c r="B14" s="43" t="s">
        <v>101</v>
      </c>
      <c r="C14" s="43" t="str">
        <f>'Haver Pivoted'!A13</f>
        <v>yptmd</v>
      </c>
      <c r="D14">
        <v>880.6</v>
      </c>
      <c r="E14" s="43">
        <f>'Haver Pivoted'!HH13</f>
        <v>867.2</v>
      </c>
      <c r="F14" s="43">
        <f t="shared" si="0"/>
        <v>-13.399999999999977</v>
      </c>
      <c r="G14" s="49">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49">
        <f t="shared" si="1"/>
        <v>0.65238095238095251</v>
      </c>
    </row>
    <row r="16" spans="1:11" x14ac:dyDescent="0.35">
      <c r="B16" s="43" t="s">
        <v>57</v>
      </c>
      <c r="C16" s="43" t="str">
        <f>'Haver Pivoted'!A15</f>
        <v>gtfp</v>
      </c>
      <c r="D16">
        <v>3987.8</v>
      </c>
      <c r="E16" s="43">
        <f>'Haver Pivoted'!HH15</f>
        <v>4147.5</v>
      </c>
      <c r="F16" s="43">
        <f t="shared" si="0"/>
        <v>159.69999999999982</v>
      </c>
      <c r="G16" s="49">
        <f t="shared" si="1"/>
        <v>4.0047143788555048E-2</v>
      </c>
    </row>
    <row r="17" spans="1:7" x14ac:dyDescent="0.35">
      <c r="B17" s="43" t="s">
        <v>103</v>
      </c>
      <c r="C17" s="43" t="str">
        <f>'Haver Pivoted'!A16</f>
        <v>ypog</v>
      </c>
      <c r="D17">
        <v>131.19999999999999</v>
      </c>
      <c r="E17" s="43">
        <f>'Haver Pivoted'!HH16</f>
        <v>136</v>
      </c>
      <c r="F17" s="43">
        <f t="shared" si="0"/>
        <v>4.8000000000000114</v>
      </c>
      <c r="G17" s="49">
        <f t="shared" si="1"/>
        <v>3.6585365853658625E-2</v>
      </c>
    </row>
    <row r="18" spans="1:7" x14ac:dyDescent="0.35">
      <c r="B18" s="43" t="s">
        <v>104</v>
      </c>
      <c r="C18" s="43" t="str">
        <f>'Haver Pivoted'!A17</f>
        <v>yptx</v>
      </c>
      <c r="D18">
        <v>2765.3</v>
      </c>
      <c r="E18" s="43">
        <f>'Haver Pivoted'!HH17</f>
        <v>2866</v>
      </c>
      <c r="F18" s="43">
        <f t="shared" si="0"/>
        <v>100.69999999999982</v>
      </c>
      <c r="G18" s="49">
        <f t="shared" si="1"/>
        <v>3.6415578779879151E-2</v>
      </c>
    </row>
    <row r="19" spans="1:7" x14ac:dyDescent="0.35">
      <c r="B19" s="43" t="s">
        <v>105</v>
      </c>
      <c r="C19" s="43" t="str">
        <f>'Haver Pivoted'!A18</f>
        <v>ytpi</v>
      </c>
      <c r="D19">
        <v>1830.7</v>
      </c>
      <c r="E19" s="43">
        <f>'Haver Pivoted'!HH18</f>
        <v>1896.2</v>
      </c>
      <c r="F19" s="43">
        <f t="shared" si="0"/>
        <v>65.5</v>
      </c>
      <c r="G19" s="49">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49">
        <f t="shared" si="1"/>
        <v>9.0171166401976185E-2</v>
      </c>
    </row>
    <row r="21" spans="1:7" x14ac:dyDescent="0.35">
      <c r="B21" s="43" t="s">
        <v>107</v>
      </c>
      <c r="C21" s="43" t="str">
        <f>'Haver Pivoted'!A20</f>
        <v>g</v>
      </c>
      <c r="D21">
        <v>4794.8</v>
      </c>
      <c r="E21" s="43">
        <f>'Haver Pivoted'!HH20</f>
        <v>4756.3999999999996</v>
      </c>
      <c r="F21" s="43">
        <f t="shared" si="0"/>
        <v>-38.400000000000546</v>
      </c>
      <c r="G21" s="49">
        <f t="shared" si="1"/>
        <v>-8.0086760657379959E-3</v>
      </c>
    </row>
    <row r="22" spans="1:7" x14ac:dyDescent="0.35">
      <c r="B22" s="43" t="s">
        <v>108</v>
      </c>
      <c r="C22" s="43" t="str">
        <f>'Haver Pivoted'!A21</f>
        <v>grcsi</v>
      </c>
      <c r="D22">
        <v>1823.3</v>
      </c>
      <c r="E22" s="43">
        <f>'Haver Pivoted'!HH21</f>
        <v>1839.3</v>
      </c>
      <c r="F22" s="43">
        <f t="shared" si="0"/>
        <v>16</v>
      </c>
      <c r="G22" s="49">
        <f t="shared" si="1"/>
        <v>8.7752975374321279E-3</v>
      </c>
    </row>
    <row r="23" spans="1:7" x14ac:dyDescent="0.35">
      <c r="B23" s="43" t="s">
        <v>96</v>
      </c>
      <c r="C23" s="43" t="str">
        <f>'Haver Pivoted'!A22</f>
        <v>dc</v>
      </c>
      <c r="D23">
        <v>120.81399999999999</v>
      </c>
      <c r="E23" s="43">
        <f>'Haver Pivoted'!HH22</f>
        <v>120.97799999999999</v>
      </c>
      <c r="F23" s="43">
        <f t="shared" si="0"/>
        <v>0.16400000000000148</v>
      </c>
      <c r="G23" s="49">
        <f t="shared" si="1"/>
        <v>1.3574585726819862E-3</v>
      </c>
    </row>
    <row r="24" spans="1:7" x14ac:dyDescent="0.35">
      <c r="A24" s="43" t="s">
        <v>109</v>
      </c>
      <c r="B24" s="43" t="s">
        <v>110</v>
      </c>
      <c r="C24" s="43" t="str">
        <f>'Haver Pivoted'!A23</f>
        <v>gf</v>
      </c>
      <c r="D24">
        <v>1791.9</v>
      </c>
      <c r="E24" s="43">
        <f>'Haver Pivoted'!HH23</f>
        <v>1780.9</v>
      </c>
      <c r="F24" s="43">
        <f t="shared" si="0"/>
        <v>-11</v>
      </c>
      <c r="G24" s="49">
        <f t="shared" si="1"/>
        <v>-6.1387354205033762E-3</v>
      </c>
    </row>
    <row r="25" spans="1:7" x14ac:dyDescent="0.35">
      <c r="A25" s="43" t="s">
        <v>109</v>
      </c>
      <c r="B25" s="43" t="s">
        <v>111</v>
      </c>
      <c r="C25" s="43" t="str">
        <f>'Haver Pivoted'!A24</f>
        <v>gs</v>
      </c>
      <c r="D25">
        <v>3002.9</v>
      </c>
      <c r="E25" s="43">
        <f>'Haver Pivoted'!HH24</f>
        <v>2975.5</v>
      </c>
      <c r="F25" s="43">
        <f t="shared" si="0"/>
        <v>-27.400000000000091</v>
      </c>
      <c r="G25" s="49">
        <f t="shared" si="1"/>
        <v>-9.1245129707949284E-3</v>
      </c>
    </row>
    <row r="26" spans="1:7" x14ac:dyDescent="0.35">
      <c r="B26" s="43" t="s">
        <v>112</v>
      </c>
      <c r="C26" s="43" t="str">
        <f>'Haver Pivoted'!A25</f>
        <v>gfh</v>
      </c>
      <c r="D26">
        <v>1492.3</v>
      </c>
      <c r="E26" s="43">
        <f>'Haver Pivoted'!HH25</f>
        <v>1474.8</v>
      </c>
      <c r="F26" s="43">
        <f t="shared" si="0"/>
        <v>-17.5</v>
      </c>
      <c r="G26" s="49">
        <f t="shared" si="1"/>
        <v>-1.1726864571466863E-2</v>
      </c>
    </row>
    <row r="27" spans="1:7" x14ac:dyDescent="0.35">
      <c r="B27" s="43" t="s">
        <v>113</v>
      </c>
      <c r="C27" s="43" t="str">
        <f>'Haver Pivoted'!A26</f>
        <v>gsh</v>
      </c>
      <c r="D27">
        <v>2351.4</v>
      </c>
      <c r="E27" s="43">
        <f>'Haver Pivoted'!HH26</f>
        <v>2360.8000000000002</v>
      </c>
      <c r="F27" s="43">
        <f t="shared" si="0"/>
        <v>9.4000000000000909</v>
      </c>
      <c r="G27" s="49">
        <f t="shared" si="1"/>
        <v>3.9976184400782894E-3</v>
      </c>
    </row>
    <row r="28" spans="1:7" x14ac:dyDescent="0.35">
      <c r="A28" s="43" t="s">
        <v>58</v>
      </c>
      <c r="B28" s="43" t="s">
        <v>114</v>
      </c>
      <c r="C28" s="43" t="s">
        <v>115</v>
      </c>
      <c r="D28">
        <v>2188.6999999999998</v>
      </c>
      <c r="E28" s="43">
        <f>'Haver Pivoted'!HH27</f>
        <v>2260.5</v>
      </c>
      <c r="F28" s="43">
        <f t="shared" si="0"/>
        <v>71.800000000000182</v>
      </c>
      <c r="G28" s="49">
        <f t="shared" si="1"/>
        <v>3.2804861333211581E-2</v>
      </c>
    </row>
    <row r="29" spans="1:7" x14ac:dyDescent="0.35">
      <c r="A29" s="43" t="s">
        <v>58</v>
      </c>
      <c r="B29" s="43" t="s">
        <v>116</v>
      </c>
      <c r="C29" s="43" t="s">
        <v>117</v>
      </c>
      <c r="D29">
        <v>171.6</v>
      </c>
      <c r="E29" s="43">
        <f>'Haver Pivoted'!HH28</f>
        <v>172.2</v>
      </c>
      <c r="F29" s="43">
        <f t="shared" si="0"/>
        <v>0.59999999999999432</v>
      </c>
      <c r="G29" s="49">
        <f t="shared" si="1"/>
        <v>3.4965034965034635E-3</v>
      </c>
    </row>
    <row r="30" spans="1:7" x14ac:dyDescent="0.35">
      <c r="A30" s="43" t="s">
        <v>58</v>
      </c>
      <c r="B30" s="43" t="s">
        <v>118</v>
      </c>
      <c r="C30" s="43" t="s">
        <v>119</v>
      </c>
      <c r="D30">
        <v>418</v>
      </c>
      <c r="E30" s="43">
        <f>'Haver Pivoted'!HH29</f>
        <v>451.9</v>
      </c>
      <c r="F30" s="43">
        <f t="shared" si="0"/>
        <v>33.899999999999977</v>
      </c>
      <c r="G30" s="49">
        <f t="shared" si="1"/>
        <v>8.1100478468899465E-2</v>
      </c>
    </row>
    <row r="31" spans="1:7" x14ac:dyDescent="0.35">
      <c r="A31" s="43" t="s">
        <v>58</v>
      </c>
      <c r="B31" s="43" t="s">
        <v>120</v>
      </c>
      <c r="C31" s="43" t="s">
        <v>121</v>
      </c>
      <c r="D31">
        <v>1801.4</v>
      </c>
      <c r="E31" s="43">
        <f>'Haver Pivoted'!HH30</f>
        <v>1818</v>
      </c>
      <c r="F31" s="43">
        <f t="shared" si="0"/>
        <v>16.599999999999909</v>
      </c>
      <c r="G31" s="49">
        <f t="shared" si="1"/>
        <v>9.2150549572554176E-3</v>
      </c>
    </row>
    <row r="32" spans="1:7" x14ac:dyDescent="0.35">
      <c r="A32" s="43" t="s">
        <v>122</v>
      </c>
      <c r="B32" s="43" t="s">
        <v>123</v>
      </c>
      <c r="C32" s="43" t="str">
        <f>'Haver Pivoted'!A31</f>
        <v>gftfp</v>
      </c>
      <c r="D32">
        <v>2930.1</v>
      </c>
      <c r="E32" s="43">
        <f>'Haver Pivoted'!HH31</f>
        <v>3078</v>
      </c>
      <c r="F32" s="43">
        <f t="shared" si="0"/>
        <v>147.90000000000009</v>
      </c>
      <c r="G32" s="49">
        <f t="shared" si="1"/>
        <v>5.0476092966110407E-2</v>
      </c>
    </row>
    <row r="33" spans="1:10" x14ac:dyDescent="0.35">
      <c r="A33" s="43" t="s">
        <v>51</v>
      </c>
      <c r="B33" s="42" t="s">
        <v>124</v>
      </c>
      <c r="C33" s="43" t="str">
        <f>'Haver Pivoted'!A32</f>
        <v>gfeg</v>
      </c>
      <c r="D33">
        <v>918.5</v>
      </c>
      <c r="E33" s="43">
        <f>'Haver Pivoted'!HH32</f>
        <v>915.6</v>
      </c>
      <c r="F33" s="43">
        <f t="shared" si="0"/>
        <v>-2.8999999999999773</v>
      </c>
      <c r="G33" s="49">
        <f t="shared" si="1"/>
        <v>-3.157321720195947E-3</v>
      </c>
    </row>
    <row r="34" spans="1:10" x14ac:dyDescent="0.35">
      <c r="A34" s="43" t="s">
        <v>58</v>
      </c>
      <c r="B34" s="43" t="s">
        <v>125</v>
      </c>
      <c r="C34" s="43" t="str">
        <f>'Haver Pivoted'!A33</f>
        <v>gsrpt</v>
      </c>
      <c r="D34">
        <v>576.6</v>
      </c>
      <c r="E34" s="43">
        <f>'Haver Pivoted'!HH33</f>
        <v>605.5</v>
      </c>
      <c r="F34" s="43">
        <f t="shared" si="0"/>
        <v>28.899999999999977</v>
      </c>
      <c r="G34" s="49">
        <f t="shared" si="1"/>
        <v>5.0121401318071412E-2</v>
      </c>
    </row>
    <row r="35" spans="1:10" x14ac:dyDescent="0.35">
      <c r="A35" s="43" t="s">
        <v>58</v>
      </c>
      <c r="B35" s="43" t="s">
        <v>126</v>
      </c>
      <c r="C35" s="43" t="str">
        <f>'Haver Pivoted'!A34</f>
        <v>gsrpri</v>
      </c>
      <c r="D35">
        <v>1659.2</v>
      </c>
      <c r="E35" s="43">
        <f>'Haver Pivoted'!HH34</f>
        <v>1724</v>
      </c>
      <c r="F35" s="43">
        <f t="shared" si="0"/>
        <v>64.799999999999955</v>
      </c>
      <c r="G35" s="49">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49">
        <f t="shared" si="1"/>
        <v>0.11566913248150651</v>
      </c>
    </row>
    <row r="37" spans="1:10" x14ac:dyDescent="0.35">
      <c r="A37" s="43" t="s">
        <v>58</v>
      </c>
      <c r="B37" s="43" t="s">
        <v>128</v>
      </c>
      <c r="C37" s="43" t="str">
        <f>'Haver Pivoted'!A36</f>
        <v>gsrs</v>
      </c>
      <c r="D37">
        <v>21.9</v>
      </c>
      <c r="E37" s="43">
        <f>'Haver Pivoted'!HH36</f>
        <v>21.2</v>
      </c>
      <c r="F37" s="43">
        <f t="shared" si="0"/>
        <v>-0.69999999999999929</v>
      </c>
      <c r="G37" s="49">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49">
        <f t="shared" si="1"/>
        <v>1.1157337367624984E-2</v>
      </c>
    </row>
    <row r="39" spans="1:10" x14ac:dyDescent="0.35">
      <c r="B39" s="43" t="s">
        <v>130</v>
      </c>
      <c r="C39" s="43" t="str">
        <f>'Haver Pivoted'!A38</f>
        <v>gset</v>
      </c>
      <c r="D39">
        <v>3985.3</v>
      </c>
      <c r="E39" s="43">
        <f>'Haver Pivoted'!HH38</f>
        <v>3944.8</v>
      </c>
      <c r="F39" s="43">
        <f t="shared" si="0"/>
        <v>-40.5</v>
      </c>
      <c r="G39" s="49">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49">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49">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49">
        <f t="shared" si="1"/>
        <v>2.5139510470191629E-2</v>
      </c>
    </row>
    <row r="43" spans="1:10" x14ac:dyDescent="0.35">
      <c r="B43" s="43" t="s">
        <v>135</v>
      </c>
      <c r="C43" s="43" t="str">
        <f>'Haver Pivoted'!A42</f>
        <v>gfsub</v>
      </c>
      <c r="D43">
        <v>102.4</v>
      </c>
      <c r="E43" s="43">
        <f>'Haver Pivoted'!HH42</f>
        <v>104</v>
      </c>
      <c r="F43" s="43">
        <f t="shared" si="0"/>
        <v>1.5999999999999943</v>
      </c>
      <c r="G43" s="49">
        <f t="shared" si="1"/>
        <v>1.5624999999999944E-2</v>
      </c>
      <c r="I43" s="53"/>
      <c r="J43" s="50"/>
    </row>
    <row r="44" spans="1:10" x14ac:dyDescent="0.35">
      <c r="B44" s="43" t="s">
        <v>136</v>
      </c>
      <c r="C44" s="43" t="str">
        <f>'Haver Pivoted'!A43</f>
        <v>gssub</v>
      </c>
      <c r="D44">
        <v>0.7</v>
      </c>
      <c r="E44" s="43">
        <f>'Haver Pivoted'!HH43</f>
        <v>0.7</v>
      </c>
      <c r="F44" s="43">
        <f t="shared" si="0"/>
        <v>0</v>
      </c>
      <c r="G44" s="49">
        <f t="shared" si="1"/>
        <v>0</v>
      </c>
      <c r="I44" s="44"/>
      <c r="J44" s="50"/>
    </row>
    <row r="45" spans="1:10" x14ac:dyDescent="0.35">
      <c r="B45" s="43" t="s">
        <v>52</v>
      </c>
      <c r="C45" s="43" t="str">
        <f>'Haver Pivoted'!A44</f>
        <v>gsub</v>
      </c>
      <c r="D45">
        <v>103.1</v>
      </c>
      <c r="E45" s="43">
        <f>'Haver Pivoted'!HH44</f>
        <v>104.7</v>
      </c>
      <c r="F45" s="43">
        <f t="shared" si="0"/>
        <v>1.6000000000000085</v>
      </c>
      <c r="G45" s="49">
        <f t="shared" si="1"/>
        <v>1.551891367604276E-2</v>
      </c>
      <c r="I45" s="44"/>
      <c r="J45" s="51"/>
    </row>
    <row r="46" spans="1:10" x14ac:dyDescent="0.35">
      <c r="A46" s="43" t="s">
        <v>56</v>
      </c>
      <c r="B46" s="43" t="s">
        <v>56</v>
      </c>
      <c r="C46" s="43" t="str">
        <f>'Haver Pivoted'!A45</f>
        <v>gftfpe</v>
      </c>
      <c r="D46">
        <v>0</v>
      </c>
      <c r="E46" s="43">
        <f>'Haver Pivoted'!HH45</f>
        <v>0</v>
      </c>
      <c r="F46" s="43">
        <f t="shared" si="0"/>
        <v>0</v>
      </c>
      <c r="G46" s="49" t="e">
        <f t="shared" si="1"/>
        <v>#DIV/0!</v>
      </c>
      <c r="I46" s="44"/>
      <c r="J46" s="51"/>
    </row>
    <row r="47" spans="1:10" x14ac:dyDescent="0.35">
      <c r="B47" s="43" t="s">
        <v>137</v>
      </c>
      <c r="C47" s="43" t="str">
        <f>'Haver Pivoted'!A46</f>
        <v>gftfpr</v>
      </c>
      <c r="D47">
        <v>0</v>
      </c>
      <c r="E47" s="43">
        <f>'Haver Pivoted'!HH46</f>
        <v>0</v>
      </c>
      <c r="F47" s="43">
        <f t="shared" si="0"/>
        <v>0</v>
      </c>
      <c r="G47" s="49" t="e">
        <f t="shared" si="1"/>
        <v>#DIV/0!</v>
      </c>
      <c r="I47" s="44"/>
      <c r="J47" s="51"/>
    </row>
    <row r="48" spans="1:10" x14ac:dyDescent="0.35">
      <c r="A48" s="43" t="s">
        <v>50</v>
      </c>
      <c r="B48" s="43" t="s">
        <v>138</v>
      </c>
      <c r="C48" s="43" t="str">
        <f>'Haver Pivoted'!A47</f>
        <v>gftfpp</v>
      </c>
      <c r="D48">
        <v>0</v>
      </c>
      <c r="E48" s="43">
        <f>'Haver Pivoted'!HH47</f>
        <v>0</v>
      </c>
      <c r="F48" s="43">
        <f t="shared" si="0"/>
        <v>0</v>
      </c>
      <c r="G48" s="49" t="e">
        <f t="shared" si="1"/>
        <v>#DIV/0!</v>
      </c>
      <c r="J48" s="51"/>
    </row>
    <row r="49" spans="1:9" x14ac:dyDescent="0.35">
      <c r="A49" s="43" t="s">
        <v>49</v>
      </c>
      <c r="B49" s="43" t="s">
        <v>139</v>
      </c>
      <c r="C49" s="43" t="str">
        <f>'Haver Pivoted'!A48</f>
        <v>gftfpv</v>
      </c>
      <c r="D49">
        <v>0</v>
      </c>
      <c r="E49" s="43">
        <f>'Haver Pivoted'!HH48</f>
        <v>0</v>
      </c>
      <c r="F49" s="43">
        <f t="shared" si="0"/>
        <v>0</v>
      </c>
      <c r="G49" s="49" t="e">
        <f t="shared" si="1"/>
        <v>#DIV/0!</v>
      </c>
      <c r="H49" s="45"/>
      <c r="I49" s="45"/>
    </row>
    <row r="50" spans="1:9" x14ac:dyDescent="0.35">
      <c r="A50" s="43" t="s">
        <v>140</v>
      </c>
      <c r="B50" s="40" t="s">
        <v>141</v>
      </c>
      <c r="C50" s="43" t="str">
        <f>'Haver Pivoted'!A49</f>
        <v>gfsubp</v>
      </c>
      <c r="D50">
        <v>0</v>
      </c>
      <c r="E50" s="43">
        <f>'Haver Pivoted'!HH49</f>
        <v>0</v>
      </c>
      <c r="F50" s="43">
        <f t="shared" si="0"/>
        <v>0</v>
      </c>
      <c r="G50" s="49" t="e">
        <f t="shared" si="1"/>
        <v>#DIV/0!</v>
      </c>
      <c r="H50" s="36"/>
      <c r="I50" s="37"/>
    </row>
    <row r="51" spans="1:9" x14ac:dyDescent="0.35">
      <c r="A51" s="43" t="s">
        <v>52</v>
      </c>
      <c r="B51" s="40" t="s">
        <v>142</v>
      </c>
      <c r="C51" s="43" t="str">
        <f>'Haver Pivoted'!A50</f>
        <v>gfsubg</v>
      </c>
      <c r="D51">
        <v>0</v>
      </c>
      <c r="E51" s="43">
        <f>'Haver Pivoted'!HH50</f>
        <v>0</v>
      </c>
      <c r="F51" s="43">
        <f t="shared" si="0"/>
        <v>0</v>
      </c>
      <c r="G51" s="49" t="e">
        <f t="shared" si="1"/>
        <v>#DIV/0!</v>
      </c>
      <c r="H51" s="55"/>
      <c r="I51" s="54"/>
    </row>
    <row r="52" spans="1:9" x14ac:dyDescent="0.35">
      <c r="A52" s="43" t="s">
        <v>52</v>
      </c>
      <c r="B52" s="40" t="s">
        <v>143</v>
      </c>
      <c r="C52" s="43" t="str">
        <f>'Haver Pivoted'!A51</f>
        <v>gfsube</v>
      </c>
      <c r="D52">
        <v>0</v>
      </c>
      <c r="E52" s="43">
        <f>'Haver Pivoted'!HH51</f>
        <v>0</v>
      </c>
      <c r="F52" s="43">
        <f t="shared" si="0"/>
        <v>0</v>
      </c>
      <c r="G52" s="49" t="e">
        <f t="shared" si="1"/>
        <v>#DIV/0!</v>
      </c>
      <c r="H52" s="39"/>
      <c r="I52" s="37"/>
    </row>
    <row r="53" spans="1:9" x14ac:dyDescent="0.35">
      <c r="A53" s="43" t="s">
        <v>52</v>
      </c>
      <c r="B53" s="40" t="s">
        <v>144</v>
      </c>
      <c r="C53" s="43" t="str">
        <f>'Haver Pivoted'!A52</f>
        <v>gfsubs</v>
      </c>
      <c r="D53">
        <v>0</v>
      </c>
      <c r="E53" s="43">
        <f>'Haver Pivoted'!HH52</f>
        <v>0</v>
      </c>
      <c r="F53" s="43">
        <f t="shared" si="0"/>
        <v>0</v>
      </c>
      <c r="G53" s="49" t="e">
        <f t="shared" si="1"/>
        <v>#DIV/0!</v>
      </c>
      <c r="H53" s="39"/>
      <c r="I53" s="37"/>
    </row>
    <row r="54" spans="1:9" x14ac:dyDescent="0.35">
      <c r="A54" s="43" t="s">
        <v>52</v>
      </c>
      <c r="B54" s="40" t="s">
        <v>145</v>
      </c>
      <c r="C54" s="43" t="str">
        <f>'Haver Pivoted'!A53</f>
        <v>gfsubf</v>
      </c>
      <c r="D54">
        <v>0</v>
      </c>
      <c r="E54" s="43">
        <f>'Haver Pivoted'!HH53</f>
        <v>0</v>
      </c>
      <c r="F54" s="43">
        <f t="shared" si="0"/>
        <v>0</v>
      </c>
      <c r="G54" s="49" t="e">
        <f t="shared" si="1"/>
        <v>#DIV/0!</v>
      </c>
      <c r="H54" s="36"/>
      <c r="I54" s="37"/>
    </row>
    <row r="55" spans="1:9" x14ac:dyDescent="0.35">
      <c r="A55" s="43" t="s">
        <v>146</v>
      </c>
      <c r="B55" s="40" t="s">
        <v>147</v>
      </c>
      <c r="C55" s="43" t="str">
        <f>'Haver Pivoted'!A54</f>
        <v>gfsubv</v>
      </c>
      <c r="D55">
        <v>0</v>
      </c>
      <c r="E55" s="43">
        <f>'Haver Pivoted'!HH54</f>
        <v>0</v>
      </c>
      <c r="F55" s="43">
        <f t="shared" si="0"/>
        <v>0</v>
      </c>
      <c r="G55" s="49" t="e">
        <f t="shared" si="1"/>
        <v>#DIV/0!</v>
      </c>
    </row>
    <row r="56" spans="1:9" x14ac:dyDescent="0.35">
      <c r="A56" s="43" t="s">
        <v>52</v>
      </c>
      <c r="B56" s="40" t="s">
        <v>148</v>
      </c>
      <c r="C56" s="43" t="str">
        <f>'Haver Pivoted'!A55</f>
        <v>gfsubk</v>
      </c>
      <c r="D56">
        <v>0</v>
      </c>
      <c r="E56" s="43">
        <f>'Haver Pivoted'!HH55</f>
        <v>0</v>
      </c>
      <c r="F56" s="43">
        <f t="shared" si="0"/>
        <v>0</v>
      </c>
      <c r="G56" s="49" t="e">
        <f t="shared" si="1"/>
        <v>#DIV/0!</v>
      </c>
      <c r="H56" s="36"/>
      <c r="I56" s="37"/>
    </row>
    <row r="57" spans="1:9" x14ac:dyDescent="0.35">
      <c r="A57" s="43" t="s">
        <v>51</v>
      </c>
      <c r="B57" s="42" t="s">
        <v>149</v>
      </c>
      <c r="C57" s="43" t="str">
        <f>'Haver Pivoted'!A56</f>
        <v>gfegc</v>
      </c>
      <c r="D57">
        <v>0</v>
      </c>
      <c r="E57" s="43">
        <f>'Haver Pivoted'!HH56</f>
        <v>0</v>
      </c>
      <c r="F57" s="43">
        <f t="shared" si="0"/>
        <v>0</v>
      </c>
      <c r="G57" s="49"/>
      <c r="H57" s="36"/>
      <c r="I57" s="37"/>
    </row>
    <row r="58" spans="1:9" x14ac:dyDescent="0.35">
      <c r="A58" s="43" t="s">
        <v>51</v>
      </c>
      <c r="B58" s="42" t="s">
        <v>150</v>
      </c>
      <c r="C58" s="43" t="str">
        <f>'Haver Pivoted'!A57</f>
        <v>gfege</v>
      </c>
      <c r="D58">
        <v>0</v>
      </c>
      <c r="E58" s="43">
        <f>'Haver Pivoted'!HH57</f>
        <v>0</v>
      </c>
      <c r="F58" s="43">
        <f t="shared" si="0"/>
        <v>0</v>
      </c>
      <c r="G58" s="49" t="e">
        <f t="shared" si="1"/>
        <v>#DIV/0!</v>
      </c>
      <c r="H58" s="36"/>
      <c r="I58" s="37"/>
    </row>
    <row r="59" spans="1:9" x14ac:dyDescent="0.35">
      <c r="A59" s="43" t="s">
        <v>151</v>
      </c>
      <c r="B59" s="42" t="s">
        <v>152</v>
      </c>
      <c r="C59" s="43" t="str">
        <f>'Haver Pivoted'!A58</f>
        <v>gfegv</v>
      </c>
      <c r="D59">
        <v>0</v>
      </c>
      <c r="E59" s="43">
        <f>'Haver Pivoted'!HH58</f>
        <v>0</v>
      </c>
      <c r="F59" s="43">
        <f t="shared" si="0"/>
        <v>0</v>
      </c>
      <c r="G59" s="49" t="e">
        <f t="shared" si="1"/>
        <v>#DIV/0!</v>
      </c>
    </row>
    <row r="60" spans="1:9" x14ac:dyDescent="0.35">
      <c r="A60" s="43" t="s">
        <v>53</v>
      </c>
      <c r="B60" s="43" t="s">
        <v>153</v>
      </c>
      <c r="C60" s="43" t="str">
        <f>'Haver Pivoted'!A59</f>
        <v>yptue</v>
      </c>
      <c r="D60">
        <v>0</v>
      </c>
      <c r="E60" s="43">
        <f>'Haver Pivoted'!HH59</f>
        <v>0</v>
      </c>
      <c r="F60" s="43">
        <f t="shared" si="0"/>
        <v>0</v>
      </c>
      <c r="G60" s="49" t="e">
        <f t="shared" si="1"/>
        <v>#DIV/0!</v>
      </c>
    </row>
    <row r="61" spans="1:9" x14ac:dyDescent="0.35">
      <c r="A61" s="43" t="s">
        <v>53</v>
      </c>
      <c r="B61" s="43" t="s">
        <v>154</v>
      </c>
      <c r="C61" s="43" t="str">
        <f>'Haver Pivoted'!A60</f>
        <v>yptup</v>
      </c>
      <c r="D61">
        <v>0</v>
      </c>
      <c r="E61" s="43">
        <f>'Haver Pivoted'!HH60</f>
        <v>0</v>
      </c>
      <c r="F61" s="43">
        <f t="shared" si="0"/>
        <v>0</v>
      </c>
      <c r="G61" s="49" t="e">
        <f t="shared" si="1"/>
        <v>#DIV/0!</v>
      </c>
    </row>
    <row r="62" spans="1:9" x14ac:dyDescent="0.35">
      <c r="A62" s="43" t="s">
        <v>53</v>
      </c>
      <c r="B62" s="43" t="s">
        <v>155</v>
      </c>
      <c r="C62" s="43" t="str">
        <f>'Haver Pivoted'!A61</f>
        <v>yptuc</v>
      </c>
      <c r="D62">
        <v>0</v>
      </c>
      <c r="E62" s="43">
        <f>'Haver Pivoted'!HH61</f>
        <v>0</v>
      </c>
      <c r="F62" s="43">
        <f t="shared" si="0"/>
        <v>0</v>
      </c>
      <c r="G62" s="49" t="e">
        <f t="shared" si="1"/>
        <v>#DIV/0!</v>
      </c>
    </row>
    <row r="63" spans="1:9" x14ac:dyDescent="0.35">
      <c r="B63" s="43" t="s">
        <v>156</v>
      </c>
      <c r="C63" s="43" t="str">
        <f>'Haver Pivoted'!A62</f>
        <v>gftfpu</v>
      </c>
      <c r="D63">
        <v>0</v>
      </c>
      <c r="E63" s="43">
        <f>'Haver Pivoted'!HH62</f>
        <v>0</v>
      </c>
      <c r="F63" s="43">
        <f t="shared" si="0"/>
        <v>0</v>
      </c>
      <c r="G63" s="49" t="e">
        <f t="shared" si="1"/>
        <v>#DIV/0!</v>
      </c>
      <c r="H63" s="42"/>
      <c r="I63" s="42"/>
    </row>
    <row r="64" spans="1:9" x14ac:dyDescent="0.35">
      <c r="A64" s="43" t="s">
        <v>53</v>
      </c>
      <c r="B64" s="46" t="s">
        <v>157</v>
      </c>
      <c r="C64" s="43" t="str">
        <f>'Haver Pivoted'!A63</f>
        <v>yptub</v>
      </c>
      <c r="D64">
        <v>0</v>
      </c>
      <c r="E64" s="43">
        <f>'Haver Pivoted'!HH63</f>
        <v>0</v>
      </c>
      <c r="F64" s="43">
        <f t="shared" si="0"/>
        <v>0</v>
      </c>
      <c r="G64" s="49" t="e">
        <f t="shared" si="1"/>
        <v>#DIV/0!</v>
      </c>
      <c r="H64" s="42"/>
      <c r="I64" s="42"/>
    </row>
    <row r="65" spans="1:9" x14ac:dyDescent="0.35">
      <c r="A65" s="43" t="s">
        <v>53</v>
      </c>
      <c r="B65" s="43" t="s">
        <v>158</v>
      </c>
      <c r="C65" s="43" t="str">
        <f>'Haver Pivoted'!A64</f>
        <v>yptol</v>
      </c>
      <c r="D65">
        <v>0</v>
      </c>
      <c r="E65" s="43">
        <f>'Haver Pivoted'!HH64</f>
        <v>0</v>
      </c>
      <c r="F65" s="43">
        <f t="shared" si="0"/>
        <v>0</v>
      </c>
      <c r="G65" s="49" t="e">
        <f t="shared" si="1"/>
        <v>#DIV/0!</v>
      </c>
      <c r="H65" s="42"/>
      <c r="I65" s="42"/>
    </row>
    <row r="66" spans="1:9" x14ac:dyDescent="0.35">
      <c r="B66" s="43" t="s">
        <v>159</v>
      </c>
      <c r="C66" s="43" t="str">
        <f>'Haver Pivoted'!A65</f>
        <v>gfctp</v>
      </c>
      <c r="D66">
        <v>561.29999999999995</v>
      </c>
      <c r="E66" s="43">
        <f>'Haver Pivoted'!HH65</f>
        <v>343</v>
      </c>
      <c r="F66" s="43">
        <f t="shared" si="0"/>
        <v>-218.29999999999995</v>
      </c>
      <c r="G66" s="49">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49">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49">
        <f t="shared" ref="G68:G81" si="3">F68/D68</f>
        <v>0</v>
      </c>
      <c r="H68" s="42"/>
      <c r="I68" s="42"/>
    </row>
    <row r="69" spans="1:9" x14ac:dyDescent="0.35">
      <c r="C69" s="43" t="str">
        <f>'Haver Pivoted'!A68</f>
        <v>pcw</v>
      </c>
      <c r="D69">
        <v>300.327333333333</v>
      </c>
      <c r="E69" s="43">
        <f>'Haver Pivoted'!HH68</f>
        <v>300.327333333333</v>
      </c>
      <c r="F69" s="43">
        <f t="shared" si="2"/>
        <v>0</v>
      </c>
      <c r="G69" s="49">
        <f t="shared" si="3"/>
        <v>0</v>
      </c>
    </row>
    <row r="70" spans="1:9" x14ac:dyDescent="0.35">
      <c r="B70" s="43" t="s">
        <v>162</v>
      </c>
      <c r="C70" s="43" t="str">
        <f>'Haver Pivoted'!A69</f>
        <v>gdppothq</v>
      </c>
      <c r="D70">
        <v>22369.7</v>
      </c>
      <c r="E70" s="43">
        <f>'Haver Pivoted'!HH69</f>
        <v>22459.7</v>
      </c>
      <c r="F70" s="43">
        <f t="shared" si="2"/>
        <v>90</v>
      </c>
      <c r="G70" s="49">
        <f t="shared" si="3"/>
        <v>4.0232993737063976E-3</v>
      </c>
    </row>
    <row r="71" spans="1:9" x14ac:dyDescent="0.35">
      <c r="B71" s="43" t="s">
        <v>163</v>
      </c>
      <c r="C71" s="43" t="str">
        <f>'Haver Pivoted'!A70</f>
        <v>gdppotq</v>
      </c>
      <c r="D71">
        <v>27476.6</v>
      </c>
      <c r="E71" s="43">
        <f>'Haver Pivoted'!HH70</f>
        <v>27573.4</v>
      </c>
      <c r="F71" s="43">
        <f t="shared" si="2"/>
        <v>96.80000000000291</v>
      </c>
      <c r="G71" s="49">
        <f t="shared" si="3"/>
        <v>3.5229977508135254E-3</v>
      </c>
    </row>
    <row r="72" spans="1:9" x14ac:dyDescent="0.35">
      <c r="B72" s="43" t="s">
        <v>164</v>
      </c>
      <c r="C72" s="43" t="str">
        <f>'Haver Pivoted'!A71</f>
        <v>recessq</v>
      </c>
      <c r="D72">
        <v>-1</v>
      </c>
      <c r="E72" s="43">
        <f>'Haver Pivoted'!HH71</f>
        <v>-1</v>
      </c>
      <c r="F72" s="43">
        <f t="shared" si="2"/>
        <v>0</v>
      </c>
      <c r="G72" s="49">
        <f t="shared" si="3"/>
        <v>0</v>
      </c>
    </row>
    <row r="73" spans="1:9" x14ac:dyDescent="0.35">
      <c r="A73" s="43" t="s">
        <v>165</v>
      </c>
      <c r="B73" s="43" t="s">
        <v>166</v>
      </c>
      <c r="C73" s="43" t="str">
        <f>'Haver Pivoted'!A72</f>
        <v>lasgova</v>
      </c>
      <c r="D73">
        <v>5325.3333333333303</v>
      </c>
      <c r="E73" s="43">
        <f>'Haver Pivoted'!HH72</f>
        <v>5325.3333333333303</v>
      </c>
      <c r="F73" s="43">
        <f t="shared" si="2"/>
        <v>0</v>
      </c>
      <c r="G73" s="49">
        <f t="shared" si="3"/>
        <v>0</v>
      </c>
    </row>
    <row r="74" spans="1:9" x14ac:dyDescent="0.35">
      <c r="A74" s="43" t="s">
        <v>165</v>
      </c>
      <c r="B74" s="43" t="s">
        <v>167</v>
      </c>
      <c r="C74" s="43" t="str">
        <f>'Haver Pivoted'!A73</f>
        <v>lalgova</v>
      </c>
      <c r="D74">
        <v>14587</v>
      </c>
      <c r="E74" s="43">
        <f>'Haver Pivoted'!HH73</f>
        <v>14587</v>
      </c>
      <c r="F74" s="43">
        <f t="shared" si="2"/>
        <v>0</v>
      </c>
      <c r="G74" s="49">
        <f t="shared" si="3"/>
        <v>0</v>
      </c>
    </row>
    <row r="75" spans="1:9" x14ac:dyDescent="0.35">
      <c r="A75" s="43" t="s">
        <v>165</v>
      </c>
      <c r="B75" s="43" t="s">
        <v>168</v>
      </c>
      <c r="C75" s="43" t="str">
        <f>'Haver Pivoted'!A74</f>
        <v>cpgs</v>
      </c>
      <c r="D75">
        <v>410267.66666666698</v>
      </c>
      <c r="E75" s="43">
        <f>'Haver Pivoted'!HH74</f>
        <v>422729.66666666698</v>
      </c>
      <c r="F75" s="43">
        <f t="shared" si="2"/>
        <v>12462</v>
      </c>
      <c r="G75" s="49">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49">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49">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49">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49">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49">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49">
        <f t="shared" si="3"/>
        <v>-0.47760877761280107</v>
      </c>
    </row>
  </sheetData>
  <conditionalFormatting sqref="F3:F81">
    <cfRule type="cellIs" dxfId="5" priority="1" operator="lessThan">
      <formula>0</formula>
    </cfRule>
    <cfRule type="cellIs" dxfId="4"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O2" sqref="O2"/>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4" t="s">
        <v>33</v>
      </c>
      <c r="B1" s="65" t="s">
        <v>34</v>
      </c>
      <c r="C1" s="65" t="s">
        <v>35</v>
      </c>
      <c r="D1" s="66" t="s">
        <v>36</v>
      </c>
    </row>
    <row r="2" spans="1:4" ht="116.15" customHeight="1" x14ac:dyDescent="0.35">
      <c r="A2" s="61" t="s">
        <v>1978</v>
      </c>
      <c r="B2" s="62" t="s">
        <v>899</v>
      </c>
      <c r="C2" s="62" t="s">
        <v>900</v>
      </c>
      <c r="D2" s="58"/>
    </row>
    <row r="3" spans="1:4" ht="63.75" customHeight="1" x14ac:dyDescent="0.35">
      <c r="A3" s="18" t="s">
        <v>79</v>
      </c>
      <c r="B3" s="57" t="s">
        <v>40</v>
      </c>
      <c r="C3" s="57" t="s">
        <v>41</v>
      </c>
      <c r="D3" s="59"/>
    </row>
    <row r="4" spans="1:4" ht="170.25" customHeight="1" x14ac:dyDescent="0.35">
      <c r="A4" s="67" t="s">
        <v>80</v>
      </c>
      <c r="B4" s="57" t="s">
        <v>898</v>
      </c>
      <c r="C4" s="14" t="s">
        <v>1979</v>
      </c>
      <c r="D4" s="59"/>
    </row>
    <row r="5" spans="1:4" ht="29.25" customHeight="1" x14ac:dyDescent="0.35">
      <c r="A5" s="67" t="s">
        <v>81</v>
      </c>
      <c r="B5" s="68" t="s">
        <v>82</v>
      </c>
      <c r="C5" s="56" t="s">
        <v>83</v>
      </c>
      <c r="D5" s="59"/>
    </row>
    <row r="6" spans="1:4" ht="43.4" customHeight="1" x14ac:dyDescent="0.35">
      <c r="A6" s="20" t="s">
        <v>84</v>
      </c>
      <c r="B6" s="63" t="s">
        <v>875</v>
      </c>
      <c r="C6" s="35" t="s">
        <v>874</v>
      </c>
      <c r="D6" s="60"/>
    </row>
    <row r="8" spans="1:4" x14ac:dyDescent="0.35">
      <c r="B8" s="28"/>
    </row>
    <row r="9" spans="1:4" x14ac:dyDescent="0.35">
      <c r="B9" s="28"/>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M89"/>
  <sheetViews>
    <sheetView zoomScaleNormal="100" workbookViewId="0">
      <pane xSplit="1" ySplit="1" topLeftCell="GT43" activePane="bottomRight" state="frozen"/>
      <selection pane="topRight" activeCell="B1" sqref="B1"/>
      <selection pane="bottomLeft" activeCell="A2" sqref="A2"/>
      <selection pane="bottomRight" activeCell="HM77" sqref="HM77"/>
    </sheetView>
  </sheetViews>
  <sheetFormatPr defaultColWidth="10.90625" defaultRowHeight="14.5" x14ac:dyDescent="0.35"/>
  <cols>
    <col min="1" max="221" width="11.7265625" customWidth="1"/>
  </cols>
  <sheetData>
    <row r="1" spans="1:221" x14ac:dyDescent="0.35">
      <c r="A1" s="72" t="s">
        <v>1984</v>
      </c>
      <c r="B1" s="72" t="s">
        <v>1985</v>
      </c>
      <c r="C1" s="72" t="s">
        <v>1986</v>
      </c>
      <c r="D1" s="72" t="s">
        <v>1987</v>
      </c>
      <c r="E1" s="72" t="s">
        <v>1988</v>
      </c>
      <c r="F1" s="72" t="s">
        <v>1989</v>
      </c>
      <c r="G1" s="72" t="s">
        <v>1990</v>
      </c>
      <c r="H1" s="72" t="s">
        <v>1991</v>
      </c>
      <c r="I1" s="72" t="s">
        <v>1992</v>
      </c>
      <c r="J1" s="72" t="s">
        <v>1993</v>
      </c>
      <c r="K1" s="72" t="s">
        <v>1994</v>
      </c>
      <c r="L1" s="72" t="s">
        <v>1995</v>
      </c>
      <c r="M1" s="72" t="s">
        <v>1996</v>
      </c>
      <c r="N1" s="72" t="s">
        <v>1997</v>
      </c>
      <c r="O1" s="72" t="s">
        <v>1998</v>
      </c>
      <c r="P1" s="72" t="s">
        <v>1999</v>
      </c>
      <c r="Q1" s="72" t="s">
        <v>2000</v>
      </c>
      <c r="R1" s="72" t="s">
        <v>2001</v>
      </c>
      <c r="S1" s="72" t="s">
        <v>2002</v>
      </c>
      <c r="T1" s="72" t="s">
        <v>2003</v>
      </c>
      <c r="U1" s="72" t="s">
        <v>2004</v>
      </c>
      <c r="V1" s="72" t="s">
        <v>2005</v>
      </c>
      <c r="W1" s="72" t="s">
        <v>2006</v>
      </c>
      <c r="X1" s="72" t="s">
        <v>2007</v>
      </c>
      <c r="Y1" s="72" t="s">
        <v>2008</v>
      </c>
      <c r="Z1" s="72" t="s">
        <v>2009</v>
      </c>
      <c r="AA1" s="72" t="s">
        <v>2010</v>
      </c>
      <c r="AB1" s="72" t="s">
        <v>2011</v>
      </c>
      <c r="AC1" s="72" t="s">
        <v>2012</v>
      </c>
      <c r="AD1" s="72" t="s">
        <v>2013</v>
      </c>
      <c r="AE1" s="72" t="s">
        <v>2014</v>
      </c>
      <c r="AF1" s="72" t="s">
        <v>2015</v>
      </c>
      <c r="AG1" s="72" t="s">
        <v>2016</v>
      </c>
      <c r="AH1" s="72" t="s">
        <v>2017</v>
      </c>
      <c r="AI1" s="72" t="s">
        <v>2018</v>
      </c>
      <c r="AJ1" s="72" t="s">
        <v>2019</v>
      </c>
      <c r="AK1" s="72" t="s">
        <v>2020</v>
      </c>
      <c r="AL1" s="72" t="s">
        <v>2021</v>
      </c>
      <c r="AM1" s="72" t="s">
        <v>2022</v>
      </c>
      <c r="AN1" s="72" t="s">
        <v>2023</v>
      </c>
      <c r="AO1" s="72" t="s">
        <v>2024</v>
      </c>
      <c r="AP1" s="72" t="s">
        <v>2025</v>
      </c>
      <c r="AQ1" s="72" t="s">
        <v>2026</v>
      </c>
      <c r="AR1" s="72" t="s">
        <v>2027</v>
      </c>
      <c r="AS1" s="72" t="s">
        <v>2028</v>
      </c>
      <c r="AT1" s="72" t="s">
        <v>2029</v>
      </c>
      <c r="AU1" s="72" t="s">
        <v>2030</v>
      </c>
      <c r="AV1" s="72" t="s">
        <v>2031</v>
      </c>
      <c r="AW1" s="72" t="s">
        <v>2032</v>
      </c>
      <c r="AX1" s="72" t="s">
        <v>2033</v>
      </c>
      <c r="AY1" s="72" t="s">
        <v>2034</v>
      </c>
      <c r="AZ1" s="72" t="s">
        <v>2035</v>
      </c>
      <c r="BA1" s="72" t="s">
        <v>2036</v>
      </c>
      <c r="BB1" s="72" t="s">
        <v>2037</v>
      </c>
      <c r="BC1" s="72" t="s">
        <v>2038</v>
      </c>
      <c r="BD1" s="72" t="s">
        <v>2039</v>
      </c>
      <c r="BE1" s="72" t="s">
        <v>2040</v>
      </c>
      <c r="BF1" s="72" t="s">
        <v>2041</v>
      </c>
      <c r="BG1" s="72" t="s">
        <v>2042</v>
      </c>
      <c r="BH1" s="72" t="s">
        <v>2043</v>
      </c>
      <c r="BI1" s="72" t="s">
        <v>2044</v>
      </c>
      <c r="BJ1" s="72" t="s">
        <v>2045</v>
      </c>
      <c r="BK1" s="72" t="s">
        <v>2046</v>
      </c>
      <c r="BL1" s="72" t="s">
        <v>2047</v>
      </c>
      <c r="BM1" s="72" t="s">
        <v>2048</v>
      </c>
      <c r="BN1" s="72" t="s">
        <v>2049</v>
      </c>
      <c r="BO1" s="72" t="s">
        <v>2050</v>
      </c>
      <c r="BP1" s="72" t="s">
        <v>2051</v>
      </c>
      <c r="BQ1" s="72" t="s">
        <v>2052</v>
      </c>
      <c r="BR1" s="72" t="s">
        <v>2053</v>
      </c>
      <c r="BS1" s="72" t="s">
        <v>2054</v>
      </c>
      <c r="BT1" s="72" t="s">
        <v>2055</v>
      </c>
      <c r="BU1" s="72" t="s">
        <v>2056</v>
      </c>
      <c r="BV1" s="72" t="s">
        <v>2057</v>
      </c>
      <c r="BW1" s="72" t="s">
        <v>2058</v>
      </c>
      <c r="BX1" s="72" t="s">
        <v>2059</v>
      </c>
      <c r="BY1" s="72" t="s">
        <v>2060</v>
      </c>
      <c r="BZ1" s="72" t="s">
        <v>2061</v>
      </c>
      <c r="CA1" s="72" t="s">
        <v>2062</v>
      </c>
      <c r="CB1" s="72" t="s">
        <v>2063</v>
      </c>
      <c r="CC1" s="72" t="s">
        <v>2064</v>
      </c>
      <c r="CD1" s="72" t="s">
        <v>2065</v>
      </c>
      <c r="CE1" s="72" t="s">
        <v>2066</v>
      </c>
      <c r="CF1" s="72" t="s">
        <v>2067</v>
      </c>
      <c r="CG1" s="72" t="s">
        <v>2068</v>
      </c>
      <c r="CH1" s="72" t="s">
        <v>2069</v>
      </c>
      <c r="CI1" s="72" t="s">
        <v>2070</v>
      </c>
      <c r="CJ1" s="72" t="s">
        <v>2071</v>
      </c>
      <c r="CK1" s="72" t="s">
        <v>2072</v>
      </c>
      <c r="CL1" s="72" t="s">
        <v>2073</v>
      </c>
      <c r="CM1" s="72" t="s">
        <v>2074</v>
      </c>
      <c r="CN1" s="72" t="s">
        <v>2075</v>
      </c>
      <c r="CO1" s="72" t="s">
        <v>2076</v>
      </c>
      <c r="CP1" s="72" t="s">
        <v>2077</v>
      </c>
      <c r="CQ1" s="72" t="s">
        <v>2078</v>
      </c>
      <c r="CR1" s="72" t="s">
        <v>2079</v>
      </c>
      <c r="CS1" s="72" t="s">
        <v>2080</v>
      </c>
      <c r="CT1" s="72" t="s">
        <v>2081</v>
      </c>
      <c r="CU1" s="72" t="s">
        <v>2082</v>
      </c>
      <c r="CV1" s="72" t="s">
        <v>2083</v>
      </c>
      <c r="CW1" s="72" t="s">
        <v>2084</v>
      </c>
      <c r="CX1" s="72" t="s">
        <v>2085</v>
      </c>
      <c r="CY1" s="72" t="s">
        <v>2086</v>
      </c>
      <c r="CZ1" s="72" t="s">
        <v>2087</v>
      </c>
      <c r="DA1" s="72" t="s">
        <v>2088</v>
      </c>
      <c r="DB1" s="72" t="s">
        <v>2089</v>
      </c>
      <c r="DC1" s="72" t="s">
        <v>2090</v>
      </c>
      <c r="DD1" s="72" t="s">
        <v>2091</v>
      </c>
      <c r="DE1" s="72" t="s">
        <v>2092</v>
      </c>
      <c r="DF1" s="72" t="s">
        <v>2093</v>
      </c>
      <c r="DG1" s="72" t="s">
        <v>2094</v>
      </c>
      <c r="DH1" s="72" t="s">
        <v>2095</v>
      </c>
      <c r="DI1" s="72" t="s">
        <v>2096</v>
      </c>
      <c r="DJ1" s="72" t="s">
        <v>2097</v>
      </c>
      <c r="DK1" s="72" t="s">
        <v>2098</v>
      </c>
      <c r="DL1" s="72" t="s">
        <v>2099</v>
      </c>
      <c r="DM1" s="72" t="s">
        <v>2100</v>
      </c>
      <c r="DN1" s="72" t="s">
        <v>2101</v>
      </c>
      <c r="DO1" s="72" t="s">
        <v>2102</v>
      </c>
      <c r="DP1" s="72" t="s">
        <v>2103</v>
      </c>
      <c r="DQ1" s="72" t="s">
        <v>2104</v>
      </c>
      <c r="DR1" s="72" t="s">
        <v>2105</v>
      </c>
      <c r="DS1" s="72" t="s">
        <v>2106</v>
      </c>
      <c r="DT1" s="72" t="s">
        <v>2107</v>
      </c>
      <c r="DU1" s="72" t="s">
        <v>2108</v>
      </c>
      <c r="DV1" s="72" t="s">
        <v>2109</v>
      </c>
      <c r="DW1" s="72" t="s">
        <v>2110</v>
      </c>
      <c r="DX1" s="72" t="s">
        <v>2111</v>
      </c>
      <c r="DY1" s="72" t="s">
        <v>2112</v>
      </c>
      <c r="DZ1" s="72" t="s">
        <v>2113</v>
      </c>
      <c r="EA1" s="72" t="s">
        <v>2114</v>
      </c>
      <c r="EB1" s="72" t="s">
        <v>2115</v>
      </c>
      <c r="EC1" s="72" t="s">
        <v>2116</v>
      </c>
      <c r="ED1" s="72" t="s">
        <v>2117</v>
      </c>
      <c r="EE1" s="72" t="s">
        <v>2118</v>
      </c>
      <c r="EF1" s="72" t="s">
        <v>2119</v>
      </c>
      <c r="EG1" s="72" t="s">
        <v>2120</v>
      </c>
      <c r="EH1" s="72" t="s">
        <v>2121</v>
      </c>
      <c r="EI1" s="72" t="s">
        <v>2122</v>
      </c>
      <c r="EJ1" s="72" t="s">
        <v>2123</v>
      </c>
      <c r="EK1" s="72" t="s">
        <v>2124</v>
      </c>
      <c r="EL1" s="72" t="s">
        <v>2125</v>
      </c>
      <c r="EM1" s="72" t="s">
        <v>2126</v>
      </c>
      <c r="EN1" s="72" t="s">
        <v>2127</v>
      </c>
      <c r="EO1" s="72" t="s">
        <v>2128</v>
      </c>
      <c r="EP1" s="72" t="s">
        <v>2129</v>
      </c>
      <c r="EQ1" s="72" t="s">
        <v>2130</v>
      </c>
      <c r="ER1" s="72" t="s">
        <v>2131</v>
      </c>
      <c r="ES1" s="72" t="s">
        <v>2132</v>
      </c>
      <c r="ET1" s="72" t="s">
        <v>2133</v>
      </c>
      <c r="EU1" s="72" t="s">
        <v>2134</v>
      </c>
      <c r="EV1" s="72" t="s">
        <v>2135</v>
      </c>
      <c r="EW1" s="72" t="s">
        <v>2136</v>
      </c>
      <c r="EX1" s="72" t="s">
        <v>2137</v>
      </c>
      <c r="EY1" s="72" t="s">
        <v>2138</v>
      </c>
      <c r="EZ1" s="72" t="s">
        <v>2139</v>
      </c>
      <c r="FA1" s="72" t="s">
        <v>2140</v>
      </c>
      <c r="FB1" s="72" t="s">
        <v>2141</v>
      </c>
      <c r="FC1" s="72" t="s">
        <v>2142</v>
      </c>
      <c r="FD1" s="72" t="s">
        <v>2143</v>
      </c>
      <c r="FE1" s="72" t="s">
        <v>2144</v>
      </c>
      <c r="FF1" s="72" t="s">
        <v>2145</v>
      </c>
      <c r="FG1" s="72" t="s">
        <v>2146</v>
      </c>
      <c r="FH1" s="72" t="s">
        <v>2147</v>
      </c>
      <c r="FI1" s="72" t="s">
        <v>2148</v>
      </c>
      <c r="FJ1" s="72" t="s">
        <v>2149</v>
      </c>
      <c r="FK1" s="72" t="s">
        <v>2150</v>
      </c>
      <c r="FL1" s="72" t="s">
        <v>2151</v>
      </c>
      <c r="FM1" s="72" t="s">
        <v>2152</v>
      </c>
      <c r="FN1" s="72" t="s">
        <v>2153</v>
      </c>
      <c r="FO1" s="72" t="s">
        <v>2154</v>
      </c>
      <c r="FP1" s="72" t="s">
        <v>2155</v>
      </c>
      <c r="FQ1" s="72" t="s">
        <v>2156</v>
      </c>
      <c r="FR1" s="72" t="s">
        <v>2157</v>
      </c>
      <c r="FS1" s="72" t="s">
        <v>2158</v>
      </c>
      <c r="FT1" s="72" t="s">
        <v>2159</v>
      </c>
      <c r="FU1" s="72" t="s">
        <v>2160</v>
      </c>
      <c r="FV1" s="72" t="s">
        <v>2161</v>
      </c>
      <c r="FW1" s="72" t="s">
        <v>2162</v>
      </c>
      <c r="FX1" s="72" t="s">
        <v>2163</v>
      </c>
      <c r="FY1" s="72" t="s">
        <v>2164</v>
      </c>
      <c r="FZ1" s="72" t="s">
        <v>2165</v>
      </c>
      <c r="GA1" s="72" t="s">
        <v>2166</v>
      </c>
      <c r="GB1" s="72" t="s">
        <v>2167</v>
      </c>
      <c r="GC1" s="72" t="s">
        <v>2168</v>
      </c>
      <c r="GD1" s="72" t="s">
        <v>2169</v>
      </c>
      <c r="GE1" s="72" t="s">
        <v>2170</v>
      </c>
      <c r="GF1" s="72" t="s">
        <v>2171</v>
      </c>
      <c r="GG1" s="72" t="s">
        <v>2172</v>
      </c>
      <c r="GH1" s="72" t="s">
        <v>2173</v>
      </c>
      <c r="GI1" s="72" t="s">
        <v>2174</v>
      </c>
      <c r="GJ1" s="72" t="s">
        <v>2175</v>
      </c>
      <c r="GK1" s="72" t="s">
        <v>2176</v>
      </c>
      <c r="GL1" s="72" t="s">
        <v>2177</v>
      </c>
      <c r="GM1" s="72" t="s">
        <v>2178</v>
      </c>
      <c r="GN1" s="72" t="s">
        <v>2179</v>
      </c>
      <c r="GO1" s="72" t="s">
        <v>2180</v>
      </c>
      <c r="GP1" s="72" t="s">
        <v>2181</v>
      </c>
      <c r="GQ1" s="72" t="s">
        <v>2182</v>
      </c>
      <c r="GR1" s="72" t="s">
        <v>2183</v>
      </c>
      <c r="GS1" s="72" t="s">
        <v>2184</v>
      </c>
      <c r="GT1" s="72" t="s">
        <v>2185</v>
      </c>
      <c r="GU1" s="72" t="s">
        <v>2186</v>
      </c>
      <c r="GV1" s="72" t="s">
        <v>2187</v>
      </c>
      <c r="GW1" s="72" t="s">
        <v>2188</v>
      </c>
      <c r="GX1" s="72" t="s">
        <v>2189</v>
      </c>
      <c r="GY1" s="72" t="s">
        <v>2190</v>
      </c>
      <c r="GZ1" s="72" t="s">
        <v>2191</v>
      </c>
      <c r="HA1" s="72" t="s">
        <v>2192</v>
      </c>
      <c r="HB1" s="72" t="s">
        <v>2193</v>
      </c>
      <c r="HC1" s="72" t="s">
        <v>2194</v>
      </c>
      <c r="HD1" s="72" t="s">
        <v>2195</v>
      </c>
      <c r="HE1" s="72" t="s">
        <v>2196</v>
      </c>
      <c r="HF1" s="72" t="s">
        <v>2197</v>
      </c>
      <c r="HG1" s="72" t="s">
        <v>2198</v>
      </c>
      <c r="HH1" s="72" t="s">
        <v>2199</v>
      </c>
      <c r="HI1" s="72" t="s">
        <v>2200</v>
      </c>
      <c r="HJ1" s="72" t="s">
        <v>2201</v>
      </c>
      <c r="HK1" s="72" t="s">
        <v>2202</v>
      </c>
      <c r="HL1" s="72" t="s">
        <v>2203</v>
      </c>
      <c r="HM1" s="72" t="s">
        <v>2204</v>
      </c>
    </row>
    <row r="2" spans="1:221" x14ac:dyDescent="0.35">
      <c r="A2" s="56" t="s">
        <v>2205</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21111.599999999999</v>
      </c>
      <c r="GQ2" s="56">
        <v>21397.9</v>
      </c>
      <c r="GR2" s="56">
        <v>21717.200000000001</v>
      </c>
      <c r="GS2" s="56">
        <v>21933.200000000001</v>
      </c>
      <c r="GT2" s="56">
        <v>21727.7</v>
      </c>
      <c r="GU2" s="56">
        <v>19935.400000000001</v>
      </c>
      <c r="GV2" s="56">
        <v>21684.6</v>
      </c>
      <c r="GW2" s="56">
        <v>22068.799999999999</v>
      </c>
      <c r="GX2" s="56">
        <v>22656.799999999999</v>
      </c>
      <c r="GY2" s="56">
        <v>23368.9</v>
      </c>
      <c r="GZ2" s="56">
        <v>23922</v>
      </c>
      <c r="HA2" s="56">
        <v>24777</v>
      </c>
      <c r="HB2" s="56">
        <v>25215.5</v>
      </c>
      <c r="HC2">
        <v>25805.8</v>
      </c>
      <c r="HD2">
        <v>26272</v>
      </c>
      <c r="HE2">
        <v>26734.3</v>
      </c>
      <c r="HF2">
        <v>27164.400000000001</v>
      </c>
      <c r="HG2">
        <v>27453.8</v>
      </c>
      <c r="HH2">
        <v>27967.7</v>
      </c>
      <c r="HI2">
        <v>28297</v>
      </c>
      <c r="HJ2">
        <v>28624.1</v>
      </c>
      <c r="HK2">
        <v>29016.7</v>
      </c>
      <c r="HL2">
        <v>29374.9</v>
      </c>
      <c r="HM2">
        <v>29700.6</v>
      </c>
    </row>
    <row r="3" spans="1:221" x14ac:dyDescent="0.35">
      <c r="A3" s="56" t="s">
        <v>2206</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20431.599999999999</v>
      </c>
      <c r="GQ3" s="56">
        <v>20602.3</v>
      </c>
      <c r="GR3" s="56">
        <v>20843.3</v>
      </c>
      <c r="GS3" s="56">
        <v>20985.4</v>
      </c>
      <c r="GT3" s="56">
        <v>20693.2</v>
      </c>
      <c r="GU3" s="56">
        <v>19056.599999999999</v>
      </c>
      <c r="GV3" s="56">
        <v>20548.8</v>
      </c>
      <c r="GW3" s="56">
        <v>20771.7</v>
      </c>
      <c r="GX3" s="56">
        <v>21058.400000000001</v>
      </c>
      <c r="GY3" s="56">
        <v>21389</v>
      </c>
      <c r="GZ3" s="56">
        <v>21571.4</v>
      </c>
      <c r="HA3" s="56">
        <v>21960.400000000001</v>
      </c>
      <c r="HB3" s="56">
        <v>21903.9</v>
      </c>
      <c r="HC3">
        <v>21919.200000000001</v>
      </c>
      <c r="HD3">
        <v>22066.799999999999</v>
      </c>
      <c r="HE3">
        <v>22249.5</v>
      </c>
      <c r="HF3">
        <v>22403.4</v>
      </c>
      <c r="HG3">
        <v>22539.4</v>
      </c>
      <c r="HH3">
        <v>22780.9</v>
      </c>
      <c r="HI3">
        <v>22960.6</v>
      </c>
      <c r="HJ3">
        <v>23053.5</v>
      </c>
      <c r="HK3">
        <v>23223.9</v>
      </c>
      <c r="HL3">
        <v>23400.3</v>
      </c>
      <c r="HM3">
        <v>23530.9</v>
      </c>
    </row>
    <row r="4" spans="1:221" x14ac:dyDescent="0.35">
      <c r="A4" s="56" t="s">
        <v>2207</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103.33199999999999</v>
      </c>
      <c r="GQ4" s="56">
        <v>103.855</v>
      </c>
      <c r="GR4" s="56">
        <v>104.196</v>
      </c>
      <c r="GS4" s="56">
        <v>104.54300000000001</v>
      </c>
      <c r="GT4" s="56">
        <v>105.001</v>
      </c>
      <c r="GU4" s="56">
        <v>104.651</v>
      </c>
      <c r="GV4" s="56">
        <v>105.574</v>
      </c>
      <c r="GW4" s="56">
        <v>106.29300000000001</v>
      </c>
      <c r="GX4" s="56">
        <v>107.645</v>
      </c>
      <c r="GY4" s="56">
        <v>109.27800000000001</v>
      </c>
      <c r="GZ4" s="56">
        <v>110.931</v>
      </c>
      <c r="HA4" s="56">
        <v>112.836</v>
      </c>
      <c r="HB4" s="56">
        <v>115.16</v>
      </c>
      <c r="HC4">
        <v>117.76</v>
      </c>
      <c r="HD4">
        <v>119.07299999999999</v>
      </c>
      <c r="HE4">
        <v>120.173</v>
      </c>
      <c r="HF4">
        <v>121.247</v>
      </c>
      <c r="HG4">
        <v>121.809</v>
      </c>
      <c r="HH4">
        <v>122.785</v>
      </c>
      <c r="HI4">
        <v>123.247</v>
      </c>
      <c r="HJ4">
        <v>124.16800000000001</v>
      </c>
      <c r="HK4">
        <v>124.94199999999999</v>
      </c>
      <c r="HL4">
        <v>125.54300000000001</v>
      </c>
      <c r="HM4">
        <v>126.229</v>
      </c>
    </row>
    <row r="5" spans="1:221" x14ac:dyDescent="0.35">
      <c r="A5" s="56" t="s">
        <v>2208</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14150.2</v>
      </c>
      <c r="GQ5" s="56">
        <v>14350.7</v>
      </c>
      <c r="GR5" s="56">
        <v>14548.3</v>
      </c>
      <c r="GS5" s="56">
        <v>14701</v>
      </c>
      <c r="GT5" s="56">
        <v>14496.2</v>
      </c>
      <c r="GU5" s="56">
        <v>13175.6</v>
      </c>
      <c r="GV5" s="56">
        <v>14478</v>
      </c>
      <c r="GW5" s="56">
        <v>14752.7</v>
      </c>
      <c r="GX5" s="56">
        <v>15259.4</v>
      </c>
      <c r="GY5" s="56">
        <v>16016.3</v>
      </c>
      <c r="GZ5" s="56">
        <v>16363.9</v>
      </c>
      <c r="HA5" s="56">
        <v>16816.099999999999</v>
      </c>
      <c r="HB5" s="56">
        <v>17175.099999999999</v>
      </c>
      <c r="HC5">
        <v>17603.8</v>
      </c>
      <c r="HD5">
        <v>17876.2</v>
      </c>
      <c r="HE5">
        <v>18108.3</v>
      </c>
      <c r="HF5">
        <v>18506.2</v>
      </c>
      <c r="HG5">
        <v>18685.7</v>
      </c>
      <c r="HH5">
        <v>18929</v>
      </c>
      <c r="HI5">
        <v>19170.2</v>
      </c>
      <c r="HJ5">
        <v>19424.8</v>
      </c>
      <c r="HK5">
        <v>19682.7</v>
      </c>
      <c r="HL5">
        <v>19938.400000000001</v>
      </c>
      <c r="HM5">
        <v>20258.400000000001</v>
      </c>
    </row>
    <row r="6" spans="1:221" x14ac:dyDescent="0.35">
      <c r="A6" s="56" t="s">
        <v>2209</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13758.3</v>
      </c>
      <c r="GQ6" s="56">
        <v>13875.7</v>
      </c>
      <c r="GR6" s="56">
        <v>14033.2</v>
      </c>
      <c r="GS6" s="56">
        <v>14125.3</v>
      </c>
      <c r="GT6" s="56">
        <v>13885.9</v>
      </c>
      <c r="GU6" s="56">
        <v>12671.9</v>
      </c>
      <c r="GV6" s="56">
        <v>13813</v>
      </c>
      <c r="GW6" s="56">
        <v>14008.1</v>
      </c>
      <c r="GX6" s="56">
        <v>14328.6</v>
      </c>
      <c r="GY6" s="56">
        <v>14809.1</v>
      </c>
      <c r="GZ6" s="56">
        <v>14924.3</v>
      </c>
      <c r="HA6" s="56">
        <v>15086.9</v>
      </c>
      <c r="HB6" s="56">
        <v>15123.4</v>
      </c>
      <c r="HC6">
        <v>15219.9</v>
      </c>
      <c r="HD6">
        <v>15277.6</v>
      </c>
      <c r="HE6">
        <v>15324</v>
      </c>
      <c r="HF6">
        <v>15510.2</v>
      </c>
      <c r="HG6">
        <v>15548.5</v>
      </c>
      <c r="HH6">
        <v>15646.7</v>
      </c>
      <c r="HI6">
        <v>15781.4</v>
      </c>
      <c r="HJ6">
        <v>15856.9</v>
      </c>
      <c r="HK6">
        <v>15967.3</v>
      </c>
      <c r="HL6">
        <v>16113</v>
      </c>
      <c r="HM6">
        <v>16280.1</v>
      </c>
    </row>
    <row r="7" spans="1:221" x14ac:dyDescent="0.35">
      <c r="A7" s="56" t="s">
        <v>2210</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102.851</v>
      </c>
      <c r="GQ7" s="56">
        <v>103.426</v>
      </c>
      <c r="GR7" s="56">
        <v>103.675</v>
      </c>
      <c r="GS7" s="56">
        <v>104.083</v>
      </c>
      <c r="GT7" s="56">
        <v>104.404</v>
      </c>
      <c r="GU7" s="56">
        <v>103.988</v>
      </c>
      <c r="GV7" s="56">
        <v>104.83199999999999</v>
      </c>
      <c r="GW7" s="56">
        <v>105.34</v>
      </c>
      <c r="GX7" s="56">
        <v>106.529</v>
      </c>
      <c r="GY7" s="56">
        <v>108.188</v>
      </c>
      <c r="GZ7" s="56">
        <v>109.681</v>
      </c>
      <c r="HA7" s="56">
        <v>111.491</v>
      </c>
      <c r="HB7" s="56">
        <v>113.58499999999999</v>
      </c>
      <c r="HC7">
        <v>115.672</v>
      </c>
      <c r="HD7">
        <v>117.014</v>
      </c>
      <c r="HE7">
        <v>118.172</v>
      </c>
      <c r="HF7">
        <v>119.32</v>
      </c>
      <c r="HG7">
        <v>120.182</v>
      </c>
      <c r="HH7">
        <v>120.983</v>
      </c>
      <c r="HI7">
        <v>121.48</v>
      </c>
      <c r="HJ7">
        <v>122.50700000000001</v>
      </c>
      <c r="HK7">
        <v>123.27500000000001</v>
      </c>
      <c r="HL7">
        <v>123.747</v>
      </c>
      <c r="HM7">
        <v>124.443</v>
      </c>
    </row>
    <row r="8" spans="1:221" x14ac:dyDescent="0.35">
      <c r="A8" s="56" t="s">
        <v>2211</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104.73099999999999</v>
      </c>
      <c r="GQ8" s="56">
        <v>104.03400000000001</v>
      </c>
      <c r="GR8" s="56">
        <v>104.131</v>
      </c>
      <c r="GS8" s="56">
        <v>104.51</v>
      </c>
      <c r="GT8" s="56">
        <v>104.82599999999999</v>
      </c>
      <c r="GU8" s="56">
        <v>104.893</v>
      </c>
      <c r="GV8" s="56">
        <v>105.46599999999999</v>
      </c>
      <c r="GW8" s="56">
        <v>106.253</v>
      </c>
      <c r="GX8" s="56">
        <v>107.069</v>
      </c>
      <c r="GY8" s="56">
        <v>108.223</v>
      </c>
      <c r="GZ8" s="56">
        <v>109.501</v>
      </c>
      <c r="HA8" s="56">
        <v>110.85599999999999</v>
      </c>
      <c r="HB8" s="56">
        <v>112.633</v>
      </c>
      <c r="HC8">
        <v>114.685</v>
      </c>
      <c r="HD8">
        <v>116.184</v>
      </c>
      <c r="HE8">
        <v>117.371</v>
      </c>
      <c r="HF8">
        <v>118.61</v>
      </c>
      <c r="HG8">
        <v>119.63500000000001</v>
      </c>
      <c r="HH8">
        <v>120.759</v>
      </c>
      <c r="HI8">
        <v>121.899</v>
      </c>
      <c r="HJ8">
        <v>122.967</v>
      </c>
      <c r="HK8">
        <v>123.825</v>
      </c>
      <c r="HL8">
        <v>124.57599999999999</v>
      </c>
      <c r="HM8">
        <v>125.45</v>
      </c>
    </row>
    <row r="9" spans="1:221" x14ac:dyDescent="0.35">
      <c r="A9" s="56" t="s">
        <v>2212</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104.68600000000001</v>
      </c>
      <c r="GQ9" s="56">
        <v>105.473</v>
      </c>
      <c r="GR9" s="56">
        <v>105.887</v>
      </c>
      <c r="GS9" s="56">
        <v>106.506</v>
      </c>
      <c r="GT9" s="56">
        <v>107.881</v>
      </c>
      <c r="GU9" s="56">
        <v>107.74</v>
      </c>
      <c r="GV9" s="56">
        <v>109.033</v>
      </c>
      <c r="GW9" s="56">
        <v>110.37</v>
      </c>
      <c r="GX9" s="56">
        <v>112.819</v>
      </c>
      <c r="GY9" s="56">
        <v>115.044</v>
      </c>
      <c r="GZ9" s="56">
        <v>116.893</v>
      </c>
      <c r="HA9" s="56">
        <v>119.203</v>
      </c>
      <c r="HB9" s="56">
        <v>121.961</v>
      </c>
      <c r="HC9">
        <v>126.102</v>
      </c>
      <c r="HD9">
        <v>126.283</v>
      </c>
      <c r="HE9">
        <v>126.64</v>
      </c>
      <c r="HF9">
        <v>125.974</v>
      </c>
      <c r="HG9">
        <v>124.8</v>
      </c>
      <c r="HH9">
        <v>126.041</v>
      </c>
      <c r="HI9">
        <v>126.006</v>
      </c>
      <c r="HJ9">
        <v>127.205</v>
      </c>
      <c r="HK9">
        <v>127.72</v>
      </c>
      <c r="HL9">
        <v>128.476</v>
      </c>
      <c r="HM9">
        <v>129.172</v>
      </c>
    </row>
    <row r="10" spans="1:221" x14ac:dyDescent="0.35">
      <c r="A10" s="56" t="s">
        <v>2213</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104.536</v>
      </c>
      <c r="GQ10" s="56">
        <v>105.249</v>
      </c>
      <c r="GR10" s="56">
        <v>105.65300000000001</v>
      </c>
      <c r="GS10" s="56">
        <v>106.367</v>
      </c>
      <c r="GT10" s="56">
        <v>107.99299999999999</v>
      </c>
      <c r="GU10" s="56">
        <v>107.90900000000001</v>
      </c>
      <c r="GV10" s="56">
        <v>109.255</v>
      </c>
      <c r="GW10" s="56">
        <v>110.767</v>
      </c>
      <c r="GX10" s="56">
        <v>113.40300000000001</v>
      </c>
      <c r="GY10" s="56">
        <v>115.55200000000001</v>
      </c>
      <c r="GZ10" s="56">
        <v>117.274</v>
      </c>
      <c r="HA10" s="56">
        <v>119.352</v>
      </c>
      <c r="HB10" s="56">
        <v>121.953</v>
      </c>
      <c r="HC10">
        <v>126.116</v>
      </c>
      <c r="HD10">
        <v>125.744</v>
      </c>
      <c r="HE10">
        <v>125.813</v>
      </c>
      <c r="HF10">
        <v>124.678</v>
      </c>
      <c r="HG10">
        <v>123.242</v>
      </c>
      <c r="HH10">
        <v>124.699</v>
      </c>
      <c r="HI10">
        <v>124.566</v>
      </c>
      <c r="HJ10">
        <v>125.85899999999999</v>
      </c>
      <c r="HK10">
        <v>126.467</v>
      </c>
      <c r="HL10">
        <v>127.15300000000001</v>
      </c>
      <c r="HM10">
        <v>127.89</v>
      </c>
    </row>
    <row r="11" spans="1:221" x14ac:dyDescent="0.35">
      <c r="A11" s="56" t="s">
        <v>2214</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105.34099999999999</v>
      </c>
      <c r="GQ11" s="56">
        <v>106.44799999999999</v>
      </c>
      <c r="GR11" s="56">
        <v>106.91200000000001</v>
      </c>
      <c r="GS11" s="56">
        <v>107.11499999999999</v>
      </c>
      <c r="GT11" s="56">
        <v>107.38500000000001</v>
      </c>
      <c r="GU11" s="56">
        <v>106.998</v>
      </c>
      <c r="GV11" s="56">
        <v>108.047</v>
      </c>
      <c r="GW11" s="56">
        <v>108.592</v>
      </c>
      <c r="GX11" s="56">
        <v>110.17700000000001</v>
      </c>
      <c r="GY11" s="56">
        <v>112.726</v>
      </c>
      <c r="GZ11" s="56">
        <v>115.161</v>
      </c>
      <c r="HA11" s="56">
        <v>118.59099999999999</v>
      </c>
      <c r="HB11" s="56">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c r="HM11">
        <v>135.55099999999999</v>
      </c>
    </row>
    <row r="12" spans="1:221" x14ac:dyDescent="0.35">
      <c r="A12" s="56" t="s">
        <v>2215</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773.5</v>
      </c>
      <c r="GQ12" s="56">
        <v>788.5</v>
      </c>
      <c r="GR12" s="56">
        <v>798</v>
      </c>
      <c r="GS12" s="56">
        <v>802</v>
      </c>
      <c r="GT12" s="56">
        <v>801.9</v>
      </c>
      <c r="GU12" s="56">
        <v>814.3</v>
      </c>
      <c r="GV12" s="56">
        <v>826.6</v>
      </c>
      <c r="GW12" s="56">
        <v>838.8</v>
      </c>
      <c r="GX12" s="56">
        <v>854.9</v>
      </c>
      <c r="GY12" s="56">
        <v>871.2</v>
      </c>
      <c r="GZ12" s="56">
        <v>887.1</v>
      </c>
      <c r="HA12" s="56">
        <v>902.4</v>
      </c>
      <c r="HB12" s="56">
        <v>917.6</v>
      </c>
      <c r="HC12">
        <v>926.6</v>
      </c>
      <c r="HD12">
        <v>937.4</v>
      </c>
      <c r="HE12">
        <v>958.5</v>
      </c>
      <c r="HF12">
        <v>981.1</v>
      </c>
      <c r="HG12">
        <v>1001.8</v>
      </c>
      <c r="HH12">
        <v>1019.9</v>
      </c>
      <c r="HI12">
        <v>1035.3</v>
      </c>
      <c r="HJ12">
        <v>1049.2</v>
      </c>
      <c r="HK12">
        <v>1067.0999999999999</v>
      </c>
      <c r="HL12">
        <v>1090.2</v>
      </c>
      <c r="HM12">
        <v>1118.5</v>
      </c>
    </row>
    <row r="13" spans="1:221" x14ac:dyDescent="0.35">
      <c r="A13" s="56" t="s">
        <v>2216</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606.5</v>
      </c>
      <c r="GU13" s="56">
        <v>654.6</v>
      </c>
      <c r="GV13" s="56">
        <v>690.8</v>
      </c>
      <c r="GW13" s="56">
        <v>678.6</v>
      </c>
      <c r="GX13" s="56">
        <v>704.9</v>
      </c>
      <c r="GY13" s="56">
        <v>745.6</v>
      </c>
      <c r="GZ13" s="56">
        <v>749.2</v>
      </c>
      <c r="HA13" s="56">
        <v>746.3</v>
      </c>
      <c r="HB13" s="56">
        <v>791.9</v>
      </c>
      <c r="HC13">
        <v>819.2</v>
      </c>
      <c r="HD13">
        <v>819</v>
      </c>
      <c r="HE13">
        <v>827.5</v>
      </c>
      <c r="HF13">
        <v>877.6</v>
      </c>
      <c r="HG13">
        <v>911.6</v>
      </c>
      <c r="HH13">
        <v>867.2</v>
      </c>
      <c r="HI13">
        <v>856.2</v>
      </c>
      <c r="HJ13">
        <v>904.8</v>
      </c>
      <c r="HK13">
        <v>924.7</v>
      </c>
      <c r="HL13">
        <v>932.4</v>
      </c>
      <c r="HM13">
        <v>957.6</v>
      </c>
    </row>
    <row r="14" spans="1:221" x14ac:dyDescent="0.35">
      <c r="A14" s="56" t="s">
        <v>2217</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29.6</v>
      </c>
      <c r="GQ14" s="56">
        <v>27.3</v>
      </c>
      <c r="GR14" s="56">
        <v>26.4</v>
      </c>
      <c r="GS14" s="56">
        <v>26.7</v>
      </c>
      <c r="GT14" s="56">
        <v>40.1</v>
      </c>
      <c r="GU14" s="56">
        <v>951.5</v>
      </c>
      <c r="GV14" s="56">
        <v>800</v>
      </c>
      <c r="GW14" s="56">
        <v>322.7</v>
      </c>
      <c r="GX14" s="56">
        <v>583.79999999999995</v>
      </c>
      <c r="GY14" s="56">
        <v>440.8</v>
      </c>
      <c r="GZ14" s="56">
        <v>212.8</v>
      </c>
      <c r="HA14" s="56">
        <v>31.8</v>
      </c>
      <c r="HB14" s="56">
        <v>24.5</v>
      </c>
      <c r="HC14">
        <v>21.7</v>
      </c>
      <c r="HD14">
        <v>23.1</v>
      </c>
      <c r="HE14">
        <v>25.9</v>
      </c>
      <c r="HF14">
        <v>30.1</v>
      </c>
      <c r="HG14">
        <v>32.700000000000003</v>
      </c>
      <c r="HH14">
        <v>34.700000000000003</v>
      </c>
      <c r="HI14">
        <v>35.299999999999997</v>
      </c>
      <c r="HJ14">
        <v>34.9</v>
      </c>
      <c r="HK14">
        <v>34.9</v>
      </c>
      <c r="HL14">
        <v>35.700000000000003</v>
      </c>
      <c r="HM14">
        <v>36.1</v>
      </c>
    </row>
    <row r="15" spans="1:221" x14ac:dyDescent="0.35">
      <c r="A15" s="56" t="s">
        <v>2218</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3048.2</v>
      </c>
      <c r="GQ15" s="56">
        <v>3084</v>
      </c>
      <c r="GR15" s="56">
        <v>3109.3</v>
      </c>
      <c r="GS15" s="56">
        <v>3121.6</v>
      </c>
      <c r="GT15" s="56">
        <v>3175.2</v>
      </c>
      <c r="GU15" s="56">
        <v>5465.4</v>
      </c>
      <c r="GV15" s="56">
        <v>4355</v>
      </c>
      <c r="GW15" s="56">
        <v>3728.7</v>
      </c>
      <c r="GX15" s="56">
        <v>6007.8</v>
      </c>
      <c r="GY15" s="56">
        <v>4311.6000000000004</v>
      </c>
      <c r="GZ15" s="56">
        <v>4048.7</v>
      </c>
      <c r="HA15" s="56">
        <v>3876</v>
      </c>
      <c r="HB15" s="56">
        <v>3944.5</v>
      </c>
      <c r="HC15">
        <v>3986.8</v>
      </c>
      <c r="HD15">
        <v>4002.9</v>
      </c>
      <c r="HE15">
        <v>4120.8999999999996</v>
      </c>
      <c r="HF15">
        <v>4121.6000000000004</v>
      </c>
      <c r="HG15">
        <v>4160.2</v>
      </c>
      <c r="HH15">
        <v>4147.5</v>
      </c>
      <c r="HI15">
        <v>4156.5</v>
      </c>
      <c r="HJ15">
        <v>4314.6000000000004</v>
      </c>
      <c r="HK15">
        <v>4380.1000000000004</v>
      </c>
      <c r="HL15">
        <v>4437.8</v>
      </c>
      <c r="HM15">
        <v>4505.6000000000004</v>
      </c>
    </row>
    <row r="16" spans="1:221" x14ac:dyDescent="0.35">
      <c r="A16" s="56" t="s">
        <v>2219</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114.1</v>
      </c>
      <c r="GQ16" s="56">
        <v>114.7</v>
      </c>
      <c r="GR16" s="56">
        <v>114.9</v>
      </c>
      <c r="GS16" s="56">
        <v>114.6</v>
      </c>
      <c r="GT16" s="56">
        <v>107.5</v>
      </c>
      <c r="GU16" s="56">
        <v>108</v>
      </c>
      <c r="GV16" s="56">
        <v>109.5</v>
      </c>
      <c r="GW16" s="56">
        <v>112.3</v>
      </c>
      <c r="GX16" s="56">
        <v>118.1</v>
      </c>
      <c r="GY16" s="56">
        <v>121.5</v>
      </c>
      <c r="GZ16" s="56">
        <v>124.5</v>
      </c>
      <c r="HA16" s="56">
        <v>127</v>
      </c>
      <c r="HB16" s="56">
        <v>129.19999999999999</v>
      </c>
      <c r="HC16">
        <v>131</v>
      </c>
      <c r="HD16">
        <v>132.4</v>
      </c>
      <c r="HE16">
        <v>133.5</v>
      </c>
      <c r="HF16">
        <v>134.30000000000001</v>
      </c>
      <c r="HG16">
        <v>135.1</v>
      </c>
      <c r="HH16">
        <v>136</v>
      </c>
      <c r="HI16">
        <v>136.9</v>
      </c>
      <c r="HJ16">
        <v>137.9</v>
      </c>
      <c r="HK16">
        <v>139</v>
      </c>
      <c r="HL16">
        <v>140.30000000000001</v>
      </c>
      <c r="HM16">
        <v>141.69999999999999</v>
      </c>
    </row>
    <row r="17" spans="1:221" x14ac:dyDescent="0.35">
      <c r="A17" s="56" t="s">
        <v>2220</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2155.4</v>
      </c>
      <c r="GQ17" s="56">
        <v>2217.6999999999998</v>
      </c>
      <c r="GR17" s="56">
        <v>2195.3000000000002</v>
      </c>
      <c r="GS17" s="56">
        <v>2226.1999999999998</v>
      </c>
      <c r="GT17" s="56">
        <v>2247.6999999999998</v>
      </c>
      <c r="GU17" s="56">
        <v>2107.4</v>
      </c>
      <c r="GV17" s="56">
        <v>2248.1999999999998</v>
      </c>
      <c r="GW17" s="56">
        <v>2377.8000000000002</v>
      </c>
      <c r="GX17" s="56">
        <v>2547.6999999999998</v>
      </c>
      <c r="GY17" s="56">
        <v>2675.6</v>
      </c>
      <c r="GZ17" s="56">
        <v>2750</v>
      </c>
      <c r="HA17" s="56">
        <v>2847</v>
      </c>
      <c r="HB17" s="56">
        <v>3254.1</v>
      </c>
      <c r="HC17">
        <v>3297.4</v>
      </c>
      <c r="HD17">
        <v>3224.9</v>
      </c>
      <c r="HE17">
        <v>3203.3</v>
      </c>
      <c r="HF17">
        <v>2834.2</v>
      </c>
      <c r="HG17">
        <v>2828.4</v>
      </c>
      <c r="HH17">
        <v>2866</v>
      </c>
      <c r="HI17">
        <v>2894.3</v>
      </c>
      <c r="HJ17">
        <v>2965.6</v>
      </c>
      <c r="HK17">
        <v>3005.4</v>
      </c>
      <c r="HL17">
        <v>3055.6</v>
      </c>
      <c r="HM17">
        <v>3100.5</v>
      </c>
    </row>
    <row r="18" spans="1:221" x14ac:dyDescent="0.35">
      <c r="A18" s="56" t="s">
        <v>2221</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1508.3</v>
      </c>
      <c r="GQ18" s="56">
        <v>1520.2</v>
      </c>
      <c r="GR18" s="56">
        <v>1553.6</v>
      </c>
      <c r="GS18" s="56">
        <v>1552.4</v>
      </c>
      <c r="GT18" s="56">
        <v>1557.2</v>
      </c>
      <c r="GU18" s="56">
        <v>1418</v>
      </c>
      <c r="GV18" s="56">
        <v>1539.4</v>
      </c>
      <c r="GW18" s="56">
        <v>1570.4</v>
      </c>
      <c r="GX18" s="56">
        <v>1598.3</v>
      </c>
      <c r="GY18" s="56">
        <v>1704.8</v>
      </c>
      <c r="GZ18" s="56">
        <v>1722.1</v>
      </c>
      <c r="HA18" s="56">
        <v>1775.1</v>
      </c>
      <c r="HB18" s="56">
        <v>1812.4</v>
      </c>
      <c r="HC18">
        <v>1853.2</v>
      </c>
      <c r="HD18">
        <v>1868.5</v>
      </c>
      <c r="HE18">
        <v>1866.9</v>
      </c>
      <c r="HF18">
        <v>1877.4</v>
      </c>
      <c r="HG18">
        <v>1885.2</v>
      </c>
      <c r="HH18">
        <v>1896.2</v>
      </c>
      <c r="HI18">
        <v>1913.6</v>
      </c>
      <c r="HJ18">
        <v>1938</v>
      </c>
      <c r="HK18">
        <v>1954.7</v>
      </c>
      <c r="HL18">
        <v>1975.9</v>
      </c>
      <c r="HM18">
        <v>2006.1</v>
      </c>
    </row>
    <row r="19" spans="1:221" x14ac:dyDescent="0.35">
      <c r="A19" s="56" t="s">
        <v>2222</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269.2</v>
      </c>
      <c r="GQ19" s="56">
        <v>282.39999999999998</v>
      </c>
      <c r="GR19" s="56">
        <v>281</v>
      </c>
      <c r="GS19" s="56">
        <v>302.2</v>
      </c>
      <c r="GT19" s="56">
        <v>255.9</v>
      </c>
      <c r="GU19" s="56">
        <v>266</v>
      </c>
      <c r="GV19" s="56">
        <v>340.1</v>
      </c>
      <c r="GW19" s="56">
        <v>333.6</v>
      </c>
      <c r="GX19" s="56">
        <v>373.1</v>
      </c>
      <c r="GY19" s="56">
        <v>437.6</v>
      </c>
      <c r="GZ19" s="56">
        <v>463.9</v>
      </c>
      <c r="HA19" s="56">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1" x14ac:dyDescent="0.35">
      <c r="A20" s="56" t="s">
        <v>2223</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3702.9</v>
      </c>
      <c r="GQ20" s="56">
        <v>3761.2</v>
      </c>
      <c r="GR20" s="56">
        <v>3814.8</v>
      </c>
      <c r="GS20" s="56">
        <v>3865</v>
      </c>
      <c r="GT20" s="56">
        <v>3943</v>
      </c>
      <c r="GU20" s="56">
        <v>4026</v>
      </c>
      <c r="GV20" s="56">
        <v>4001.6</v>
      </c>
      <c r="GW20" s="56">
        <v>4028</v>
      </c>
      <c r="GX20" s="56">
        <v>4147.6000000000004</v>
      </c>
      <c r="GY20" s="56">
        <v>4170</v>
      </c>
      <c r="GZ20" s="56">
        <v>4214</v>
      </c>
      <c r="HA20" s="56">
        <v>4282.3</v>
      </c>
      <c r="HB20" s="56">
        <v>4332.6000000000004</v>
      </c>
      <c r="HC20">
        <v>4437.6000000000004</v>
      </c>
      <c r="HD20">
        <v>4480.1000000000004</v>
      </c>
      <c r="HE20">
        <v>4564.8</v>
      </c>
      <c r="HF20">
        <v>4624.6000000000004</v>
      </c>
      <c r="HG20">
        <v>4645.8999999999996</v>
      </c>
      <c r="HH20">
        <v>4756.3999999999996</v>
      </c>
      <c r="HI20">
        <v>4815.2</v>
      </c>
      <c r="HJ20">
        <v>4881</v>
      </c>
      <c r="HK20">
        <v>4943</v>
      </c>
      <c r="HL20">
        <v>5035</v>
      </c>
      <c r="HM20">
        <v>5096.6000000000004</v>
      </c>
    </row>
    <row r="21" spans="1:221" x14ac:dyDescent="0.35">
      <c r="A21" s="56" t="s">
        <v>2224</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1416.9</v>
      </c>
      <c r="GQ21" s="56">
        <v>1424.3</v>
      </c>
      <c r="GR21" s="56">
        <v>1430.9</v>
      </c>
      <c r="GS21" s="56">
        <v>1448.6</v>
      </c>
      <c r="GT21" s="56">
        <v>1473.5</v>
      </c>
      <c r="GU21" s="56">
        <v>1403</v>
      </c>
      <c r="GV21" s="56">
        <v>1452.9</v>
      </c>
      <c r="GW21" s="56">
        <v>1490.8</v>
      </c>
      <c r="GX21" s="56">
        <v>1508.4</v>
      </c>
      <c r="GY21" s="56">
        <v>1544.5</v>
      </c>
      <c r="GZ21" s="56">
        <v>1581.6</v>
      </c>
      <c r="HA21" s="56">
        <v>1626.7</v>
      </c>
      <c r="HB21" s="56">
        <v>1666.3</v>
      </c>
      <c r="HC21">
        <v>1689</v>
      </c>
      <c r="HD21">
        <v>1735.8</v>
      </c>
      <c r="HE21">
        <v>1751.8</v>
      </c>
      <c r="HF21">
        <v>1781.9</v>
      </c>
      <c r="HG21">
        <v>1810.5</v>
      </c>
      <c r="HH21">
        <v>1839.3</v>
      </c>
      <c r="HI21">
        <v>1858.9</v>
      </c>
      <c r="HJ21">
        <v>1889</v>
      </c>
      <c r="HK21">
        <v>1896.1</v>
      </c>
      <c r="HL21">
        <v>1911</v>
      </c>
      <c r="HM21">
        <v>1934.8</v>
      </c>
    </row>
    <row r="22" spans="1:221" x14ac:dyDescent="0.35">
      <c r="A22" s="56" t="s">
        <v>2225</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102.848</v>
      </c>
      <c r="GQ22" s="56">
        <v>103.423</v>
      </c>
      <c r="GR22" s="56">
        <v>103.67</v>
      </c>
      <c r="GS22" s="56">
        <v>104.07599999999999</v>
      </c>
      <c r="GT22" s="56">
        <v>104.395</v>
      </c>
      <c r="GU22" s="56">
        <v>103.97499999999999</v>
      </c>
      <c r="GV22" s="56">
        <v>104.81399999999999</v>
      </c>
      <c r="GW22" s="56">
        <v>105.316</v>
      </c>
      <c r="GX22" s="56">
        <v>106.496</v>
      </c>
      <c r="GY22" s="56">
        <v>108.152</v>
      </c>
      <c r="GZ22" s="56">
        <v>109.646</v>
      </c>
      <c r="HA22" s="56">
        <v>111.461</v>
      </c>
      <c r="HB22" s="56">
        <v>113.56699999999999</v>
      </c>
      <c r="HC22">
        <v>115.663</v>
      </c>
      <c r="HD22">
        <v>117.01</v>
      </c>
      <c r="HE22">
        <v>118.169</v>
      </c>
      <c r="HF22">
        <v>119.316</v>
      </c>
      <c r="HG22">
        <v>120.17700000000001</v>
      </c>
      <c r="HH22">
        <v>120.97799999999999</v>
      </c>
      <c r="HI22">
        <v>121.473</v>
      </c>
      <c r="HJ22">
        <v>122.501</v>
      </c>
      <c r="HK22">
        <v>123.26900000000001</v>
      </c>
      <c r="HL22">
        <v>123.741</v>
      </c>
      <c r="HM22">
        <v>124.43600000000001</v>
      </c>
    </row>
    <row r="23" spans="1:221" x14ac:dyDescent="0.35">
      <c r="A23" s="56" t="s">
        <v>2226</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1403.2</v>
      </c>
      <c r="GQ23" s="56">
        <v>1408</v>
      </c>
      <c r="GR23" s="56">
        <v>1426.9</v>
      </c>
      <c r="GS23" s="56">
        <v>1439.9</v>
      </c>
      <c r="GT23" s="56">
        <v>1459.3</v>
      </c>
      <c r="GU23" s="56">
        <v>1567.7</v>
      </c>
      <c r="GV23" s="56">
        <v>1526.5</v>
      </c>
      <c r="GW23" s="56">
        <v>1538.6</v>
      </c>
      <c r="GX23" s="56">
        <v>1613.4</v>
      </c>
      <c r="GY23" s="56">
        <v>1597.4</v>
      </c>
      <c r="GZ23" s="56">
        <v>1585</v>
      </c>
      <c r="HA23" s="56">
        <v>1616.9</v>
      </c>
      <c r="HB23" s="56">
        <v>1606.5</v>
      </c>
      <c r="HC23">
        <v>1622.1</v>
      </c>
      <c r="HD23">
        <v>1641.4</v>
      </c>
      <c r="HE23">
        <v>1694.2</v>
      </c>
      <c r="HF23">
        <v>1731.6</v>
      </c>
      <c r="HG23">
        <v>1741.8</v>
      </c>
      <c r="HH23">
        <v>1780.9</v>
      </c>
      <c r="HI23">
        <v>1796.2</v>
      </c>
      <c r="HJ23">
        <v>1810.3</v>
      </c>
      <c r="HK23">
        <v>1842.2</v>
      </c>
      <c r="HL23">
        <v>1893.4</v>
      </c>
      <c r="HM23">
        <v>1922</v>
      </c>
    </row>
    <row r="24" spans="1:221" x14ac:dyDescent="0.35">
      <c r="A24" s="56" t="s">
        <v>2227</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2299.8000000000002</v>
      </c>
      <c r="GQ24" s="56">
        <v>2353.1999999999998</v>
      </c>
      <c r="GR24" s="56">
        <v>2388</v>
      </c>
      <c r="GS24" s="56">
        <v>2425.1</v>
      </c>
      <c r="GT24" s="56">
        <v>2483.6999999999998</v>
      </c>
      <c r="GU24" s="56">
        <v>2458.1999999999998</v>
      </c>
      <c r="GV24" s="56">
        <v>2475.1</v>
      </c>
      <c r="GW24" s="56">
        <v>2489.4</v>
      </c>
      <c r="GX24" s="56">
        <v>2534.1999999999998</v>
      </c>
      <c r="GY24" s="56">
        <v>2572.6</v>
      </c>
      <c r="GZ24" s="56">
        <v>2629</v>
      </c>
      <c r="HA24" s="56">
        <v>2665.4</v>
      </c>
      <c r="HB24" s="56">
        <v>2726.1</v>
      </c>
      <c r="HC24">
        <v>2815.5</v>
      </c>
      <c r="HD24">
        <v>2838.7</v>
      </c>
      <c r="HE24">
        <v>2870.6</v>
      </c>
      <c r="HF24">
        <v>2893</v>
      </c>
      <c r="HG24">
        <v>2904.1</v>
      </c>
      <c r="HH24">
        <v>2975.5</v>
      </c>
      <c r="HI24">
        <v>3019</v>
      </c>
      <c r="HJ24">
        <v>3070.7</v>
      </c>
      <c r="HK24">
        <v>3100.9</v>
      </c>
      <c r="HL24">
        <v>3141.6</v>
      </c>
      <c r="HM24">
        <v>3174.7</v>
      </c>
    </row>
    <row r="25" spans="1:221" x14ac:dyDescent="0.35">
      <c r="A25" s="56" t="s">
        <v>2228</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1339.8</v>
      </c>
      <c r="GQ25" s="56">
        <v>1353.4</v>
      </c>
      <c r="GR25" s="56">
        <v>1370.3</v>
      </c>
      <c r="GS25" s="56">
        <v>1377.8</v>
      </c>
      <c r="GT25" s="56">
        <v>1392.2</v>
      </c>
      <c r="GU25" s="56">
        <v>1494.7</v>
      </c>
      <c r="GV25" s="56">
        <v>1447.4</v>
      </c>
      <c r="GW25" s="56">
        <v>1447.9</v>
      </c>
      <c r="GX25" s="56">
        <v>1506.7</v>
      </c>
      <c r="GY25" s="56">
        <v>1475.7</v>
      </c>
      <c r="GZ25" s="56">
        <v>1447.2</v>
      </c>
      <c r="HA25" s="56">
        <v>1458.4</v>
      </c>
      <c r="HB25" s="56">
        <v>1426.3</v>
      </c>
      <c r="HC25">
        <v>1414.4</v>
      </c>
      <c r="HD25">
        <v>1412.9</v>
      </c>
      <c r="HE25">
        <v>1443.6</v>
      </c>
      <c r="HF25">
        <v>1460</v>
      </c>
      <c r="HG25">
        <v>1456</v>
      </c>
      <c r="HH25">
        <v>1474.8</v>
      </c>
      <c r="HI25">
        <v>1473.5</v>
      </c>
      <c r="HJ25">
        <v>1472.2</v>
      </c>
      <c r="HK25">
        <v>1487.8</v>
      </c>
      <c r="HL25">
        <v>1520</v>
      </c>
      <c r="HM25">
        <v>1532.1</v>
      </c>
    </row>
    <row r="26" spans="1:221" x14ac:dyDescent="0.35">
      <c r="A26" s="56" t="s">
        <v>2229</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2197</v>
      </c>
      <c r="GQ26" s="56">
        <v>2231.3000000000002</v>
      </c>
      <c r="GR26" s="56">
        <v>2255.4</v>
      </c>
      <c r="GS26" s="56">
        <v>2277</v>
      </c>
      <c r="GT26" s="56">
        <v>2302.1999999999998</v>
      </c>
      <c r="GU26" s="56">
        <v>2281.5</v>
      </c>
      <c r="GV26" s="56">
        <v>2269.8000000000002</v>
      </c>
      <c r="GW26" s="56">
        <v>2255.3000000000002</v>
      </c>
      <c r="GX26" s="56">
        <v>2246.1</v>
      </c>
      <c r="GY26" s="56">
        <v>2236.1</v>
      </c>
      <c r="GZ26" s="56">
        <v>2249</v>
      </c>
      <c r="HA26" s="56">
        <v>2236</v>
      </c>
      <c r="HB26" s="56">
        <v>2235.3000000000002</v>
      </c>
      <c r="HC26">
        <v>2232.9</v>
      </c>
      <c r="HD26">
        <v>2248</v>
      </c>
      <c r="HE26">
        <v>2266.9</v>
      </c>
      <c r="HF26">
        <v>2296.6</v>
      </c>
      <c r="HG26">
        <v>2327.1</v>
      </c>
      <c r="HH26">
        <v>2360.8000000000002</v>
      </c>
      <c r="HI26">
        <v>2395.9</v>
      </c>
      <c r="HJ26">
        <v>2414</v>
      </c>
      <c r="HK26">
        <v>2427.9</v>
      </c>
      <c r="HL26">
        <v>2445.3000000000002</v>
      </c>
      <c r="HM26">
        <v>2457.6999999999998</v>
      </c>
    </row>
    <row r="27" spans="1:221" x14ac:dyDescent="0.35">
      <c r="A27" s="56" t="s">
        <v>2230</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1681.9</v>
      </c>
      <c r="GQ27" s="56">
        <v>1686.7</v>
      </c>
      <c r="GR27" s="56">
        <v>1699.8</v>
      </c>
      <c r="GS27" s="56">
        <v>1736.2</v>
      </c>
      <c r="GT27" s="56">
        <v>1755.2</v>
      </c>
      <c r="GU27" s="56">
        <v>1622.1</v>
      </c>
      <c r="GV27" s="56">
        <v>1736.6</v>
      </c>
      <c r="GW27" s="56">
        <v>1849.4</v>
      </c>
      <c r="GX27" s="56">
        <v>1988.7</v>
      </c>
      <c r="GY27" s="56">
        <v>2089.5</v>
      </c>
      <c r="GZ27" s="56">
        <v>2173.6</v>
      </c>
      <c r="HA27" s="56">
        <v>2248</v>
      </c>
      <c r="HB27" s="56">
        <v>2597.4</v>
      </c>
      <c r="HC27">
        <v>2604.3000000000002</v>
      </c>
      <c r="HD27">
        <v>2628.3</v>
      </c>
      <c r="HE27">
        <v>2595.6999999999998</v>
      </c>
      <c r="HF27">
        <v>2256.3000000000002</v>
      </c>
      <c r="HG27">
        <v>2246.8000000000002</v>
      </c>
      <c r="HH27">
        <v>2260.5</v>
      </c>
      <c r="HI27">
        <v>2282.1999999999998</v>
      </c>
      <c r="HJ27">
        <v>2356.1</v>
      </c>
      <c r="HK27">
        <v>2375.4</v>
      </c>
      <c r="HL27">
        <v>2400.1</v>
      </c>
      <c r="HM27">
        <v>2436.5</v>
      </c>
    </row>
    <row r="28" spans="1:221" x14ac:dyDescent="0.35">
      <c r="A28" s="56" t="s">
        <v>2231</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174.8</v>
      </c>
      <c r="GQ28" s="56">
        <v>169.2</v>
      </c>
      <c r="GR28" s="56">
        <v>176.8</v>
      </c>
      <c r="GS28" s="56">
        <v>178.8</v>
      </c>
      <c r="GT28" s="56">
        <v>184.1</v>
      </c>
      <c r="GU28" s="56">
        <v>129.30000000000001</v>
      </c>
      <c r="GV28" s="56">
        <v>149.30000000000001</v>
      </c>
      <c r="GW28" s="56">
        <v>158.69999999999999</v>
      </c>
      <c r="GX28" s="56">
        <v>162.19999999999999</v>
      </c>
      <c r="GY28" s="56">
        <v>180.5</v>
      </c>
      <c r="GZ28" s="56">
        <v>183.8</v>
      </c>
      <c r="HA28" s="56">
        <v>195.8</v>
      </c>
      <c r="HB28" s="56">
        <v>207.1</v>
      </c>
      <c r="HC28">
        <v>209</v>
      </c>
      <c r="HD28">
        <v>200.3</v>
      </c>
      <c r="HE28">
        <v>190</v>
      </c>
      <c r="HF28">
        <v>179.7</v>
      </c>
      <c r="HG28">
        <v>175.8</v>
      </c>
      <c r="HH28">
        <v>172.2</v>
      </c>
      <c r="HI28">
        <v>169.3</v>
      </c>
      <c r="HJ28">
        <v>177.2</v>
      </c>
      <c r="HK28">
        <v>172.4</v>
      </c>
      <c r="HL28">
        <v>181.4</v>
      </c>
      <c r="HM28">
        <v>182.6</v>
      </c>
    </row>
    <row r="29" spans="1:221" x14ac:dyDescent="0.35">
      <c r="A29" s="56" t="s">
        <v>2232</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197.4</v>
      </c>
      <c r="GQ29" s="56">
        <v>205.6</v>
      </c>
      <c r="GR29" s="56">
        <v>206.9</v>
      </c>
      <c r="GS29" s="56">
        <v>231.9</v>
      </c>
      <c r="GT29" s="56">
        <v>191.5</v>
      </c>
      <c r="GU29" s="56">
        <v>199.6</v>
      </c>
      <c r="GV29" s="56">
        <v>258.60000000000002</v>
      </c>
      <c r="GW29" s="56">
        <v>251.2</v>
      </c>
      <c r="GX29" s="56">
        <v>289.89999999999998</v>
      </c>
      <c r="GY29" s="56">
        <v>343.9</v>
      </c>
      <c r="GZ29" s="56">
        <v>344.5</v>
      </c>
      <c r="HA29" s="56">
        <v>357.9</v>
      </c>
      <c r="HB29">
        <v>379.6</v>
      </c>
      <c r="HC29">
        <v>417.1</v>
      </c>
      <c r="HD29">
        <v>402.2</v>
      </c>
      <c r="HE29">
        <v>406.9</v>
      </c>
      <c r="HF29">
        <v>434.3</v>
      </c>
      <c r="HG29">
        <v>429.4</v>
      </c>
      <c r="HH29">
        <v>451.9</v>
      </c>
      <c r="HI29">
        <v>464.8</v>
      </c>
      <c r="HJ29">
        <v>459.9</v>
      </c>
      <c r="HK29">
        <v>493.4</v>
      </c>
      <c r="HL29">
        <v>493.1</v>
      </c>
    </row>
    <row r="30" spans="1:221" x14ac:dyDescent="0.35">
      <c r="A30" s="56" t="s">
        <v>2233</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1396</v>
      </c>
      <c r="GQ30" s="56">
        <v>1403.5</v>
      </c>
      <c r="GR30" s="56">
        <v>1410.3</v>
      </c>
      <c r="GS30" s="56">
        <v>1428.2</v>
      </c>
      <c r="GT30" s="56">
        <v>1453.2</v>
      </c>
      <c r="GU30" s="56">
        <v>1383.7</v>
      </c>
      <c r="GV30" s="56">
        <v>1433</v>
      </c>
      <c r="GW30" s="56">
        <v>1470.2</v>
      </c>
      <c r="GX30" s="56">
        <v>1487.2</v>
      </c>
      <c r="GY30" s="56">
        <v>1522.5</v>
      </c>
      <c r="GZ30" s="56">
        <v>1559</v>
      </c>
      <c r="HA30" s="56">
        <v>1603.5</v>
      </c>
      <c r="HB30" s="56">
        <v>1642.9</v>
      </c>
      <c r="HC30">
        <v>1665.9</v>
      </c>
      <c r="HD30">
        <v>1713.2</v>
      </c>
      <c r="HE30">
        <v>1729.9</v>
      </c>
      <c r="HF30">
        <v>1761.2</v>
      </c>
      <c r="HG30">
        <v>1789.9</v>
      </c>
      <c r="HH30">
        <v>1818</v>
      </c>
      <c r="HI30">
        <v>1836.2</v>
      </c>
      <c r="HJ30">
        <v>1864.1</v>
      </c>
      <c r="HK30">
        <v>1869.4</v>
      </c>
      <c r="HL30">
        <v>1883.5</v>
      </c>
      <c r="HM30">
        <v>1907.2</v>
      </c>
    </row>
    <row r="31" spans="1:221" x14ac:dyDescent="0.35">
      <c r="A31" s="56" t="s">
        <v>2234</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2303.8000000000002</v>
      </c>
      <c r="GQ31" s="56">
        <v>2321.6999999999998</v>
      </c>
      <c r="GR31" s="56">
        <v>2337.1</v>
      </c>
      <c r="GS31" s="56">
        <v>2349.5</v>
      </c>
      <c r="GT31" s="56">
        <v>2414.4</v>
      </c>
      <c r="GU31" s="56">
        <v>4654.1000000000004</v>
      </c>
      <c r="GV31" s="56">
        <v>3504.7</v>
      </c>
      <c r="GW31" s="56">
        <v>2888.4</v>
      </c>
      <c r="GX31" s="56">
        <v>5138.1000000000004</v>
      </c>
      <c r="GY31" s="56">
        <v>3397.8</v>
      </c>
      <c r="GZ31" s="56">
        <v>3124.9</v>
      </c>
      <c r="HA31" s="56">
        <v>2952.6</v>
      </c>
      <c r="HB31" s="56">
        <v>2970.9</v>
      </c>
      <c r="HC31">
        <v>2976.2</v>
      </c>
      <c r="HD31">
        <v>2970.4</v>
      </c>
      <c r="HE31">
        <v>3024.4</v>
      </c>
      <c r="HF31">
        <v>3038.4</v>
      </c>
      <c r="HG31">
        <v>3049.1</v>
      </c>
      <c r="HH31">
        <v>3078</v>
      </c>
      <c r="HI31">
        <v>3095.6</v>
      </c>
      <c r="HJ31">
        <v>3201.1</v>
      </c>
      <c r="HK31">
        <v>3243.1</v>
      </c>
      <c r="HL31">
        <v>3283.8</v>
      </c>
      <c r="HM31">
        <v>3330.1</v>
      </c>
    </row>
    <row r="32" spans="1:221" x14ac:dyDescent="0.35">
      <c r="A32" s="56" t="s">
        <v>2235</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591.20000000000005</v>
      </c>
      <c r="GQ32" s="56">
        <v>610.70000000000005</v>
      </c>
      <c r="GR32" s="56">
        <v>608.79999999999995</v>
      </c>
      <c r="GS32" s="56">
        <v>625</v>
      </c>
      <c r="GT32" s="56">
        <v>635</v>
      </c>
      <c r="GU32" s="56">
        <v>1387</v>
      </c>
      <c r="GV32" s="56">
        <v>734.9</v>
      </c>
      <c r="GW32" s="56">
        <v>757.9</v>
      </c>
      <c r="GX32" s="56">
        <v>777.7</v>
      </c>
      <c r="GY32" s="56">
        <v>1640.8</v>
      </c>
      <c r="GZ32" s="56">
        <v>1085.5999999999999</v>
      </c>
      <c r="HA32" s="56">
        <v>936.3</v>
      </c>
      <c r="HB32" s="56">
        <v>930</v>
      </c>
      <c r="HC32">
        <v>951.4</v>
      </c>
      <c r="HD32">
        <v>956.4</v>
      </c>
      <c r="HE32">
        <v>955.4</v>
      </c>
      <c r="HF32">
        <v>977.7</v>
      </c>
      <c r="HG32">
        <v>967.9</v>
      </c>
      <c r="HH32">
        <v>915.6</v>
      </c>
      <c r="HI32">
        <v>941.4</v>
      </c>
      <c r="HJ32">
        <v>941</v>
      </c>
      <c r="HK32">
        <v>949.1</v>
      </c>
      <c r="HL32">
        <v>981.6</v>
      </c>
      <c r="HM32">
        <v>981.1</v>
      </c>
    </row>
    <row r="33" spans="1:221" x14ac:dyDescent="0.35">
      <c r="A33" s="56" t="s">
        <v>2236</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473.5</v>
      </c>
      <c r="GQ33" s="56">
        <v>531</v>
      </c>
      <c r="GR33" s="56">
        <v>495.6</v>
      </c>
      <c r="GS33" s="56">
        <v>490.1</v>
      </c>
      <c r="GT33" s="56">
        <v>492.5</v>
      </c>
      <c r="GU33" s="56">
        <v>485.2</v>
      </c>
      <c r="GV33" s="56">
        <v>511.6</v>
      </c>
      <c r="GW33" s="56">
        <v>528.4</v>
      </c>
      <c r="GX33" s="56">
        <v>559</v>
      </c>
      <c r="GY33" s="56">
        <v>586.1</v>
      </c>
      <c r="GZ33" s="56">
        <v>576.4</v>
      </c>
      <c r="HA33" s="56">
        <v>599.1</v>
      </c>
      <c r="HB33" s="56">
        <v>656.7</v>
      </c>
      <c r="HC33">
        <v>693.1</v>
      </c>
      <c r="HD33">
        <v>596.6</v>
      </c>
      <c r="HE33">
        <v>607.6</v>
      </c>
      <c r="HF33">
        <v>578</v>
      </c>
      <c r="HG33">
        <v>581.6</v>
      </c>
      <c r="HH33">
        <v>605.5</v>
      </c>
      <c r="HI33">
        <v>612.1</v>
      </c>
      <c r="HJ33">
        <v>609.5</v>
      </c>
      <c r="HK33">
        <v>630</v>
      </c>
      <c r="HL33">
        <v>655.5</v>
      </c>
      <c r="HM33">
        <v>664</v>
      </c>
    </row>
    <row r="34" spans="1:221" x14ac:dyDescent="0.35">
      <c r="A34" s="56" t="s">
        <v>2237</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1333.5</v>
      </c>
      <c r="GQ34" s="56">
        <v>1351</v>
      </c>
      <c r="GR34" s="56">
        <v>1376.8</v>
      </c>
      <c r="GS34" s="56">
        <v>1373.6</v>
      </c>
      <c r="GT34" s="56">
        <v>1373.1</v>
      </c>
      <c r="GU34" s="56">
        <v>1288.7</v>
      </c>
      <c r="GV34" s="56">
        <v>1390.2</v>
      </c>
      <c r="GW34" s="56">
        <v>1411.7</v>
      </c>
      <c r="GX34" s="56">
        <v>1436.2</v>
      </c>
      <c r="GY34" s="56">
        <v>1524.3</v>
      </c>
      <c r="GZ34" s="56">
        <v>1538.3</v>
      </c>
      <c r="HA34" s="56">
        <v>1579.3</v>
      </c>
      <c r="HB34" s="56">
        <v>1605.3</v>
      </c>
      <c r="HC34">
        <v>1644.2</v>
      </c>
      <c r="HD34">
        <v>1668.2</v>
      </c>
      <c r="HE34">
        <v>1676.9</v>
      </c>
      <c r="HF34">
        <v>1697.8</v>
      </c>
      <c r="HG34">
        <v>1709.4</v>
      </c>
      <c r="HH34">
        <v>1724</v>
      </c>
      <c r="HI34">
        <v>1744.3</v>
      </c>
      <c r="HJ34">
        <v>1760.8</v>
      </c>
      <c r="HK34">
        <v>1782.3</v>
      </c>
      <c r="HL34">
        <v>1794.5</v>
      </c>
      <c r="HM34">
        <v>1823.5</v>
      </c>
    </row>
    <row r="35" spans="1:221" x14ac:dyDescent="0.35">
      <c r="A35" s="56" t="s">
        <v>2238</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71.8</v>
      </c>
      <c r="GQ35" s="56">
        <v>76.8</v>
      </c>
      <c r="GR35" s="56">
        <v>74.099999999999994</v>
      </c>
      <c r="GS35" s="56">
        <v>70.3</v>
      </c>
      <c r="GT35" s="56">
        <v>64.5</v>
      </c>
      <c r="GU35" s="56">
        <v>66.400000000000006</v>
      </c>
      <c r="GV35" s="56">
        <v>81.5</v>
      </c>
      <c r="GW35" s="56">
        <v>82.4</v>
      </c>
      <c r="GX35" s="56">
        <v>83.1</v>
      </c>
      <c r="GY35" s="56">
        <v>93.7</v>
      </c>
      <c r="GZ35" s="56">
        <v>119.3</v>
      </c>
      <c r="HA35" s="56">
        <v>168.1</v>
      </c>
      <c r="HB35">
        <v>170.8</v>
      </c>
      <c r="HC35">
        <v>157.6</v>
      </c>
      <c r="HD35">
        <v>159.1</v>
      </c>
      <c r="HE35">
        <v>162.19999999999999</v>
      </c>
      <c r="HF35">
        <v>158.69999999999999</v>
      </c>
      <c r="HG35">
        <v>162.4</v>
      </c>
      <c r="HH35">
        <v>165.9</v>
      </c>
      <c r="HI35">
        <v>166.9</v>
      </c>
      <c r="HJ35">
        <v>170.4</v>
      </c>
      <c r="HK35">
        <v>164</v>
      </c>
      <c r="HL35">
        <v>162.6</v>
      </c>
    </row>
    <row r="36" spans="1:221" x14ac:dyDescent="0.35">
      <c r="A36" s="56" t="s">
        <v>2239</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20.5</v>
      </c>
      <c r="GT36" s="56">
        <v>20.3</v>
      </c>
      <c r="GU36" s="56">
        <v>19.3</v>
      </c>
      <c r="GV36" s="56">
        <v>19.899999999999999</v>
      </c>
      <c r="GW36" s="56">
        <v>20.6</v>
      </c>
      <c r="GX36" s="56">
        <v>21.3</v>
      </c>
      <c r="GY36" s="56">
        <v>22</v>
      </c>
      <c r="GZ36" s="56">
        <v>22.6</v>
      </c>
      <c r="HA36" s="56">
        <v>23.1</v>
      </c>
      <c r="HB36" s="56">
        <v>23.4</v>
      </c>
      <c r="HC36">
        <v>23.1</v>
      </c>
      <c r="HD36">
        <v>22.7</v>
      </c>
      <c r="HE36">
        <v>21.8</v>
      </c>
      <c r="HF36">
        <v>20.8</v>
      </c>
      <c r="HG36">
        <v>20.5</v>
      </c>
      <c r="HH36">
        <v>21.2</v>
      </c>
      <c r="HI36">
        <v>22.8</v>
      </c>
      <c r="HJ36">
        <v>25</v>
      </c>
      <c r="HK36">
        <v>26.7</v>
      </c>
      <c r="HL36">
        <v>27.5</v>
      </c>
      <c r="HM36">
        <v>27.6</v>
      </c>
    </row>
    <row r="37" spans="1:221" x14ac:dyDescent="0.35">
      <c r="A37" s="56" t="s">
        <v>2240</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744.3</v>
      </c>
      <c r="GQ37" s="56">
        <v>762.3</v>
      </c>
      <c r="GR37" s="56">
        <v>772.2</v>
      </c>
      <c r="GS37" s="56">
        <v>772.1</v>
      </c>
      <c r="GT37" s="56">
        <v>760.8</v>
      </c>
      <c r="GU37" s="56">
        <v>811.3</v>
      </c>
      <c r="GV37" s="56">
        <v>850.3</v>
      </c>
      <c r="GW37" s="56">
        <v>840.3</v>
      </c>
      <c r="GX37" s="56">
        <v>869.7</v>
      </c>
      <c r="GY37" s="56">
        <v>913.8</v>
      </c>
      <c r="GZ37" s="56">
        <v>923.8</v>
      </c>
      <c r="HA37" s="56">
        <v>923.5</v>
      </c>
      <c r="HB37" s="56">
        <v>973.6</v>
      </c>
      <c r="HC37">
        <v>1010.5</v>
      </c>
      <c r="HD37">
        <v>1032.5999999999999</v>
      </c>
      <c r="HE37">
        <v>1096.5999999999999</v>
      </c>
      <c r="HF37">
        <v>1083.2</v>
      </c>
      <c r="HG37">
        <v>1111.0999999999999</v>
      </c>
      <c r="HH37">
        <v>1069.4000000000001</v>
      </c>
      <c r="HI37">
        <v>1061</v>
      </c>
      <c r="HJ37">
        <v>1113.5</v>
      </c>
      <c r="HK37">
        <v>1136.9000000000001</v>
      </c>
      <c r="HL37">
        <v>1154</v>
      </c>
      <c r="HM37">
        <v>1175.4000000000001</v>
      </c>
    </row>
    <row r="38" spans="1:221" x14ac:dyDescent="0.35">
      <c r="A38" s="56" t="s">
        <v>2241</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3069.1</v>
      </c>
      <c r="GQ38" s="56">
        <v>3141.9</v>
      </c>
      <c r="GR38" s="56">
        <v>3185.2</v>
      </c>
      <c r="GS38" s="56">
        <v>3217.2</v>
      </c>
      <c r="GT38" s="56">
        <v>3255.1</v>
      </c>
      <c r="GU38" s="56">
        <v>3273.8</v>
      </c>
      <c r="GV38" s="56">
        <v>3321.8</v>
      </c>
      <c r="GW38" s="56">
        <v>3321.3</v>
      </c>
      <c r="GX38" s="56">
        <v>3391.7</v>
      </c>
      <c r="GY38" s="56">
        <v>3467.1</v>
      </c>
      <c r="GZ38" s="56">
        <v>3507.6</v>
      </c>
      <c r="HA38" s="56">
        <v>3518.9</v>
      </c>
      <c r="HB38" s="56">
        <v>3599.4</v>
      </c>
      <c r="HC38">
        <v>3703.4</v>
      </c>
      <c r="HD38">
        <v>3749.1</v>
      </c>
      <c r="HE38">
        <v>3838.5</v>
      </c>
      <c r="HF38">
        <v>3861.7</v>
      </c>
      <c r="HG38">
        <v>3911.8</v>
      </c>
      <c r="HH38">
        <v>3944.8</v>
      </c>
      <c r="HI38">
        <v>3975.3</v>
      </c>
      <c r="HJ38">
        <v>4067.2</v>
      </c>
      <c r="HK38">
        <v>4111.1000000000004</v>
      </c>
      <c r="HL38">
        <v>4161.6000000000004</v>
      </c>
      <c r="HM38">
        <v>4213.7</v>
      </c>
    </row>
    <row r="39" spans="1:221" x14ac:dyDescent="0.35">
      <c r="A39" s="56" t="s">
        <v>2242</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427.00200000000001</v>
      </c>
      <c r="GQ39" s="56">
        <v>436.45400000000001</v>
      </c>
      <c r="GR39" s="56">
        <v>437.673</v>
      </c>
      <c r="GS39" s="56">
        <v>439.75400000000002</v>
      </c>
      <c r="GT39" s="56">
        <v>445.96899999999999</v>
      </c>
      <c r="GU39" s="56">
        <v>580.00900000000001</v>
      </c>
      <c r="GV39" s="56">
        <v>532.596</v>
      </c>
      <c r="GW39" s="56">
        <v>548.31500000000005</v>
      </c>
      <c r="GX39" s="56">
        <v>537.87199999999996</v>
      </c>
      <c r="GY39" s="56">
        <v>552.75199999999995</v>
      </c>
      <c r="GZ39" s="56">
        <v>583.20100000000002</v>
      </c>
      <c r="HA39" s="56">
        <v>617.22900000000004</v>
      </c>
      <c r="HB39" s="56">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c r="HM39">
        <v>689.81600000000003</v>
      </c>
    </row>
    <row r="40" spans="1:221" x14ac:dyDescent="0.35">
      <c r="A40" s="56" t="s">
        <v>2243</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405.36799999999999</v>
      </c>
      <c r="GQ40" s="56">
        <v>414.19600000000003</v>
      </c>
      <c r="GR40" s="56">
        <v>418.68599999999998</v>
      </c>
      <c r="GS40" s="56">
        <v>416.185</v>
      </c>
      <c r="GT40" s="56">
        <v>422.89</v>
      </c>
      <c r="GU40" s="56">
        <v>502.90600000000001</v>
      </c>
      <c r="GV40" s="56">
        <v>484.48</v>
      </c>
      <c r="GW40" s="56">
        <v>509.88400000000001</v>
      </c>
      <c r="GX40" s="56">
        <v>499.42899999999997</v>
      </c>
      <c r="GY40" s="56">
        <v>520.79</v>
      </c>
      <c r="GZ40" s="56">
        <v>545.32600000000002</v>
      </c>
      <c r="HA40" s="56">
        <v>567.61</v>
      </c>
      <c r="HB40" s="56">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c r="HM40">
        <v>655.17499999999995</v>
      </c>
    </row>
    <row r="41" spans="1:221" x14ac:dyDescent="0.35">
      <c r="A41" s="56" t="s">
        <v>2244</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67.563999999999993</v>
      </c>
      <c r="GQ41" s="56">
        <v>67.513999999999996</v>
      </c>
      <c r="GR41" s="56">
        <v>70.83</v>
      </c>
      <c r="GS41" s="56">
        <v>72.497</v>
      </c>
      <c r="GT41" s="56">
        <v>75.649000000000001</v>
      </c>
      <c r="GU41" s="56">
        <v>75.483999999999995</v>
      </c>
      <c r="GV41" s="56">
        <v>79.444000000000003</v>
      </c>
      <c r="GW41" s="56">
        <v>75.742999999999995</v>
      </c>
      <c r="GX41" s="56">
        <v>73.183000000000007</v>
      </c>
      <c r="GY41" s="56">
        <v>74.421000000000006</v>
      </c>
      <c r="GZ41" s="56">
        <v>70.334000000000003</v>
      </c>
      <c r="HA41" s="56">
        <v>72.707999999999998</v>
      </c>
      <c r="HB41" s="56">
        <v>75.024000000000001</v>
      </c>
      <c r="HC41">
        <v>427.625</v>
      </c>
      <c r="HD41">
        <v>145.124</v>
      </c>
      <c r="HE41">
        <v>81.415999999999997</v>
      </c>
      <c r="HF41">
        <v>81.027000000000001</v>
      </c>
      <c r="HG41">
        <v>89.128</v>
      </c>
      <c r="HH41">
        <v>92.77</v>
      </c>
      <c r="HI41">
        <v>90.915000000000006</v>
      </c>
      <c r="HJ41">
        <v>93.025000000000006</v>
      </c>
      <c r="HK41">
        <v>95.403000000000006</v>
      </c>
      <c r="HL41">
        <v>100.43</v>
      </c>
      <c r="HM41">
        <v>179.066</v>
      </c>
    </row>
    <row r="42" spans="1:221" x14ac:dyDescent="0.35">
      <c r="A42" s="56" t="s">
        <v>2245</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1031.8</v>
      </c>
      <c r="GV42" s="56">
        <v>1163.3</v>
      </c>
      <c r="GW42" s="56">
        <v>516.4</v>
      </c>
      <c r="GX42" s="56">
        <v>518.1</v>
      </c>
      <c r="GY42" s="56">
        <v>822</v>
      </c>
      <c r="GZ42" s="56">
        <v>673.4</v>
      </c>
      <c r="HA42" s="56">
        <v>413.4</v>
      </c>
      <c r="HB42" s="56">
        <v>150.80000000000001</v>
      </c>
      <c r="HC42">
        <v>129.30000000000001</v>
      </c>
      <c r="HD42">
        <v>118.4</v>
      </c>
      <c r="HE42">
        <v>110.8</v>
      </c>
      <c r="HF42">
        <v>103.8</v>
      </c>
      <c r="HG42">
        <v>101.8</v>
      </c>
      <c r="HH42">
        <v>104</v>
      </c>
      <c r="HI42">
        <v>98.9</v>
      </c>
      <c r="HJ42">
        <v>96.1</v>
      </c>
      <c r="HK42">
        <v>93.7</v>
      </c>
      <c r="HL42">
        <v>92.1</v>
      </c>
      <c r="HM42">
        <v>93</v>
      </c>
    </row>
    <row r="43" spans="1:221" x14ac:dyDescent="0.35">
      <c r="A43" s="56" t="s">
        <v>2246</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c r="HK43">
        <v>0.7</v>
      </c>
      <c r="HL43">
        <v>0.7</v>
      </c>
      <c r="HM43">
        <v>0.7</v>
      </c>
    </row>
    <row r="44" spans="1:221" x14ac:dyDescent="0.35">
      <c r="A44" s="56" t="s">
        <v>2247</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80.7</v>
      </c>
      <c r="GU44" s="56">
        <v>1032.4000000000001</v>
      </c>
      <c r="GV44" s="56">
        <v>1163.9000000000001</v>
      </c>
      <c r="GW44" s="56">
        <v>517</v>
      </c>
      <c r="GX44" s="56">
        <v>520.70000000000005</v>
      </c>
      <c r="GY44" s="56">
        <v>830.7</v>
      </c>
      <c r="GZ44" s="56">
        <v>674.1</v>
      </c>
      <c r="HA44" s="56">
        <v>414.1</v>
      </c>
      <c r="HB44" s="56">
        <v>151.5</v>
      </c>
      <c r="HC44">
        <v>130</v>
      </c>
      <c r="HD44">
        <v>119.1</v>
      </c>
      <c r="HE44">
        <v>111.5</v>
      </c>
      <c r="HF44">
        <v>104.5</v>
      </c>
      <c r="HG44">
        <v>102.5</v>
      </c>
      <c r="HH44">
        <v>104.7</v>
      </c>
      <c r="HI44">
        <v>99.6</v>
      </c>
      <c r="HJ44">
        <v>96.8</v>
      </c>
      <c r="HK44">
        <v>94.4</v>
      </c>
      <c r="HL44">
        <v>92.8</v>
      </c>
      <c r="HM44">
        <v>93.7</v>
      </c>
    </row>
    <row r="45" spans="1:221" x14ac:dyDescent="0.35">
      <c r="A45" s="56" t="s">
        <v>2248</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21" x14ac:dyDescent="0.35">
      <c r="A46" s="56" t="s">
        <v>2249</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21" x14ac:dyDescent="0.35">
      <c r="A47" s="56" t="s">
        <v>2250</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21" x14ac:dyDescent="0.35">
      <c r="A48" s="56" t="s">
        <v>2251</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x14ac:dyDescent="0.35">
      <c r="A49" s="56" t="s">
        <v>2252</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x14ac:dyDescent="0.35">
      <c r="A50" s="56" t="s">
        <v>2253</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x14ac:dyDescent="0.35">
      <c r="A51" s="56" t="s">
        <v>2254</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x14ac:dyDescent="0.35">
      <c r="A52" s="56" t="s">
        <v>2255</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x14ac:dyDescent="0.35">
      <c r="A53" s="56" t="s">
        <v>2256</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x14ac:dyDescent="0.35">
      <c r="A54" s="56" t="s">
        <v>2257</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x14ac:dyDescent="0.35">
      <c r="A55" s="56" t="s">
        <v>2258</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x14ac:dyDescent="0.35">
      <c r="A56" s="56" t="s">
        <v>2259</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x14ac:dyDescent="0.35">
      <c r="A57" s="56" t="s">
        <v>2260</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x14ac:dyDescent="0.35">
      <c r="A58" s="56" t="s">
        <v>2261</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x14ac:dyDescent="0.35">
      <c r="A59" s="56" t="s">
        <v>2262</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x14ac:dyDescent="0.35">
      <c r="A60" s="56" t="s">
        <v>2263</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x14ac:dyDescent="0.35">
      <c r="A61" s="56" t="s">
        <v>2264</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x14ac:dyDescent="0.35">
      <c r="A62" s="56" t="s">
        <v>2265</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x14ac:dyDescent="0.35">
      <c r="A63" s="56" t="s">
        <v>2266</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x14ac:dyDescent="0.35">
      <c r="A64" s="56" t="s">
        <v>2267</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21" x14ac:dyDescent="0.35">
      <c r="A65" s="56" t="s">
        <v>2268</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86</v>
      </c>
      <c r="GQ65" s="56">
        <v>78.599999999999994</v>
      </c>
      <c r="GR65" s="56">
        <v>82.2</v>
      </c>
      <c r="GS65" s="56">
        <v>134</v>
      </c>
      <c r="GT65" s="56">
        <v>95.5</v>
      </c>
      <c r="GU65" s="56">
        <v>92.4</v>
      </c>
      <c r="GV65" s="56">
        <v>92.9</v>
      </c>
      <c r="GW65" s="56">
        <v>89.2</v>
      </c>
      <c r="GX65" s="56">
        <v>301.10000000000002</v>
      </c>
      <c r="GY65" s="56">
        <v>85.6</v>
      </c>
      <c r="GZ65" s="56">
        <v>98.4</v>
      </c>
      <c r="HA65" s="56">
        <v>88.6</v>
      </c>
      <c r="HB65" s="56">
        <v>89.5</v>
      </c>
      <c r="HC65">
        <v>476.6</v>
      </c>
      <c r="HD65">
        <v>203.9</v>
      </c>
      <c r="HE65">
        <v>108.6</v>
      </c>
      <c r="HF65">
        <v>246.5</v>
      </c>
      <c r="HG65">
        <v>385</v>
      </c>
      <c r="HH65">
        <v>343</v>
      </c>
      <c r="HI65">
        <v>164.7</v>
      </c>
      <c r="HJ65">
        <v>159.80000000000001</v>
      </c>
      <c r="HK65">
        <v>167.3</v>
      </c>
      <c r="HL65">
        <v>186.2</v>
      </c>
      <c r="HM65">
        <v>253.5</v>
      </c>
    </row>
    <row r="66" spans="1:221" x14ac:dyDescent="0.35">
      <c r="A66" s="56" t="s">
        <v>2269</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55.875</v>
      </c>
      <c r="GQ66" s="56">
        <v>54.335999999999999</v>
      </c>
      <c r="GR66" s="56">
        <v>54.345999999999997</v>
      </c>
      <c r="GS66" s="56">
        <v>54.290999999999997</v>
      </c>
      <c r="GT66" s="56">
        <v>61.624000000000002</v>
      </c>
      <c r="GU66" s="56">
        <v>105.667</v>
      </c>
      <c r="GV66" s="56">
        <v>105.886</v>
      </c>
      <c r="GW66" s="56">
        <v>106.60599999999999</v>
      </c>
      <c r="GX66" s="56">
        <v>145.78700000000001</v>
      </c>
      <c r="GY66" s="56">
        <v>155.346</v>
      </c>
      <c r="GZ66" s="56">
        <v>148.60300000000001</v>
      </c>
      <c r="HA66" s="56">
        <v>154.94</v>
      </c>
      <c r="HB66" s="56">
        <v>131.55099999999999</v>
      </c>
      <c r="HC66">
        <v>128.34899999999999</v>
      </c>
      <c r="HD66">
        <v>125.361</v>
      </c>
      <c r="HE66">
        <v>146.43</v>
      </c>
      <c r="HF66">
        <v>138.40799999999999</v>
      </c>
      <c r="HG66">
        <v>106.691</v>
      </c>
      <c r="HH66">
        <v>106.29600000000001</v>
      </c>
      <c r="HI66">
        <v>93.49</v>
      </c>
      <c r="HJ66">
        <v>92.007999999999996</v>
      </c>
      <c r="HK66">
        <v>96.12</v>
      </c>
      <c r="HL66">
        <v>102.79</v>
      </c>
      <c r="HM66">
        <v>99.040999999999997</v>
      </c>
    </row>
    <row r="67" spans="1:221" x14ac:dyDescent="0.35">
      <c r="A67" s="56" t="s">
        <v>2270</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c r="HM67">
        <v>316.52666666666698</v>
      </c>
    </row>
    <row r="68" spans="1:221" x14ac:dyDescent="0.35">
      <c r="A68" s="56" t="s">
        <v>2271</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c r="HM68">
        <v>310.05</v>
      </c>
    </row>
    <row r="69" spans="1:221" x14ac:dyDescent="0.35">
      <c r="A69" s="56" t="s">
        <v>2272</v>
      </c>
      <c r="B69" s="56">
        <v>5306</v>
      </c>
      <c r="C69" s="56">
        <v>5349.1</v>
      </c>
      <c r="D69" s="56">
        <v>5391.1</v>
      </c>
      <c r="E69" s="56">
        <v>5432.9</v>
      </c>
      <c r="F69" s="56">
        <v>5476.1</v>
      </c>
      <c r="G69" s="56">
        <v>5522.1</v>
      </c>
      <c r="H69" s="56">
        <v>5569.5</v>
      </c>
      <c r="I69" s="56">
        <v>5617.2</v>
      </c>
      <c r="J69" s="56">
        <v>5663.7</v>
      </c>
      <c r="K69" s="56">
        <v>5708.1</v>
      </c>
      <c r="L69" s="56">
        <v>5751.4</v>
      </c>
      <c r="M69" s="56">
        <v>5794.8</v>
      </c>
      <c r="N69" s="56">
        <v>5839.5</v>
      </c>
      <c r="O69" s="56">
        <v>5887.3</v>
      </c>
      <c r="P69" s="56">
        <v>5936.7</v>
      </c>
      <c r="Q69" s="56">
        <v>5987.8</v>
      </c>
      <c r="R69" s="56">
        <v>6039.6</v>
      </c>
      <c r="S69" s="56">
        <v>6091.8</v>
      </c>
      <c r="T69" s="56">
        <v>6143.2</v>
      </c>
      <c r="U69" s="56">
        <v>6194</v>
      </c>
      <c r="V69" s="56">
        <v>6243.7</v>
      </c>
      <c r="W69" s="56">
        <v>6292.8</v>
      </c>
      <c r="X69" s="56">
        <v>6341.6</v>
      </c>
      <c r="Y69" s="56">
        <v>6390.2</v>
      </c>
      <c r="Z69" s="56">
        <v>6438.2</v>
      </c>
      <c r="AA69" s="56">
        <v>6486.3</v>
      </c>
      <c r="AB69" s="56">
        <v>6535.4</v>
      </c>
      <c r="AC69" s="56">
        <v>6585.2</v>
      </c>
      <c r="AD69" s="56">
        <v>6637</v>
      </c>
      <c r="AE69" s="56">
        <v>6690.5</v>
      </c>
      <c r="AF69" s="56">
        <v>6745.2</v>
      </c>
      <c r="AG69" s="56">
        <v>6801.6</v>
      </c>
      <c r="AH69" s="56">
        <v>6859.4</v>
      </c>
      <c r="AI69" s="56">
        <v>6918.2</v>
      </c>
      <c r="AJ69" s="56">
        <v>6978.6</v>
      </c>
      <c r="AK69" s="56">
        <v>7040.2</v>
      </c>
      <c r="AL69" s="56">
        <v>7104</v>
      </c>
      <c r="AM69" s="56">
        <v>7165.9</v>
      </c>
      <c r="AN69" s="56">
        <v>7224.3</v>
      </c>
      <c r="AO69" s="56">
        <v>7278.1</v>
      </c>
      <c r="AP69" s="56">
        <v>7326.4</v>
      </c>
      <c r="AQ69" s="56">
        <v>7368</v>
      </c>
      <c r="AR69" s="56">
        <v>7403.1</v>
      </c>
      <c r="AS69" s="56">
        <v>7440.2</v>
      </c>
      <c r="AT69" s="56">
        <v>7464</v>
      </c>
      <c r="AU69" s="56">
        <v>7511</v>
      </c>
      <c r="AV69" s="56">
        <v>7561.3</v>
      </c>
      <c r="AW69" s="56">
        <v>7614.9</v>
      </c>
      <c r="AX69" s="56">
        <v>7670.9</v>
      </c>
      <c r="AY69" s="56">
        <v>7728.7</v>
      </c>
      <c r="AZ69" s="56">
        <v>7788.1</v>
      </c>
      <c r="BA69" s="56">
        <v>7848.9</v>
      </c>
      <c r="BB69" s="56">
        <v>7909.5</v>
      </c>
      <c r="BC69" s="56">
        <v>7971.6</v>
      </c>
      <c r="BD69" s="56">
        <v>8035.4</v>
      </c>
      <c r="BE69" s="56">
        <v>8101.8</v>
      </c>
      <c r="BF69" s="56">
        <v>8170.8</v>
      </c>
      <c r="BG69" s="56">
        <v>8242.5</v>
      </c>
      <c r="BH69" s="56">
        <v>8315.7999999999993</v>
      </c>
      <c r="BI69" s="56">
        <v>8390.4</v>
      </c>
      <c r="BJ69" s="56">
        <v>8465.2999999999993</v>
      </c>
      <c r="BK69" s="56">
        <v>8540.4</v>
      </c>
      <c r="BL69" s="56">
        <v>8615.2999999999993</v>
      </c>
      <c r="BM69" s="56">
        <v>8689.7000000000007</v>
      </c>
      <c r="BN69" s="56">
        <v>8763.2000000000007</v>
      </c>
      <c r="BO69" s="56">
        <v>8835.9</v>
      </c>
      <c r="BP69" s="56">
        <v>8908.2000000000007</v>
      </c>
      <c r="BQ69" s="56">
        <v>8980.7999999999993</v>
      </c>
      <c r="BR69" s="56">
        <v>9053.2999999999993</v>
      </c>
      <c r="BS69" s="56">
        <v>9125.6</v>
      </c>
      <c r="BT69" s="56">
        <v>9197.7999999999993</v>
      </c>
      <c r="BU69" s="56">
        <v>9270.5</v>
      </c>
      <c r="BV69" s="56">
        <v>9343.1</v>
      </c>
      <c r="BW69" s="56">
        <v>9416.2999999999993</v>
      </c>
      <c r="BX69" s="56">
        <v>9489.7000000000007</v>
      </c>
      <c r="BY69" s="56">
        <v>9563.6</v>
      </c>
      <c r="BZ69" s="56">
        <v>9637.7000000000007</v>
      </c>
      <c r="CA69" s="56">
        <v>9711.9</v>
      </c>
      <c r="CB69" s="56">
        <v>9786.1</v>
      </c>
      <c r="CC69" s="56">
        <v>9860</v>
      </c>
      <c r="CD69" s="56">
        <v>9933.2000000000007</v>
      </c>
      <c r="CE69" s="56">
        <v>10005.200000000001</v>
      </c>
      <c r="CF69" s="56">
        <v>10075.4</v>
      </c>
      <c r="CG69" s="56">
        <v>10143.6</v>
      </c>
      <c r="CH69" s="56">
        <v>10210.299999999999</v>
      </c>
      <c r="CI69" s="56">
        <v>10275.4</v>
      </c>
      <c r="CJ69" s="56">
        <v>10339.4</v>
      </c>
      <c r="CK69" s="56">
        <v>10403.4</v>
      </c>
      <c r="CL69" s="56">
        <v>10467.5</v>
      </c>
      <c r="CM69" s="56">
        <v>10532.4</v>
      </c>
      <c r="CN69" s="56">
        <v>10598.6</v>
      </c>
      <c r="CO69" s="56">
        <v>10665.8</v>
      </c>
      <c r="CP69" s="56">
        <v>10734</v>
      </c>
      <c r="CQ69" s="56">
        <v>10804</v>
      </c>
      <c r="CR69" s="56">
        <v>10875.2</v>
      </c>
      <c r="CS69" s="56">
        <v>10947.4</v>
      </c>
      <c r="CT69" s="56">
        <v>11020.7</v>
      </c>
      <c r="CU69" s="56">
        <v>11094.9</v>
      </c>
      <c r="CV69" s="56">
        <v>11170.7</v>
      </c>
      <c r="CW69" s="56">
        <v>11247.9</v>
      </c>
      <c r="CX69" s="56">
        <v>11325.9</v>
      </c>
      <c r="CY69" s="56">
        <v>11405.4</v>
      </c>
      <c r="CZ69" s="56">
        <v>11485.9</v>
      </c>
      <c r="DA69" s="56">
        <v>11568.5</v>
      </c>
      <c r="DB69" s="56">
        <v>11652.9</v>
      </c>
      <c r="DC69" s="56">
        <v>11742.6</v>
      </c>
      <c r="DD69" s="56">
        <v>11838.8</v>
      </c>
      <c r="DE69" s="56">
        <v>11941.3</v>
      </c>
      <c r="DF69" s="56">
        <v>12049.8</v>
      </c>
      <c r="DG69" s="56">
        <v>12163.6</v>
      </c>
      <c r="DH69" s="56">
        <v>12282.9</v>
      </c>
      <c r="DI69" s="56">
        <v>12406.6</v>
      </c>
      <c r="DJ69" s="56">
        <v>12534</v>
      </c>
      <c r="DK69" s="56">
        <v>12665.4</v>
      </c>
      <c r="DL69" s="56">
        <v>12799.2</v>
      </c>
      <c r="DM69" s="56">
        <v>12935.6</v>
      </c>
      <c r="DN69" s="56">
        <v>13074.8</v>
      </c>
      <c r="DO69" s="56">
        <v>13215.7</v>
      </c>
      <c r="DP69" s="56">
        <v>13358.5</v>
      </c>
      <c r="DQ69" s="56">
        <v>13503.5</v>
      </c>
      <c r="DR69" s="56">
        <v>13650</v>
      </c>
      <c r="DS69" s="56">
        <v>13792.7</v>
      </c>
      <c r="DT69" s="56">
        <v>13929.5</v>
      </c>
      <c r="DU69" s="56">
        <v>14059.4</v>
      </c>
      <c r="DV69" s="56">
        <v>14182.4</v>
      </c>
      <c r="DW69" s="56">
        <v>14298.5</v>
      </c>
      <c r="DX69" s="56">
        <v>14407.7</v>
      </c>
      <c r="DY69" s="56">
        <v>14510.9</v>
      </c>
      <c r="DZ69" s="56">
        <v>14608.7</v>
      </c>
      <c r="EA69" s="56">
        <v>14702.9</v>
      </c>
      <c r="EB69" s="56">
        <v>14795.1</v>
      </c>
      <c r="EC69" s="56">
        <v>14886.2</v>
      </c>
      <c r="ED69" s="56">
        <v>14977.2</v>
      </c>
      <c r="EE69" s="56">
        <v>15069</v>
      </c>
      <c r="EF69" s="56">
        <v>15161</v>
      </c>
      <c r="EG69" s="56">
        <v>15254.3</v>
      </c>
      <c r="EH69" s="56">
        <v>15349.4</v>
      </c>
      <c r="EI69" s="56">
        <v>15445.8</v>
      </c>
      <c r="EJ69" s="56">
        <v>15544.1</v>
      </c>
      <c r="EK69" s="56">
        <v>15643.4</v>
      </c>
      <c r="EL69" s="56">
        <v>15740.4</v>
      </c>
      <c r="EM69" s="56">
        <v>15834</v>
      </c>
      <c r="EN69" s="56">
        <v>15925.5</v>
      </c>
      <c r="EO69" s="56">
        <v>16014.2</v>
      </c>
      <c r="EP69" s="56">
        <v>16099.6</v>
      </c>
      <c r="EQ69" s="56">
        <v>16182.6</v>
      </c>
      <c r="ER69" s="56">
        <v>16261.6</v>
      </c>
      <c r="ES69" s="56">
        <v>16336.4</v>
      </c>
      <c r="ET69" s="56">
        <v>16413.099999999999</v>
      </c>
      <c r="EU69" s="56">
        <v>16492.8</v>
      </c>
      <c r="EV69" s="56">
        <v>16575.400000000001</v>
      </c>
      <c r="EW69" s="56">
        <v>16658.3</v>
      </c>
      <c r="EX69" s="56">
        <v>16741.8</v>
      </c>
      <c r="EY69" s="56">
        <v>16824</v>
      </c>
      <c r="EZ69" s="56">
        <v>16903.8</v>
      </c>
      <c r="FA69" s="56">
        <v>16979.7</v>
      </c>
      <c r="FB69" s="56">
        <v>17050.2</v>
      </c>
      <c r="FC69" s="56">
        <v>17116.5</v>
      </c>
      <c r="FD69" s="56">
        <v>17179</v>
      </c>
      <c r="FE69" s="56">
        <v>17239.5</v>
      </c>
      <c r="FF69" s="56">
        <v>17300.3</v>
      </c>
      <c r="FG69" s="56">
        <v>17362.2</v>
      </c>
      <c r="FH69" s="56">
        <v>17426.5</v>
      </c>
      <c r="FI69" s="56">
        <v>17492.5</v>
      </c>
      <c r="FJ69" s="56">
        <v>17560.5</v>
      </c>
      <c r="FK69" s="56">
        <v>17630.5</v>
      </c>
      <c r="FL69" s="56">
        <v>17702.599999999999</v>
      </c>
      <c r="FM69" s="56">
        <v>17776.3</v>
      </c>
      <c r="FN69" s="56">
        <v>17851.5</v>
      </c>
      <c r="FO69" s="56">
        <v>17928.900000000001</v>
      </c>
      <c r="FP69" s="56">
        <v>18007.8</v>
      </c>
      <c r="FQ69" s="56">
        <v>18088</v>
      </c>
      <c r="FR69" s="56">
        <v>18170.2</v>
      </c>
      <c r="FS69" s="56">
        <v>18253.5</v>
      </c>
      <c r="FT69" s="56">
        <v>18337.599999999999</v>
      </c>
      <c r="FU69" s="56">
        <v>18422.900000000001</v>
      </c>
      <c r="FV69" s="56">
        <v>18509.400000000001</v>
      </c>
      <c r="FW69" s="56">
        <v>18597.099999999999</v>
      </c>
      <c r="FX69" s="56">
        <v>18686.8</v>
      </c>
      <c r="FY69" s="56">
        <v>18777.7</v>
      </c>
      <c r="FZ69" s="56">
        <v>18869.8</v>
      </c>
      <c r="GA69" s="56">
        <v>18963</v>
      </c>
      <c r="GB69" s="56">
        <v>19056.8</v>
      </c>
      <c r="GC69" s="56">
        <v>19151</v>
      </c>
      <c r="GD69" s="56">
        <v>19245.2</v>
      </c>
      <c r="GE69" s="56">
        <v>19339.7</v>
      </c>
      <c r="GF69" s="56">
        <v>19434.099999999999</v>
      </c>
      <c r="GG69" s="56">
        <v>19528.099999999999</v>
      </c>
      <c r="GH69" s="56">
        <v>19622.2</v>
      </c>
      <c r="GI69" s="56">
        <v>19717.099999999999</v>
      </c>
      <c r="GJ69" s="56">
        <v>19814.5</v>
      </c>
      <c r="GK69" s="56">
        <v>19914.3</v>
      </c>
      <c r="GL69" s="56">
        <v>20016.5</v>
      </c>
      <c r="GM69" s="56">
        <v>20121.7</v>
      </c>
      <c r="GN69" s="56">
        <v>20228.099999999999</v>
      </c>
      <c r="GO69" s="56">
        <v>20335.099999999999</v>
      </c>
      <c r="GP69" s="56">
        <v>20443</v>
      </c>
      <c r="GQ69" s="56">
        <v>20551.099999999999</v>
      </c>
      <c r="GR69" s="56">
        <v>20659</v>
      </c>
      <c r="GS69" s="56">
        <v>20764</v>
      </c>
      <c r="GT69" s="56">
        <v>20867.3</v>
      </c>
      <c r="GU69" s="56">
        <v>20970.400000000001</v>
      </c>
      <c r="GV69" s="56">
        <v>21071.8</v>
      </c>
      <c r="GW69" s="56">
        <v>21174.3</v>
      </c>
      <c r="GX69" s="56">
        <v>21277.7</v>
      </c>
      <c r="GY69" s="56">
        <v>21382.9</v>
      </c>
      <c r="GZ69" s="56">
        <v>21493</v>
      </c>
      <c r="HA69" s="56">
        <v>21606.1</v>
      </c>
      <c r="HB69" s="56">
        <v>21722</v>
      </c>
      <c r="HC69">
        <v>21840.6</v>
      </c>
      <c r="HD69">
        <v>21961.5</v>
      </c>
      <c r="HE69">
        <v>22084.9</v>
      </c>
      <c r="HF69">
        <v>22208.2</v>
      </c>
      <c r="HG69">
        <v>22333.1</v>
      </c>
      <c r="HH69">
        <v>22459.7</v>
      </c>
      <c r="HI69">
        <v>22588.2</v>
      </c>
      <c r="HJ69">
        <v>22718.1</v>
      </c>
      <c r="HK69">
        <v>22849.9</v>
      </c>
      <c r="HL69">
        <v>22981.3</v>
      </c>
      <c r="HM69">
        <v>23113.3</v>
      </c>
    </row>
    <row r="70" spans="1:221" x14ac:dyDescent="0.35">
      <c r="A70" s="56" t="s">
        <v>2273</v>
      </c>
      <c r="B70" s="56">
        <v>1052.2</v>
      </c>
      <c r="C70" s="56">
        <v>1075.5999999999999</v>
      </c>
      <c r="D70" s="56">
        <v>1093</v>
      </c>
      <c r="E70" s="56">
        <v>1116</v>
      </c>
      <c r="F70" s="56">
        <v>1142</v>
      </c>
      <c r="G70" s="56">
        <v>1166.5999999999999</v>
      </c>
      <c r="H70" s="56">
        <v>1188.7</v>
      </c>
      <c r="I70" s="56">
        <v>1208.8</v>
      </c>
      <c r="J70" s="56">
        <v>1237.4000000000001</v>
      </c>
      <c r="K70" s="56">
        <v>1254.9000000000001</v>
      </c>
      <c r="L70" s="56">
        <v>1276.5</v>
      </c>
      <c r="M70" s="56">
        <v>1302.5</v>
      </c>
      <c r="N70" s="56">
        <v>1327.7</v>
      </c>
      <c r="O70" s="56">
        <v>1359.1</v>
      </c>
      <c r="P70" s="56">
        <v>1397.2</v>
      </c>
      <c r="Q70" s="56">
        <v>1437.3</v>
      </c>
      <c r="R70" s="56">
        <v>1477.1</v>
      </c>
      <c r="S70" s="56">
        <v>1525.1</v>
      </c>
      <c r="T70" s="56">
        <v>1583</v>
      </c>
      <c r="U70" s="56">
        <v>1643.1</v>
      </c>
      <c r="V70" s="56">
        <v>1693.9</v>
      </c>
      <c r="W70" s="56">
        <v>1732.6</v>
      </c>
      <c r="X70" s="56">
        <v>1776.8</v>
      </c>
      <c r="Y70" s="56">
        <v>1820.4</v>
      </c>
      <c r="Z70" s="56">
        <v>1853.5</v>
      </c>
      <c r="AA70" s="56">
        <v>1886.1</v>
      </c>
      <c r="AB70" s="56">
        <v>1925</v>
      </c>
      <c r="AC70" s="56">
        <v>1974.5</v>
      </c>
      <c r="AD70" s="56">
        <v>2021.9</v>
      </c>
      <c r="AE70" s="56">
        <v>2067</v>
      </c>
      <c r="AF70" s="56">
        <v>2109.3000000000002</v>
      </c>
      <c r="AG70" s="56">
        <v>2172.9</v>
      </c>
      <c r="AH70" s="56">
        <v>2223.3000000000002</v>
      </c>
      <c r="AI70" s="56">
        <v>2285.1</v>
      </c>
      <c r="AJ70" s="56">
        <v>2344.3000000000002</v>
      </c>
      <c r="AK70" s="56">
        <v>2413.3000000000002</v>
      </c>
      <c r="AL70" s="56">
        <v>2479.6</v>
      </c>
      <c r="AM70" s="56">
        <v>2562.4</v>
      </c>
      <c r="AN70" s="56">
        <v>2639.8</v>
      </c>
      <c r="AO70" s="56">
        <v>2708.9</v>
      </c>
      <c r="AP70" s="56">
        <v>2784</v>
      </c>
      <c r="AQ70" s="56">
        <v>2866.5</v>
      </c>
      <c r="AR70" s="56">
        <v>2944.6</v>
      </c>
      <c r="AS70" s="56">
        <v>3036.4</v>
      </c>
      <c r="AT70" s="56">
        <v>3126.3</v>
      </c>
      <c r="AU70" s="56">
        <v>3208.3</v>
      </c>
      <c r="AV70" s="56">
        <v>3290.6</v>
      </c>
      <c r="AW70" s="56">
        <v>3371.2</v>
      </c>
      <c r="AX70" s="56">
        <v>3442.8</v>
      </c>
      <c r="AY70" s="56">
        <v>3513.8</v>
      </c>
      <c r="AZ70" s="56">
        <v>3590.9</v>
      </c>
      <c r="BA70" s="56">
        <v>3656.5</v>
      </c>
      <c r="BB70" s="56">
        <v>3712.5</v>
      </c>
      <c r="BC70" s="56">
        <v>3769.4</v>
      </c>
      <c r="BD70" s="56">
        <v>3840.1</v>
      </c>
      <c r="BE70" s="56">
        <v>3901.1</v>
      </c>
      <c r="BF70" s="56">
        <v>3974.3</v>
      </c>
      <c r="BG70" s="56">
        <v>4043.3</v>
      </c>
      <c r="BH70" s="56">
        <v>4115.6000000000004</v>
      </c>
      <c r="BI70" s="56">
        <v>4183.6000000000004</v>
      </c>
      <c r="BJ70" s="56">
        <v>4262.7</v>
      </c>
      <c r="BK70" s="56">
        <v>4328.2</v>
      </c>
      <c r="BL70" s="56">
        <v>4392.5</v>
      </c>
      <c r="BM70" s="56">
        <v>4455.1000000000004</v>
      </c>
      <c r="BN70" s="56">
        <v>4515.1000000000004</v>
      </c>
      <c r="BO70" s="56">
        <v>4569.8</v>
      </c>
      <c r="BP70" s="56">
        <v>4626.2</v>
      </c>
      <c r="BQ70" s="56">
        <v>4689.3</v>
      </c>
      <c r="BR70" s="56">
        <v>4757.3999999999996</v>
      </c>
      <c r="BS70" s="56">
        <v>4828.6000000000004</v>
      </c>
      <c r="BT70" s="56">
        <v>4903.7</v>
      </c>
      <c r="BU70" s="56">
        <v>4981.8</v>
      </c>
      <c r="BV70" s="56">
        <v>5060.2</v>
      </c>
      <c r="BW70" s="56">
        <v>5149.3999999999996</v>
      </c>
      <c r="BX70" s="56">
        <v>5251.5</v>
      </c>
      <c r="BY70" s="56">
        <v>5338.2</v>
      </c>
      <c r="BZ70" s="56">
        <v>5435.7</v>
      </c>
      <c r="CA70" s="56">
        <v>5535.9</v>
      </c>
      <c r="CB70" s="56">
        <v>5619</v>
      </c>
      <c r="CC70" s="56">
        <v>5701.6</v>
      </c>
      <c r="CD70" s="56">
        <v>5805.9</v>
      </c>
      <c r="CE70" s="56">
        <v>5913.5</v>
      </c>
      <c r="CF70" s="56">
        <v>6006</v>
      </c>
      <c r="CG70" s="56">
        <v>6091.7</v>
      </c>
      <c r="CH70" s="56">
        <v>6191.9</v>
      </c>
      <c r="CI70" s="56">
        <v>6277.1</v>
      </c>
      <c r="CJ70" s="56">
        <v>6365.5</v>
      </c>
      <c r="CK70" s="56">
        <v>6442.9</v>
      </c>
      <c r="CL70" s="56">
        <v>6506.8</v>
      </c>
      <c r="CM70" s="56">
        <v>6586.5</v>
      </c>
      <c r="CN70" s="56">
        <v>6660.2</v>
      </c>
      <c r="CO70" s="56">
        <v>6748.6</v>
      </c>
      <c r="CP70" s="56">
        <v>6829.8</v>
      </c>
      <c r="CQ70" s="56">
        <v>6915.3</v>
      </c>
      <c r="CR70" s="56">
        <v>7002.2</v>
      </c>
      <c r="CS70" s="56">
        <v>7087.1</v>
      </c>
      <c r="CT70" s="56">
        <v>7168.8</v>
      </c>
      <c r="CU70" s="56">
        <v>7251.8</v>
      </c>
      <c r="CV70" s="56">
        <v>7343.3</v>
      </c>
      <c r="CW70" s="56">
        <v>7434.2</v>
      </c>
      <c r="CX70" s="56">
        <v>7526.2</v>
      </c>
      <c r="CY70" s="56">
        <v>7615.5</v>
      </c>
      <c r="CZ70" s="56">
        <v>7707</v>
      </c>
      <c r="DA70" s="56">
        <v>7799.8</v>
      </c>
      <c r="DB70" s="56">
        <v>7894.6</v>
      </c>
      <c r="DC70" s="56">
        <v>7988.2</v>
      </c>
      <c r="DD70" s="56">
        <v>8080</v>
      </c>
      <c r="DE70" s="56">
        <v>8193.6</v>
      </c>
      <c r="DF70" s="56">
        <v>8317.4</v>
      </c>
      <c r="DG70" s="56">
        <v>8412.6</v>
      </c>
      <c r="DH70" s="56">
        <v>8532.2000000000007</v>
      </c>
      <c r="DI70" s="56">
        <v>8646.7999999999993</v>
      </c>
      <c r="DJ70" s="56">
        <v>8748.1</v>
      </c>
      <c r="DK70" s="56">
        <v>8860.6</v>
      </c>
      <c r="DL70" s="56">
        <v>8992.1</v>
      </c>
      <c r="DM70" s="56">
        <v>9113.6</v>
      </c>
      <c r="DN70" s="56">
        <v>9241.5</v>
      </c>
      <c r="DO70" s="56">
        <v>9376.5</v>
      </c>
      <c r="DP70" s="56">
        <v>9511.2000000000007</v>
      </c>
      <c r="DQ70" s="56">
        <v>9667.9</v>
      </c>
      <c r="DR70" s="56">
        <v>9837.7999999999993</v>
      </c>
      <c r="DS70" s="56">
        <v>10002.5</v>
      </c>
      <c r="DT70" s="56">
        <v>10160.799999999999</v>
      </c>
      <c r="DU70" s="56">
        <v>10310.700000000001</v>
      </c>
      <c r="DV70" s="56">
        <v>10469.700000000001</v>
      </c>
      <c r="DW70" s="56">
        <v>10618.9</v>
      </c>
      <c r="DX70" s="56">
        <v>10742</v>
      </c>
      <c r="DY70" s="56">
        <v>10853</v>
      </c>
      <c r="DZ70" s="56">
        <v>10960.5</v>
      </c>
      <c r="EA70" s="56">
        <v>11069.8</v>
      </c>
      <c r="EB70" s="56">
        <v>11192.4</v>
      </c>
      <c r="EC70" s="56">
        <v>11326.6</v>
      </c>
      <c r="ED70" s="56">
        <v>11451.7</v>
      </c>
      <c r="EE70" s="56">
        <v>11562.5</v>
      </c>
      <c r="EF70" s="56">
        <v>11699.6</v>
      </c>
      <c r="EG70" s="56">
        <v>11843.3</v>
      </c>
      <c r="EH70" s="56">
        <v>12002.1</v>
      </c>
      <c r="EI70" s="56">
        <v>12175</v>
      </c>
      <c r="EJ70" s="56">
        <v>12330.3</v>
      </c>
      <c r="EK70" s="56">
        <v>12505.2</v>
      </c>
      <c r="EL70" s="56">
        <v>12683.2</v>
      </c>
      <c r="EM70" s="56">
        <v>12850.6</v>
      </c>
      <c r="EN70" s="56">
        <v>13042.6</v>
      </c>
      <c r="EO70" s="56">
        <v>13223</v>
      </c>
      <c r="EP70" s="56">
        <v>13387.8</v>
      </c>
      <c r="EQ70" s="56">
        <v>13574.3</v>
      </c>
      <c r="ER70" s="56">
        <v>13735.8</v>
      </c>
      <c r="ES70" s="56">
        <v>13848.4</v>
      </c>
      <c r="ET70" s="56">
        <v>14045.7</v>
      </c>
      <c r="EU70" s="56">
        <v>14212.1</v>
      </c>
      <c r="EV70" s="56">
        <v>14361.2</v>
      </c>
      <c r="EW70" s="56">
        <v>14491.6</v>
      </c>
      <c r="EX70" s="56">
        <v>14618.2</v>
      </c>
      <c r="EY70" s="56">
        <v>14761</v>
      </c>
      <c r="EZ70" s="56">
        <v>14942.7</v>
      </c>
      <c r="FA70" s="56">
        <v>15046.2</v>
      </c>
      <c r="FB70" s="56">
        <v>15096.7</v>
      </c>
      <c r="FC70" s="56">
        <v>15130.2</v>
      </c>
      <c r="FD70" s="56">
        <v>15203.5</v>
      </c>
      <c r="FE70" s="56">
        <v>15305.3</v>
      </c>
      <c r="FF70" s="56">
        <v>15403.5</v>
      </c>
      <c r="FG70" s="56">
        <v>15534</v>
      </c>
      <c r="FH70" s="56">
        <v>15639</v>
      </c>
      <c r="FI70" s="56">
        <v>15789.4</v>
      </c>
      <c r="FJ70" s="56">
        <v>15932</v>
      </c>
      <c r="FK70" s="56">
        <v>16101.2</v>
      </c>
      <c r="FL70" s="56">
        <v>16264.4</v>
      </c>
      <c r="FM70" s="56">
        <v>16351.6</v>
      </c>
      <c r="FN70" s="56">
        <v>16517.099999999999</v>
      </c>
      <c r="FO70" s="56">
        <v>16657.099999999999</v>
      </c>
      <c r="FP70" s="56">
        <v>16822.2</v>
      </c>
      <c r="FQ70" s="56">
        <v>16982</v>
      </c>
      <c r="FR70" s="56">
        <v>17126.8</v>
      </c>
      <c r="FS70" s="56">
        <v>17242.400000000001</v>
      </c>
      <c r="FT70" s="56">
        <v>17406.7</v>
      </c>
      <c r="FU70" s="56">
        <v>17580.2</v>
      </c>
      <c r="FV70" s="56">
        <v>17729.7</v>
      </c>
      <c r="FW70" s="56">
        <v>17914.599999999999</v>
      </c>
      <c r="FX70" s="56">
        <v>18074.900000000001</v>
      </c>
      <c r="FY70" s="56">
        <v>18181</v>
      </c>
      <c r="FZ70" s="56">
        <v>18260.099999999999</v>
      </c>
      <c r="GA70" s="56">
        <v>18455.8</v>
      </c>
      <c r="GB70" s="56">
        <v>18596.2</v>
      </c>
      <c r="GC70" s="56">
        <v>18687.599999999999</v>
      </c>
      <c r="GD70" s="56">
        <v>18763.3</v>
      </c>
      <c r="GE70" s="56">
        <v>18983.599999999999</v>
      </c>
      <c r="GF70" s="56">
        <v>19125</v>
      </c>
      <c r="GG70" s="56">
        <v>19310.599999999999</v>
      </c>
      <c r="GH70" s="56">
        <v>19502.599999999999</v>
      </c>
      <c r="GI70" s="56">
        <v>19648</v>
      </c>
      <c r="GJ70" s="56">
        <v>19846.599999999999</v>
      </c>
      <c r="GK70" s="56">
        <v>20069.2</v>
      </c>
      <c r="GL70" s="56">
        <v>20300.7</v>
      </c>
      <c r="GM70" s="56">
        <v>20551.5</v>
      </c>
      <c r="GN70" s="56">
        <v>20749.400000000001</v>
      </c>
      <c r="GO70" s="56">
        <v>20949</v>
      </c>
      <c r="GP70" s="56">
        <v>21123.4</v>
      </c>
      <c r="GQ70" s="56">
        <v>21344.7</v>
      </c>
      <c r="GR70" s="56">
        <v>21525.200000000001</v>
      </c>
      <c r="GS70" s="56">
        <v>21701.8</v>
      </c>
      <c r="GT70" s="56">
        <v>21910.5</v>
      </c>
      <c r="GU70" s="56">
        <v>21937.5</v>
      </c>
      <c r="GV70" s="56">
        <v>22236.5</v>
      </c>
      <c r="GW70" s="56">
        <v>22496.6</v>
      </c>
      <c r="GX70" s="56">
        <v>22892.7</v>
      </c>
      <c r="GY70" s="56">
        <v>23362.2</v>
      </c>
      <c r="GZ70" s="56">
        <v>23835.1</v>
      </c>
      <c r="HA70" s="56">
        <v>24377.200000000001</v>
      </c>
      <c r="HB70" s="56">
        <v>25006.1</v>
      </c>
      <c r="HC70">
        <v>25713.200000000001</v>
      </c>
      <c r="HD70">
        <v>26146.7</v>
      </c>
      <c r="HE70">
        <v>26536.6</v>
      </c>
      <c r="HF70">
        <v>26927.8</v>
      </c>
      <c r="HG70">
        <v>27202.5</v>
      </c>
      <c r="HH70">
        <v>27573.4</v>
      </c>
      <c r="HI70">
        <v>27838</v>
      </c>
      <c r="HJ70">
        <v>28207.7</v>
      </c>
      <c r="HK70">
        <v>28549.4</v>
      </c>
      <c r="HL70">
        <v>28845.5</v>
      </c>
      <c r="HM70">
        <v>29181.8</v>
      </c>
    </row>
    <row r="71" spans="1:221" x14ac:dyDescent="0.35">
      <c r="A71" s="56" t="s">
        <v>2274</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c r="HK71">
        <v>-1</v>
      </c>
      <c r="HL71">
        <v>-1</v>
      </c>
      <c r="HM71">
        <v>-1</v>
      </c>
    </row>
    <row r="72" spans="1:221" x14ac:dyDescent="0.35">
      <c r="A72" s="56" t="s">
        <v>2275</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c r="HM72">
        <v>5520</v>
      </c>
    </row>
    <row r="73" spans="1:221" x14ac:dyDescent="0.35">
      <c r="A73" s="56" t="s">
        <v>2276</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c r="HM73">
        <v>14958</v>
      </c>
    </row>
    <row r="74" spans="1:221" x14ac:dyDescent="0.35">
      <c r="A74" s="56" t="s">
        <v>2277</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272767.66666666698</v>
      </c>
      <c r="GI74" s="56">
        <v>272875</v>
      </c>
      <c r="GJ74" s="56">
        <v>275357.66666666698</v>
      </c>
      <c r="GK74" s="56">
        <v>281739</v>
      </c>
      <c r="GL74" s="56">
        <v>281221.66666666698</v>
      </c>
      <c r="GM74" s="56">
        <v>289749.33333333302</v>
      </c>
      <c r="GN74" s="56">
        <v>294085</v>
      </c>
      <c r="GO74" s="56">
        <v>286210.33333333302</v>
      </c>
      <c r="GP74" s="56">
        <v>302265.33333333302</v>
      </c>
      <c r="GQ74" s="56">
        <v>320029.66666666698</v>
      </c>
      <c r="GR74" s="56">
        <v>323820</v>
      </c>
      <c r="GS74" s="56">
        <v>324569.33333333302</v>
      </c>
      <c r="GT74" s="56">
        <v>343782</v>
      </c>
      <c r="GU74" s="56">
        <v>342186.66666666698</v>
      </c>
      <c r="GV74" s="56">
        <v>335548</v>
      </c>
      <c r="GW74" s="56">
        <v>341539.66666666698</v>
      </c>
      <c r="GX74" s="56">
        <v>339364</v>
      </c>
      <c r="GY74" s="56">
        <v>333909.66666666698</v>
      </c>
      <c r="GZ74" s="56">
        <v>330388.66666666698</v>
      </c>
      <c r="HA74" s="56">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460594.33333333302</v>
      </c>
    </row>
    <row r="75" spans="1:221" x14ac:dyDescent="0.35">
      <c r="A75" s="56" t="s">
        <v>2278</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3.1746031746031599E-3</v>
      </c>
      <c r="GQ75" s="56">
        <v>5.0613556303953401E-3</v>
      </c>
      <c r="GR75" s="56">
        <v>3.28342400462178E-3</v>
      </c>
      <c r="GS75" s="56">
        <v>3.3302621981650101E-3</v>
      </c>
      <c r="GT75" s="56">
        <v>4.3809724228307499E-3</v>
      </c>
      <c r="GU75" s="56">
        <v>-3.33330158760403E-3</v>
      </c>
      <c r="GV75" s="56">
        <v>8.8197914974534903E-3</v>
      </c>
      <c r="GW75" s="56">
        <v>6.8103889215147496E-3</v>
      </c>
      <c r="GX75" s="56">
        <v>1.27195582023274E-2</v>
      </c>
      <c r="GY75" s="56">
        <v>1.5170235496307499E-2</v>
      </c>
      <c r="GZ75" s="56">
        <v>1.51265579531104E-2</v>
      </c>
      <c r="HA75" s="56">
        <v>1.7172837169050902E-2</v>
      </c>
      <c r="HB75" s="56">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c r="HM75">
        <v>5.4642632404833203E-3</v>
      </c>
    </row>
    <row r="76" spans="1:221" x14ac:dyDescent="0.35">
      <c r="A76" s="56" t="s">
        <v>2279</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2.0362035034391401E-3</v>
      </c>
      <c r="GQ76" s="56">
        <v>5.5906116615298497E-3</v>
      </c>
      <c r="GR76" s="56">
        <v>2.4075184189662501E-3</v>
      </c>
      <c r="GS76" s="56">
        <v>3.9353749698576301E-3</v>
      </c>
      <c r="GT76" s="56">
        <v>3.0840771307514298E-3</v>
      </c>
      <c r="GU76" s="56">
        <v>-3.98452166583652E-3</v>
      </c>
      <c r="GV76" s="56">
        <v>8.1163211139745305E-3</v>
      </c>
      <c r="GW76" s="56">
        <v>4.8458485958486897E-3</v>
      </c>
      <c r="GX76" s="56">
        <v>1.1287260299981E-2</v>
      </c>
      <c r="GY76" s="56">
        <v>1.5573224192473501E-2</v>
      </c>
      <c r="GZ76" s="56">
        <v>1.3800051761748E-2</v>
      </c>
      <c r="HA76" s="56">
        <v>1.6502402421568099E-2</v>
      </c>
      <c r="HB76" s="56">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c r="HM76">
        <v>5.6243787728187397E-3</v>
      </c>
    </row>
    <row r="77" spans="1:221" x14ac:dyDescent="0.35">
      <c r="A77" s="56" t="s">
        <v>2280</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9.1830638478289702E-3</v>
      </c>
      <c r="GQ77" s="56">
        <v>-6.6551450859820803E-3</v>
      </c>
      <c r="GR77" s="56">
        <v>9.3238748870549904E-4</v>
      </c>
      <c r="GS77" s="56">
        <v>3.6396462148640101E-3</v>
      </c>
      <c r="GT77" s="56">
        <v>3.02363410199979E-3</v>
      </c>
      <c r="GU77" s="56">
        <v>6.3915440825756996E-4</v>
      </c>
      <c r="GV77" s="56">
        <v>5.4627096183730304E-3</v>
      </c>
      <c r="GW77" s="56">
        <v>7.4621204938085696E-3</v>
      </c>
      <c r="GX77" s="56">
        <v>7.6797831590638098E-3</v>
      </c>
      <c r="GY77" s="56">
        <v>1.07780963677628E-2</v>
      </c>
      <c r="GZ77" s="56">
        <v>1.1808950038346699E-2</v>
      </c>
      <c r="HA77" s="56">
        <v>1.23743162162901E-2</v>
      </c>
      <c r="HB77" s="56">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c r="HM77">
        <v>7.0157975854097101E-3</v>
      </c>
    </row>
    <row r="78" spans="1:221" x14ac:dyDescent="0.35">
      <c r="A78" s="56" t="s">
        <v>2281</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-4.8575529720429299E-3</v>
      </c>
      <c r="GQ78" s="56">
        <v>7.5177196568785298E-3</v>
      </c>
      <c r="GR78" s="56">
        <v>3.9251751633120301E-3</v>
      </c>
      <c r="GS78" s="56">
        <v>5.8458545430506402E-3</v>
      </c>
      <c r="GT78" s="56">
        <v>1.29100707941336E-2</v>
      </c>
      <c r="GU78" s="56">
        <v>-1.30699567115622E-3</v>
      </c>
      <c r="GV78" s="56">
        <v>1.2001113792463399E-2</v>
      </c>
      <c r="GW78" s="56">
        <v>1.2262342593526701E-2</v>
      </c>
      <c r="GX78" s="56">
        <v>2.21890006342302E-2</v>
      </c>
      <c r="GY78" s="56">
        <v>1.9721855361242401E-2</v>
      </c>
      <c r="GZ78" s="56">
        <v>1.6072111539932502E-2</v>
      </c>
      <c r="HA78" s="56">
        <v>1.9761662374992599E-2</v>
      </c>
      <c r="HB78" s="56">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c r="HM78">
        <v>5.4173542140165702E-3</v>
      </c>
    </row>
    <row r="79" spans="1:221" x14ac:dyDescent="0.35">
      <c r="A79" s="56" t="s">
        <v>2282</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-6.8215934786326499E-3</v>
      </c>
      <c r="GQ79" s="56">
        <v>6.8206168209994401E-3</v>
      </c>
      <c r="GR79" s="56">
        <v>3.8385162804397402E-3</v>
      </c>
      <c r="GS79" s="56">
        <v>6.7579718512489296E-3</v>
      </c>
      <c r="GT79" s="56">
        <v>1.52866960617484E-2</v>
      </c>
      <c r="GU79" s="56">
        <v>-7.7782819256788595E-4</v>
      </c>
      <c r="GV79" s="56">
        <v>1.24734730189324E-2</v>
      </c>
      <c r="GW79" s="56">
        <v>1.38391835613931E-2</v>
      </c>
      <c r="GX79" s="56">
        <v>2.3797701481488302E-2</v>
      </c>
      <c r="GY79" s="56">
        <v>1.8950115958131598E-2</v>
      </c>
      <c r="GZ79" s="56">
        <v>1.4902381611742E-2</v>
      </c>
      <c r="HA79" s="56">
        <v>1.7719187543701099E-2</v>
      </c>
      <c r="HB79" s="56">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c r="HM79">
        <v>5.79616682264672E-3</v>
      </c>
    </row>
    <row r="80" spans="1:221" x14ac:dyDescent="0.35">
      <c r="A80" s="56" t="s">
        <v>2283</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3.7734051169659999E-3</v>
      </c>
      <c r="GQ80" s="56">
        <v>1.0508728795056E-2</v>
      </c>
      <c r="GR80" s="56">
        <v>4.3589358184279404E-3</v>
      </c>
      <c r="GS80" s="56">
        <v>1.8987578569289499E-3</v>
      </c>
      <c r="GT80" s="56">
        <v>2.5206553703964701E-3</v>
      </c>
      <c r="GU80" s="56">
        <v>-3.6038552870513202E-3</v>
      </c>
      <c r="GV80" s="56">
        <v>9.8039215686274196E-3</v>
      </c>
      <c r="GW80" s="56">
        <v>5.0441011781909902E-3</v>
      </c>
      <c r="GX80" s="56">
        <v>1.4595918668042E-2</v>
      </c>
      <c r="GY80" s="56">
        <v>2.3135500149758799E-2</v>
      </c>
      <c r="GZ80" s="56">
        <v>2.1601050334439299E-2</v>
      </c>
      <c r="HA80" s="56">
        <v>2.97843888121847E-2</v>
      </c>
      <c r="HB80" s="56">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c r="HM80">
        <v>3.8807053404135202E-3</v>
      </c>
    </row>
    <row r="81" spans="1:221" x14ac:dyDescent="0.35">
      <c r="A81" s="56" t="s">
        <v>2284</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9233.2999999999993</v>
      </c>
      <c r="GQ81" s="56">
        <v>9285</v>
      </c>
      <c r="GR81" s="56">
        <v>9341</v>
      </c>
      <c r="GS81" s="56">
        <v>9488.7999999999993</v>
      </c>
      <c r="GT81" s="56">
        <v>9636.5</v>
      </c>
      <c r="GU81" s="56">
        <v>9005.2999999999993</v>
      </c>
      <c r="GV81" s="56">
        <v>9441.7999999999993</v>
      </c>
      <c r="GW81" s="56">
        <v>9809.5</v>
      </c>
      <c r="GX81" s="56">
        <v>9889.7999999999993</v>
      </c>
      <c r="GY81" s="56">
        <v>10182.5</v>
      </c>
      <c r="GZ81" s="56">
        <v>10462.799999999999</v>
      </c>
      <c r="HA81" s="56">
        <v>10772</v>
      </c>
      <c r="HB81" s="56">
        <v>10909.7</v>
      </c>
      <c r="HC81">
        <v>11012.9</v>
      </c>
      <c r="HD81">
        <v>11296.3</v>
      </c>
      <c r="HE81">
        <v>11343.1</v>
      </c>
      <c r="HF81">
        <v>11499.3</v>
      </c>
      <c r="HG81">
        <v>11660.4</v>
      </c>
      <c r="HH81">
        <v>11843.5</v>
      </c>
      <c r="HI81">
        <v>11975.4</v>
      </c>
      <c r="HJ81">
        <v>12270.7</v>
      </c>
      <c r="HK81">
        <v>12363.5</v>
      </c>
      <c r="HL81">
        <v>12477.5</v>
      </c>
      <c r="HM81">
        <v>12657</v>
      </c>
    </row>
    <row r="82" spans="1:221" x14ac:dyDescent="0.35">
      <c r="A82" s="56" t="s">
        <v>2285</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1534</v>
      </c>
      <c r="GQ82" s="56">
        <v>1535.6</v>
      </c>
      <c r="GR82" s="56">
        <v>1570.9</v>
      </c>
      <c r="GS82" s="56">
        <v>1582.7</v>
      </c>
      <c r="GT82" s="56">
        <v>1577.7</v>
      </c>
      <c r="GU82" s="56">
        <v>1424.4</v>
      </c>
      <c r="GV82" s="56">
        <v>1705.8</v>
      </c>
      <c r="GW82" s="56">
        <v>1668.1</v>
      </c>
      <c r="GX82" s="56">
        <v>1697.5</v>
      </c>
      <c r="GY82" s="56">
        <v>1845.5</v>
      </c>
      <c r="GZ82" s="56">
        <v>1867.1</v>
      </c>
      <c r="HA82" s="56">
        <v>1850.8</v>
      </c>
      <c r="HB82" s="56">
        <v>1833.3</v>
      </c>
      <c r="HC82">
        <v>1850.1</v>
      </c>
      <c r="HD82">
        <v>1895.3</v>
      </c>
      <c r="HE82">
        <v>1915.5</v>
      </c>
      <c r="HF82">
        <v>1934.7</v>
      </c>
      <c r="HG82">
        <v>1936.6</v>
      </c>
      <c r="HH82">
        <v>1954.6</v>
      </c>
      <c r="HI82">
        <v>1970.1</v>
      </c>
      <c r="HJ82">
        <v>1972.1</v>
      </c>
      <c r="HK82">
        <v>2002.3</v>
      </c>
      <c r="HL82">
        <v>2013.5</v>
      </c>
      <c r="HM82">
        <v>2027.3</v>
      </c>
    </row>
    <row r="83" spans="1:221" x14ac:dyDescent="0.35">
      <c r="A83" s="56" t="s">
        <v>2286</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674.4</v>
      </c>
      <c r="GQ83" s="56">
        <v>682.8</v>
      </c>
      <c r="GR83" s="56">
        <v>690.2</v>
      </c>
      <c r="GS83" s="56">
        <v>706.3</v>
      </c>
      <c r="GT83" s="56">
        <v>729.3</v>
      </c>
      <c r="GU83" s="56">
        <v>731.2</v>
      </c>
      <c r="GV83" s="56">
        <v>744.6</v>
      </c>
      <c r="GW83" s="56">
        <v>747.4</v>
      </c>
      <c r="GX83" s="56">
        <v>745.6</v>
      </c>
      <c r="GY83" s="56">
        <v>761.6</v>
      </c>
      <c r="GZ83" s="56">
        <v>781.2</v>
      </c>
      <c r="HA83" s="56">
        <v>800.7</v>
      </c>
      <c r="HB83" s="56">
        <v>814.3</v>
      </c>
      <c r="HC83">
        <v>858.2</v>
      </c>
      <c r="HD83">
        <v>889.5</v>
      </c>
      <c r="HE83">
        <v>919.1</v>
      </c>
      <c r="HF83">
        <v>963.6</v>
      </c>
      <c r="HG83">
        <v>984.1</v>
      </c>
      <c r="HH83">
        <v>995</v>
      </c>
      <c r="HI83">
        <v>1013.6</v>
      </c>
      <c r="HJ83">
        <v>1046.0999999999999</v>
      </c>
      <c r="HK83">
        <v>1053.4000000000001</v>
      </c>
      <c r="HL83">
        <v>1055.7</v>
      </c>
      <c r="HM83">
        <v>1073.8</v>
      </c>
    </row>
    <row r="84" spans="1:221" x14ac:dyDescent="0.35">
      <c r="A84" s="56" t="s">
        <v>2287</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2920.5</v>
      </c>
      <c r="GQ84" s="56">
        <v>2961.5</v>
      </c>
      <c r="GR84" s="56">
        <v>2962.7</v>
      </c>
      <c r="GS84" s="56">
        <v>2955.4</v>
      </c>
      <c r="GT84" s="56">
        <v>2932.4</v>
      </c>
      <c r="GU84" s="56">
        <v>2874</v>
      </c>
      <c r="GV84" s="56">
        <v>2862.9</v>
      </c>
      <c r="GW84" s="56">
        <v>2980.3</v>
      </c>
      <c r="GX84" s="56">
        <v>3048</v>
      </c>
      <c r="GY84" s="56">
        <v>3158.1</v>
      </c>
      <c r="GZ84" s="56">
        <v>3225.4</v>
      </c>
      <c r="HA84" s="56">
        <v>3291.3</v>
      </c>
      <c r="HB84" s="56">
        <v>3333.6</v>
      </c>
      <c r="HC84">
        <v>3424.9</v>
      </c>
      <c r="HD84">
        <v>3509.5</v>
      </c>
      <c r="HE84">
        <v>3628.2</v>
      </c>
      <c r="HF84">
        <v>3729.9</v>
      </c>
      <c r="HG84">
        <v>3806.4</v>
      </c>
      <c r="HH84">
        <v>3836.2</v>
      </c>
      <c r="HI84">
        <v>3919.1</v>
      </c>
      <c r="HJ84">
        <v>3938.9</v>
      </c>
      <c r="HK84">
        <v>3950.2</v>
      </c>
      <c r="HL84">
        <v>3938.8</v>
      </c>
      <c r="HM84">
        <v>3965.5</v>
      </c>
    </row>
    <row r="85" spans="1:221" x14ac:dyDescent="0.35">
      <c r="A85" s="56" t="s">
        <v>2288</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1875.4</v>
      </c>
      <c r="GQ85" s="56">
        <v>1906.5</v>
      </c>
      <c r="GR85" s="56">
        <v>1968.1</v>
      </c>
      <c r="GS85" s="56">
        <v>2003.2</v>
      </c>
      <c r="GT85" s="56">
        <v>1752.6</v>
      </c>
      <c r="GU85" s="56">
        <v>1686.1</v>
      </c>
      <c r="GV85" s="56">
        <v>2323.9</v>
      </c>
      <c r="GW85" s="56">
        <v>2101.5</v>
      </c>
      <c r="GX85" s="56">
        <v>2438.6999999999998</v>
      </c>
      <c r="GY85" s="56">
        <v>2763.8</v>
      </c>
      <c r="GZ85" s="56">
        <v>2747.4</v>
      </c>
      <c r="HA85" s="56">
        <v>2751.8</v>
      </c>
      <c r="HB85">
        <v>2738.7</v>
      </c>
      <c r="HC85">
        <v>2876.9</v>
      </c>
      <c r="HD85">
        <v>2950.7</v>
      </c>
      <c r="HE85">
        <v>2921.1</v>
      </c>
      <c r="HF85">
        <v>2941.2</v>
      </c>
      <c r="HG85">
        <v>2953.4</v>
      </c>
      <c r="HH85">
        <v>3079.7</v>
      </c>
      <c r="HI85">
        <v>3253.6</v>
      </c>
      <c r="HJ85">
        <v>3186.2</v>
      </c>
      <c r="HK85">
        <v>3337.4</v>
      </c>
      <c r="HL85">
        <v>3365.3</v>
      </c>
    </row>
    <row r="86" spans="1:221" x14ac:dyDescent="0.35">
      <c r="A86" s="56" t="s">
        <v>2289</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21" x14ac:dyDescent="0.35">
      <c r="A87" s="56" t="s">
        <v>2290</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21" ht="19.399999999999999" customHeight="1" x14ac:dyDescent="0.35">
      <c r="A88" s="56" t="s">
        <v>2291</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1019190</v>
      </c>
      <c r="GQ88" s="56">
        <v>1026704</v>
      </c>
      <c r="GR88" s="56">
        <v>1034417</v>
      </c>
      <c r="GS88" s="56">
        <v>1042661</v>
      </c>
      <c r="GT88" s="56">
        <v>1068201</v>
      </c>
      <c r="GU88" s="56">
        <v>1075075</v>
      </c>
      <c r="GV88" s="56">
        <v>1080441</v>
      </c>
      <c r="GW88" s="56">
        <v>1087995</v>
      </c>
      <c r="GX88" s="56">
        <v>1105638</v>
      </c>
      <c r="GY88" s="56">
        <v>1109640</v>
      </c>
      <c r="GZ88" s="56">
        <v>1116948</v>
      </c>
      <c r="HA88" s="56">
        <v>1126174</v>
      </c>
      <c r="HB88" s="56">
        <v>1198452</v>
      </c>
      <c r="HC88">
        <v>1207163</v>
      </c>
      <c r="HD88">
        <v>1214781</v>
      </c>
      <c r="HE88">
        <v>1225619</v>
      </c>
      <c r="HF88">
        <v>1339904</v>
      </c>
      <c r="HG88">
        <v>1353283</v>
      </c>
      <c r="HH88">
        <v>1360723</v>
      </c>
      <c r="HI88">
        <v>1373982</v>
      </c>
      <c r="HJ88">
        <v>1426547</v>
      </c>
      <c r="HK88">
        <v>1439730</v>
      </c>
      <c r="HL88">
        <v>1453137</v>
      </c>
      <c r="HM88">
        <v>1468435</v>
      </c>
    </row>
    <row r="89" spans="1:221" x14ac:dyDescent="0.35">
      <c r="A89" s="56" t="s">
        <v>2292</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E12" sqref="E12"/>
    </sheetView>
  </sheetViews>
  <sheetFormatPr defaultColWidth="10.90625" defaultRowHeight="14.5" x14ac:dyDescent="0.35"/>
  <cols>
    <col min="1" max="1" width="33" customWidth="1"/>
    <col min="2" max="3" width="27.1796875" customWidth="1"/>
  </cols>
  <sheetData>
    <row r="1" spans="1:22" x14ac:dyDescent="0.35">
      <c r="A1" s="72" t="s">
        <v>178</v>
      </c>
      <c r="B1" s="72" t="s">
        <v>179</v>
      </c>
      <c r="C1" s="72" t="s">
        <v>1128</v>
      </c>
      <c r="D1" s="73" t="s">
        <v>247</v>
      </c>
      <c r="E1" s="73" t="s">
        <v>248</v>
      </c>
      <c r="F1" s="73" t="s">
        <v>1926</v>
      </c>
      <c r="G1" s="73" t="s">
        <v>250</v>
      </c>
      <c r="H1" s="73" t="s">
        <v>180</v>
      </c>
      <c r="I1" s="73" t="s">
        <v>181</v>
      </c>
      <c r="J1" s="73" t="s">
        <v>1927</v>
      </c>
      <c r="K1" s="73" t="s">
        <v>183</v>
      </c>
      <c r="L1" s="73" t="s">
        <v>184</v>
      </c>
      <c r="M1" s="73" t="s">
        <v>185</v>
      </c>
      <c r="N1" s="73" t="s">
        <v>1928</v>
      </c>
      <c r="O1" s="73" t="s">
        <v>187</v>
      </c>
      <c r="P1" s="73" t="s">
        <v>188</v>
      </c>
      <c r="Q1" s="73" t="s">
        <v>189</v>
      </c>
      <c r="R1" s="73" t="s">
        <v>1899</v>
      </c>
      <c r="S1" s="73" t="s">
        <v>191</v>
      </c>
      <c r="T1" s="73" t="s">
        <v>175</v>
      </c>
      <c r="U1" s="73" t="s">
        <v>176</v>
      </c>
      <c r="V1" s="73"/>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6">
        <f>Grants!P73</f>
        <v>399.43985199999997</v>
      </c>
      <c r="J2" s="56">
        <f>Grants!Q73</f>
        <v>430.7982748</v>
      </c>
      <c r="K2" s="56">
        <f>Grants!R73</f>
        <v>500.33303199999995</v>
      </c>
      <c r="L2" s="56">
        <f>Grants!S73</f>
        <v>483.13586799999996</v>
      </c>
      <c r="M2" s="56">
        <f>Grants!T73</f>
        <v>450.110928</v>
      </c>
      <c r="N2" s="56">
        <f>Grants!U73</f>
        <v>441.01454320000011</v>
      </c>
      <c r="O2" s="56">
        <f>Grants!V73</f>
        <v>433.78172000000006</v>
      </c>
      <c r="P2" s="74">
        <f>Grants!W73</f>
        <v>417.68194400000004</v>
      </c>
      <c r="Q2" s="74">
        <f>Grants!X73</f>
        <v>432.29994399999998</v>
      </c>
      <c r="R2" s="74">
        <f>Grants!Y73</f>
        <v>434.70694400000002</v>
      </c>
      <c r="S2" s="74">
        <f>Grants!Z73</f>
        <v>440.59710899999999</v>
      </c>
      <c r="T2" s="74">
        <f>Grants!AA73</f>
        <v>461.9273300000001</v>
      </c>
      <c r="U2" s="74">
        <f>Grants!AB73</f>
        <v>463.54132570000002</v>
      </c>
    </row>
    <row r="3" spans="1:22" ht="29.15" customHeight="1" x14ac:dyDescent="0.35">
      <c r="A3" s="14" t="s">
        <v>790</v>
      </c>
      <c r="B3" t="s">
        <v>787</v>
      </c>
      <c r="C3">
        <v>1649.3000000000004</v>
      </c>
      <c r="D3">
        <f>'Social Benefits'!K33</f>
        <v>1804.1</v>
      </c>
      <c r="E3">
        <f>'Social Benefits'!L33</f>
        <v>1687.3999999999999</v>
      </c>
      <c r="F3">
        <f>'Social Benefits'!M33</f>
        <v>1744.3000000000004</v>
      </c>
      <c r="G3">
        <f>'Social Benefits'!N33</f>
        <v>1748.4781600000001</v>
      </c>
      <c r="H3">
        <f>'Social Benefits'!O33</f>
        <v>1919.3298399999999</v>
      </c>
      <c r="I3" s="56">
        <f>'Social Benefits'!P33</f>
        <v>1899.5239999999999</v>
      </c>
      <c r="J3" s="56">
        <f>'Social Benefits'!Q33</f>
        <v>1929.424</v>
      </c>
      <c r="K3" s="56">
        <f>'Social Benefits'!R33</f>
        <v>1935.4239999999995</v>
      </c>
      <c r="L3" s="56">
        <f>'Social Benefits'!S33</f>
        <v>1929.3240000000001</v>
      </c>
      <c r="M3" s="56">
        <f>'Social Benefits'!T33</f>
        <v>2003.6840000000002</v>
      </c>
      <c r="N3" s="56">
        <f>'Social Benefits'!U33</f>
        <v>2013.7840000000001</v>
      </c>
      <c r="O3" s="56">
        <f>'Social Benefits'!V33</f>
        <v>2002.924</v>
      </c>
      <c r="P3" s="74">
        <f>'Social Benefits'!W33</f>
        <v>2013.7240000000002</v>
      </c>
      <c r="Q3" s="74">
        <f>'Social Benefits'!X33</f>
        <v>2019.2990000000002</v>
      </c>
      <c r="R3" s="74">
        <f>'Social Benefits'!Y33</f>
        <v>2111.2989999999995</v>
      </c>
      <c r="S3" s="74">
        <f>'Social Benefits'!Z33</f>
        <v>2135.3989999999999</v>
      </c>
      <c r="T3" s="74">
        <f>'Social Benefits'!AA33</f>
        <v>2152.1989999999996</v>
      </c>
      <c r="U3" s="74">
        <f>'Social Benefits'!AB33</f>
        <v>2171.4980000000005</v>
      </c>
    </row>
    <row r="4" spans="1:22" ht="29.15" customHeight="1" x14ac:dyDescent="0.35">
      <c r="A4" s="14" t="s">
        <v>792</v>
      </c>
      <c r="B4" t="s">
        <v>788</v>
      </c>
      <c r="C4">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74">
        <f>'Social Benefits'!W24</f>
        <v>12</v>
      </c>
      <c r="Q4" s="74">
        <f>'Social Benefits'!X24</f>
        <v>4.2219999999999995</v>
      </c>
      <c r="R4" s="74">
        <f>'Social Benefits'!Y24</f>
        <v>4.2219999999999995</v>
      </c>
      <c r="S4" s="74">
        <f>'Social Benefits'!Z24</f>
        <v>4.2219999999999995</v>
      </c>
      <c r="T4" s="74">
        <f>'Social Benefits'!AA24</f>
        <v>4.2219999999999995</v>
      </c>
      <c r="U4" s="74">
        <f>'Social Benefits'!AB24</f>
        <v>2.3719999999999999</v>
      </c>
    </row>
    <row r="5" spans="1:22" x14ac:dyDescent="0.35">
      <c r="A5" s="14" t="s">
        <v>791</v>
      </c>
      <c r="B5" t="s">
        <v>789</v>
      </c>
      <c r="C5">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74">
        <f>'Social Benefits'!W30</f>
        <v>1.4159999999999999</v>
      </c>
      <c r="Q5" s="74">
        <f>'Social Benefits'!X30</f>
        <v>1.4790000000000001</v>
      </c>
      <c r="R5" s="74">
        <f>'Social Benefits'!Y30</f>
        <v>1.4790000000000001</v>
      </c>
      <c r="S5" s="74">
        <f>'Social Benefits'!Z30</f>
        <v>1.4790000000000001</v>
      </c>
      <c r="T5" s="74">
        <f>'Social Benefits'!AA30</f>
        <v>1.4790000000000001</v>
      </c>
      <c r="U5" s="74">
        <f>'Social Benefits'!AB30</f>
        <v>1.63</v>
      </c>
    </row>
    <row r="6" spans="1:22" x14ac:dyDescent="0.35">
      <c r="A6" s="56" t="s">
        <v>201</v>
      </c>
      <c r="B6" s="56" t="s">
        <v>826</v>
      </c>
      <c r="C6" s="56">
        <v>0</v>
      </c>
      <c r="D6" s="70">
        <f>Subsidies!K45</f>
        <v>0</v>
      </c>
      <c r="E6" s="70">
        <f>Subsidies!L45</f>
        <v>0</v>
      </c>
      <c r="F6" s="70">
        <f>Subsidies!M45</f>
        <v>0</v>
      </c>
      <c r="G6" s="70">
        <f>Subsidies!N45</f>
        <v>58.782959999999989</v>
      </c>
      <c r="H6" s="70">
        <f>Subsidies!O45</f>
        <v>267.78904</v>
      </c>
      <c r="I6" s="70">
        <f>Subsidies!P45</f>
        <v>110.24799999999999</v>
      </c>
      <c r="J6" s="70">
        <f>Subsidies!Q45</f>
        <v>110.24799999999999</v>
      </c>
      <c r="K6" s="70">
        <f>Subsidies!R45</f>
        <v>110.24799999999999</v>
      </c>
      <c r="L6" s="70">
        <f>Subsidies!S45</f>
        <v>110.24799999999999</v>
      </c>
      <c r="M6" s="70">
        <f>Subsidies!T45</f>
        <v>12.726000000000001</v>
      </c>
      <c r="N6" s="70">
        <f>Subsidies!U45</f>
        <v>12.726000000000001</v>
      </c>
      <c r="O6" s="70">
        <f>Subsidies!V45</f>
        <v>12.726000000000001</v>
      </c>
      <c r="P6" s="75">
        <f>Subsidies!W45</f>
        <v>12.726000000000001</v>
      </c>
      <c r="Q6" s="75">
        <f>Subsidies!X45</f>
        <v>1.365</v>
      </c>
      <c r="R6" s="75">
        <f>Subsidies!Y45</f>
        <v>1.365</v>
      </c>
      <c r="S6" s="75">
        <f>Subsidies!Z45</f>
        <v>1.365</v>
      </c>
      <c r="T6" s="75">
        <f>Subsidies!AA45</f>
        <v>1.365</v>
      </c>
      <c r="U6" s="75">
        <f>Subsidies!AB45</f>
        <v>-0.90100000000000025</v>
      </c>
    </row>
    <row r="7" spans="1:22" ht="29.15" customHeight="1" x14ac:dyDescent="0.35">
      <c r="A7" s="14" t="s">
        <v>864</v>
      </c>
      <c r="B7" t="s">
        <v>862</v>
      </c>
      <c r="C7" t="e">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74" t="e">
        <f>Taxes!#REF!</f>
        <v>#REF!</v>
      </c>
      <c r="Q7" s="74" t="e">
        <f>Taxes!#REF!</f>
        <v>#REF!</v>
      </c>
      <c r="R7" s="74" t="e">
        <f>Taxes!#REF!</f>
        <v>#REF!</v>
      </c>
      <c r="S7" s="74" t="e">
        <f>Taxes!#REF!</f>
        <v>#REF!</v>
      </c>
      <c r="T7" s="74" t="e">
        <f>Taxes!#REF!</f>
        <v>#REF!</v>
      </c>
      <c r="U7" s="74" t="e">
        <f>Taxes!#REF!</f>
        <v>#REF!</v>
      </c>
    </row>
    <row r="8" spans="1:22" x14ac:dyDescent="0.35">
      <c r="A8" t="s">
        <v>865</v>
      </c>
      <c r="B8" t="s">
        <v>863</v>
      </c>
      <c r="D8" s="56"/>
      <c r="E8" s="56"/>
      <c r="F8" s="56"/>
      <c r="G8" s="56"/>
      <c r="H8" s="56"/>
      <c r="J8" s="71"/>
      <c r="K8" s="71"/>
      <c r="L8" s="71"/>
      <c r="M8" s="71"/>
      <c r="N8" s="71" t="e">
        <f>forecast!#REF!</f>
        <v>#REF!</v>
      </c>
      <c r="O8" s="71" t="e">
        <f>forecast!#REF!</f>
        <v>#REF!</v>
      </c>
      <c r="P8" s="69" t="e">
        <f>forecast!#REF!</f>
        <v>#REF!</v>
      </c>
      <c r="Q8" s="69" t="e">
        <f>forecast!#REF!</f>
        <v>#REF!</v>
      </c>
      <c r="R8" s="69" t="e">
        <f>forecast!#REF!</f>
        <v>#REF!</v>
      </c>
      <c r="S8" s="69" t="e">
        <f>forecast!#REF!</f>
        <v>#REF!</v>
      </c>
      <c r="T8" s="69" t="e">
        <f>forecast!#REF!</f>
        <v>#REF!</v>
      </c>
      <c r="U8" s="69" t="e">
        <f>forecast!#REF!</f>
        <v>#REF!</v>
      </c>
    </row>
    <row r="9" spans="1:22" x14ac:dyDescent="0.35">
      <c r="A9" s="14" t="s">
        <v>918</v>
      </c>
      <c r="B9" t="s">
        <v>919</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6">
        <f>Grants!T94</f>
        <v>76.022000000000006</v>
      </c>
      <c r="N9" s="56">
        <f>Grants!U94</f>
        <v>76.022000000000006</v>
      </c>
      <c r="O9" s="56">
        <f>Grants!V94</f>
        <v>76.022000000000006</v>
      </c>
      <c r="P9" s="74">
        <f>Grants!W94</f>
        <v>76.022000000000006</v>
      </c>
      <c r="Q9" s="74">
        <f>Grants!X94</f>
        <v>77.680999999999997</v>
      </c>
      <c r="R9" s="74">
        <f>Grants!Y94</f>
        <v>77.680999999999997</v>
      </c>
      <c r="S9" s="74">
        <f>Grants!Z94</f>
        <v>77.680999999999997</v>
      </c>
      <c r="T9" s="74">
        <f>Grants!AA94</f>
        <v>77.680999999999997</v>
      </c>
      <c r="U9" s="74">
        <f>Grants!AB94</f>
        <v>79.275000000000006</v>
      </c>
    </row>
    <row r="10" spans="1:22" x14ac:dyDescent="0.35">
      <c r="A10" t="s">
        <v>1877</v>
      </c>
      <c r="B10" t="s">
        <v>1878</v>
      </c>
      <c r="C10">
        <v>0</v>
      </c>
      <c r="D10">
        <v>0</v>
      </c>
      <c r="E10">
        <v>0</v>
      </c>
      <c r="F10">
        <v>0</v>
      </c>
      <c r="G10">
        <v>0</v>
      </c>
      <c r="H10">
        <v>0</v>
      </c>
      <c r="I10">
        <v>0</v>
      </c>
      <c r="J10">
        <v>0</v>
      </c>
      <c r="K10">
        <f>'Supply Side IRA'!R14</f>
        <v>0</v>
      </c>
      <c r="L10">
        <f>'Supply Side IRA'!S14</f>
        <v>4.7396187820222604</v>
      </c>
      <c r="M10">
        <f>'Supply Side IRA'!T14</f>
        <v>7.9776986848321831</v>
      </c>
      <c r="N10">
        <f>'Supply Side IRA'!U14</f>
        <v>30.340947133778037</v>
      </c>
      <c r="O10">
        <f>'Supply Side IRA'!V14</f>
        <v>46.245323437552436</v>
      </c>
      <c r="P10" s="74">
        <f>'Supply Side IRA'!W14</f>
        <v>62.071265434561823</v>
      </c>
      <c r="Q10" s="74">
        <f>'Supply Side IRA'!X14</f>
        <v>68.312190099849346</v>
      </c>
      <c r="R10" s="74">
        <f>'Supply Side IRA'!Y14</f>
        <v>78.014538004655279</v>
      </c>
      <c r="S10" s="74">
        <f>'Supply Side IRA'!Z14</f>
        <v>85.438721583871441</v>
      </c>
      <c r="T10" s="74">
        <f>'Supply Side IRA'!AA14</f>
        <v>79.629002831748679</v>
      </c>
      <c r="U10" s="74">
        <f>'Supply Side IRA'!AB14</f>
        <v>71.179167218325318</v>
      </c>
    </row>
    <row r="11" spans="1:22" x14ac:dyDescent="0.35">
      <c r="A11" s="14" t="s">
        <v>1881</v>
      </c>
      <c r="B11" t="s">
        <v>1882</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4">
        <f>'Student loans'!W11</f>
        <v>2.0815079999999999</v>
      </c>
      <c r="Q11" s="74">
        <f>'Student loans'!X11</f>
        <v>2.1006180000000003</v>
      </c>
      <c r="R11" s="74">
        <f>'Student loans'!Y11</f>
        <v>2.5815300000000003</v>
      </c>
      <c r="S11" s="74">
        <f>'Student loans'!Z11</f>
        <v>2.6040450000000002</v>
      </c>
      <c r="T11" s="74">
        <f>'Student loans'!AA11</f>
        <v>2.626465</v>
      </c>
      <c r="U11" s="74">
        <f>'Student loans'!AB11</f>
        <v>2.6498349999999999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90625" defaultRowHeight="14.5" x14ac:dyDescent="0.35"/>
  <cols>
    <col min="1" max="1" width="32.81640625" customWidth="1"/>
    <col min="2" max="2" width="28.54296875" customWidth="1"/>
  </cols>
  <sheetData>
    <row r="1" spans="1:10" x14ac:dyDescent="0.35">
      <c r="A1" s="72" t="s">
        <v>178</v>
      </c>
      <c r="B1" s="72" t="s">
        <v>179</v>
      </c>
      <c r="C1" s="82" t="s">
        <v>177</v>
      </c>
      <c r="D1" s="82" t="s">
        <v>763</v>
      </c>
      <c r="E1" s="82" t="s">
        <v>764</v>
      </c>
      <c r="F1" s="82" t="s">
        <v>765</v>
      </c>
      <c r="G1" s="82" t="s">
        <v>1900</v>
      </c>
      <c r="H1" s="82" t="s">
        <v>1153</v>
      </c>
      <c r="I1" s="82" t="s">
        <v>1154</v>
      </c>
      <c r="J1" s="82" t="s">
        <v>1155</v>
      </c>
    </row>
    <row r="2" spans="1:10" x14ac:dyDescent="0.35">
      <c r="A2" s="81" t="s">
        <v>1702</v>
      </c>
      <c r="B2" t="s">
        <v>1720</v>
      </c>
      <c r="C2" s="78">
        <f>Deflators!AC23</f>
        <v>5.4941475191609968E-3</v>
      </c>
      <c r="D2" s="199">
        <f>Deflators!AD23</f>
        <v>5.3281733087207073E-3</v>
      </c>
      <c r="E2" s="199">
        <f>Deflators!AE23</f>
        <v>5.2029853847326279E-3</v>
      </c>
      <c r="F2" s="199">
        <f>Deflators!AF23</f>
        <v>5.2365719228046892E-3</v>
      </c>
      <c r="G2" s="199">
        <f>Deflators!AG23</f>
        <v>5.1030876689082127E-3</v>
      </c>
      <c r="H2" s="199">
        <f>Deflators!AH23</f>
        <v>5.0560151008076648E-3</v>
      </c>
      <c r="I2" s="199">
        <f>Deflators!AI23</f>
        <v>5.0400673136283825E-3</v>
      </c>
      <c r="J2" s="199">
        <f>Deflators!AJ23</f>
        <v>5.0641944009628403E-3</v>
      </c>
    </row>
    <row r="3" spans="1:10" x14ac:dyDescent="0.35">
      <c r="A3" s="67" t="s">
        <v>1716</v>
      </c>
      <c r="B3" t="s">
        <v>1721</v>
      </c>
      <c r="C3" s="78">
        <f>Deflators!AC24</f>
        <v>4.6471700810972738E-3</v>
      </c>
      <c r="D3" s="199">
        <f>Deflators!AD24</f>
        <v>3.8032220794554927E-3</v>
      </c>
      <c r="E3" s="199">
        <f>Deflators!AE24</f>
        <v>3.6622499009297815E-3</v>
      </c>
      <c r="F3" s="199">
        <f>Deflators!AF24</f>
        <v>3.7586565053258081E-3</v>
      </c>
      <c r="G3" s="199">
        <f>Deflators!AG24</f>
        <v>5.3360385557714718E-3</v>
      </c>
      <c r="H3" s="199">
        <f>Deflators!AH24</f>
        <v>5.6496540320822852E-3</v>
      </c>
      <c r="I3" s="199">
        <f>Deflators!AI24</f>
        <v>5.7657657657657069E-3</v>
      </c>
      <c r="J3" s="199">
        <f>Deflators!AJ24</f>
        <v>5.9196503336531592E-3</v>
      </c>
    </row>
    <row r="4" spans="1:10" x14ac:dyDescent="0.35">
      <c r="A4" s="67" t="s">
        <v>1717</v>
      </c>
      <c r="B4" t="s">
        <v>1722</v>
      </c>
      <c r="C4" s="78">
        <f>Deflators!AC25</f>
        <v>7.5994791260280969E-3</v>
      </c>
      <c r="D4" s="199">
        <f>Deflators!AD25</f>
        <v>7.076115293487284E-3</v>
      </c>
      <c r="E4" s="199">
        <f>Deflators!AE25</f>
        <v>7.7455120761196206E-3</v>
      </c>
      <c r="F4" s="199">
        <f>Deflators!AF25</f>
        <v>8.0020266414988495E-3</v>
      </c>
      <c r="G4" s="199">
        <f>Deflators!AG25</f>
        <v>8.189994905591913E-3</v>
      </c>
      <c r="H4" s="199">
        <f>Deflators!AH25</f>
        <v>7.7655046872424638E-3</v>
      </c>
      <c r="I4" s="199">
        <f>Deflators!AI25</f>
        <v>7.6646909789201967E-3</v>
      </c>
      <c r="J4" s="199">
        <f>Deflators!AJ25</f>
        <v>7.6652640346144274E-3</v>
      </c>
    </row>
    <row r="5" spans="1:10" x14ac:dyDescent="0.35">
      <c r="A5" s="67" t="s">
        <v>1718</v>
      </c>
      <c r="B5" t="s">
        <v>1723</v>
      </c>
      <c r="C5" s="78">
        <f>Deflators!AC26</f>
        <v>7.5994791260280969E-3</v>
      </c>
      <c r="D5" s="199">
        <f>Deflators!AD26</f>
        <v>7.076115293487284E-3</v>
      </c>
      <c r="E5" s="199">
        <f>Deflators!AE26</f>
        <v>7.7455120761196206E-3</v>
      </c>
      <c r="F5" s="199">
        <f>Deflators!AF26</f>
        <v>8.0020266414988495E-3</v>
      </c>
      <c r="G5" s="199">
        <f>Deflators!AG26</f>
        <v>8.189994905591913E-3</v>
      </c>
      <c r="H5" s="199">
        <f>Deflators!AH26</f>
        <v>7.7655046872424638E-3</v>
      </c>
      <c r="I5" s="199">
        <f>Deflators!AI26</f>
        <v>7.6646909789201967E-3</v>
      </c>
      <c r="J5" s="199">
        <f>Deflators!AJ26</f>
        <v>7.6652640346144274E-3</v>
      </c>
    </row>
    <row r="6" spans="1:10" x14ac:dyDescent="0.35">
      <c r="A6" s="56" t="s">
        <v>1719</v>
      </c>
      <c r="B6" t="s">
        <v>1724</v>
      </c>
      <c r="C6" s="78">
        <f>Deflators!AC27</f>
        <v>7.5994791260280969E-3</v>
      </c>
      <c r="D6" s="199">
        <f>Deflators!AD27</f>
        <v>7.076115293487284E-3</v>
      </c>
      <c r="E6" s="199">
        <f>Deflators!AE27</f>
        <v>7.7455120761196206E-3</v>
      </c>
      <c r="F6" s="199">
        <f>Deflators!AF27</f>
        <v>8.0020266414988495E-3</v>
      </c>
      <c r="G6" s="199">
        <f>Deflators!AG27</f>
        <v>8.189994905591913E-3</v>
      </c>
      <c r="H6" s="199">
        <f>Deflators!AH27</f>
        <v>7.7655046872424638E-3</v>
      </c>
      <c r="I6" s="199">
        <f>Deflators!AI27</f>
        <v>7.6646909789201967E-3</v>
      </c>
      <c r="J6" s="199">
        <f>Deflators!AJ27</f>
        <v>7.6652640346144274E-3</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128"/>
  <sheetViews>
    <sheetView topLeftCell="A97" zoomScaleNormal="100" workbookViewId="0">
      <selection activeCell="D93" sqref="D93"/>
    </sheetView>
  </sheetViews>
  <sheetFormatPr defaultColWidth="10.90625" defaultRowHeight="14.5" x14ac:dyDescent="0.35"/>
  <cols>
    <col min="2" max="2" width="39.453125" customWidth="1"/>
    <col min="3" max="3" width="20.1796875" customWidth="1"/>
    <col min="6" max="6" width="12.453125" customWidth="1"/>
  </cols>
  <sheetData>
    <row r="2" spans="2:12" x14ac:dyDescent="0.35">
      <c r="B2" s="1246" t="s">
        <v>1980</v>
      </c>
      <c r="C2" s="1246"/>
      <c r="D2" s="1246"/>
      <c r="E2" s="1246"/>
      <c r="F2" s="1246"/>
      <c r="G2" s="1246"/>
      <c r="H2" s="1246"/>
      <c r="I2" s="1246"/>
      <c r="J2" s="1246"/>
      <c r="K2" s="1246"/>
      <c r="L2" s="1246"/>
    </row>
    <row r="3" spans="2:12" x14ac:dyDescent="0.35">
      <c r="B3" t="str">
        <f>forecast!A1</f>
        <v>name</v>
      </c>
      <c r="C3" t="str">
        <f>forecast!B1</f>
        <v>variable</v>
      </c>
      <c r="D3" t="s">
        <v>176</v>
      </c>
      <c r="E3" t="s">
        <v>177</v>
      </c>
      <c r="F3" t="s">
        <v>763</v>
      </c>
      <c r="G3" t="s">
        <v>764</v>
      </c>
      <c r="H3" t="s">
        <v>765</v>
      </c>
      <c r="I3" t="s">
        <v>1152</v>
      </c>
      <c r="J3" t="s">
        <v>1153</v>
      </c>
      <c r="K3" t="s">
        <v>1154</v>
      </c>
      <c r="L3" t="s">
        <v>1155</v>
      </c>
    </row>
    <row r="4" spans="2:12" x14ac:dyDescent="0.35">
      <c r="B4" t="str">
        <f>forecast!A2</f>
        <v>Consumption Grants</v>
      </c>
      <c r="C4" t="str">
        <f>forecast!B2</f>
        <v>consumption_grants</v>
      </c>
      <c r="D4" s="76">
        <f>forecast!C2</f>
        <v>463.54132570000002</v>
      </c>
      <c r="E4" s="76">
        <f>forecast!D2</f>
        <v>447.08815956920625</v>
      </c>
      <c r="F4" s="76">
        <f>forecast!E2</f>
        <v>442.7962896849757</v>
      </c>
      <c r="G4" s="76">
        <f>forecast!F2</f>
        <v>445.70973999598249</v>
      </c>
      <c r="H4" s="76">
        <f>forecast!G2</f>
        <v>444.7661988000001</v>
      </c>
      <c r="I4" s="76">
        <f>forecast!H2</f>
        <v>447.86348787197454</v>
      </c>
      <c r="J4" s="76">
        <f>forecast!I2</f>
        <v>448.18829579237479</v>
      </c>
      <c r="K4" s="76">
        <f>forecast!J2</f>
        <v>452.34692327582184</v>
      </c>
      <c r="L4" s="76">
        <f>forecast!K2</f>
        <v>454.53667400000006</v>
      </c>
    </row>
    <row r="5" spans="2:12" x14ac:dyDescent="0.35">
      <c r="B5" t="str">
        <f>forecast!A3</f>
        <v>Investment Grants</v>
      </c>
      <c r="C5" t="str">
        <f>forecast!B3</f>
        <v>investment_grants</v>
      </c>
      <c r="D5" s="76">
        <f>forecast!C3</f>
        <v>79.275000000000006</v>
      </c>
      <c r="E5" s="76">
        <f>forecast!D3</f>
        <v>79.275000000000006</v>
      </c>
      <c r="F5" s="76">
        <f>forecast!E3</f>
        <v>75.203000000000003</v>
      </c>
      <c r="G5" s="76">
        <f>forecast!F3</f>
        <v>75.203000000000003</v>
      </c>
      <c r="H5" s="76">
        <f>forecast!G3</f>
        <v>75.203000000000003</v>
      </c>
      <c r="I5" s="76">
        <f>forecast!H3</f>
        <v>75.203000000000003</v>
      </c>
      <c r="J5" s="76">
        <f>forecast!I3</f>
        <v>75.203000000000003</v>
      </c>
      <c r="K5" s="76">
        <f>forecast!J3</f>
        <v>75.203000000000003</v>
      </c>
      <c r="L5" s="76">
        <f>forecast!K3</f>
        <v>75.203000000000003</v>
      </c>
    </row>
    <row r="6" spans="2:12" x14ac:dyDescent="0.35">
      <c r="B6" t="str">
        <f>forecast!A4</f>
        <v>Federal Purchases (NIPA Consistent)</v>
      </c>
      <c r="C6" t="str">
        <f>forecast!B4</f>
        <v>federal_purchases</v>
      </c>
      <c r="D6" s="76">
        <f>forecast!C4</f>
        <v>1922</v>
      </c>
      <c r="E6" s="76">
        <f>forecast!D4</f>
        <v>1915.802138815616</v>
      </c>
      <c r="F6" s="76">
        <f>forecast!E4</f>
        <v>1915.4953797480491</v>
      </c>
      <c r="G6" s="76">
        <f>forecast!F4</f>
        <v>1921.0453042897229</v>
      </c>
      <c r="H6" s="76">
        <f>forecast!G4</f>
        <v>1926.8350422365586</v>
      </c>
      <c r="I6" s="76">
        <f>forecast!H4</f>
        <v>1936.905422868183</v>
      </c>
      <c r="J6" s="76">
        <f>forecast!I4</f>
        <v>1947.3525189394525</v>
      </c>
      <c r="K6" s="76">
        <f>forecast!J4</f>
        <v>1958.5502091242565</v>
      </c>
      <c r="L6" s="76">
        <f>forecast!K4</f>
        <v>1968.5501032900847</v>
      </c>
    </row>
    <row r="7" spans="2:12" x14ac:dyDescent="0.35">
      <c r="B7" t="str">
        <f>forecast!A5</f>
        <v>State Purchases (NIPA Consistent)</v>
      </c>
      <c r="C7" t="str">
        <f>forecast!B5</f>
        <v>state_purchases</v>
      </c>
      <c r="D7" s="76">
        <f>forecast!C5</f>
        <v>3174.7</v>
      </c>
      <c r="E7" s="76">
        <f>forecast!D5</f>
        <v>3204.8018356664493</v>
      </c>
      <c r="F7" s="76">
        <f>forecast!E5</f>
        <v>3231.0611571161521</v>
      </c>
      <c r="G7" s="76">
        <f>forecast!F5</f>
        <v>3260.5896771754583</v>
      </c>
      <c r="H7" s="76">
        <f>forecast!G5</f>
        <v>3291.220602030065</v>
      </c>
      <c r="I7" s="76">
        <f>forecast!H5</f>
        <v>3322.7231616521558</v>
      </c>
      <c r="J7" s="76">
        <f>forecast!I5</f>
        <v>3352.0947052084016</v>
      </c>
      <c r="K7" s="76">
        <f>forecast!J5</f>
        <v>3382.0196706636507</v>
      </c>
      <c r="L7" s="76">
        <f>forecast!K5</f>
        <v>3411.2234432123032</v>
      </c>
    </row>
    <row r="8" spans="2:12" x14ac:dyDescent="0.35">
      <c r="B8" t="str">
        <f>forecast!A6</f>
        <v>Non-ARP Subsidies + ARP Provider Relief and PPP</v>
      </c>
      <c r="C8" t="str">
        <f>forecast!B6</f>
        <v>federal_subsidies</v>
      </c>
      <c r="D8" s="76">
        <f>forecast!C6</f>
        <v>93.900999999999996</v>
      </c>
      <c r="E8" s="76">
        <f>forecast!D6</f>
        <v>93.900999999999996</v>
      </c>
      <c r="F8" s="76">
        <f>forecast!E6</f>
        <v>85.879000000000005</v>
      </c>
      <c r="G8" s="76">
        <f>forecast!F6</f>
        <v>85.879000000000005</v>
      </c>
      <c r="H8" s="76">
        <f>forecast!G6</f>
        <v>90.218000000000004</v>
      </c>
      <c r="I8" s="76">
        <f>forecast!H6</f>
        <v>88.067999999999998</v>
      </c>
      <c r="J8" s="76">
        <f>forecast!I6</f>
        <v>88.067999999999998</v>
      </c>
      <c r="K8" s="76">
        <f>forecast!J6</f>
        <v>88.067999999999998</v>
      </c>
      <c r="L8" s="76">
        <f>forecast!K6</f>
        <v>88.067999999999998</v>
      </c>
    </row>
    <row r="9" spans="2:12" x14ac:dyDescent="0.35">
      <c r="B9" t="str">
        <f>forecast!A7</f>
        <v>ARP Subsidies less Provider Relief and PPP</v>
      </c>
      <c r="C9" t="str">
        <f>forecast!B7</f>
        <v>federal_aid_to_small_businesses_arp</v>
      </c>
      <c r="D9" s="76">
        <f>forecast!C7</f>
        <v>-0.90100000000000025</v>
      </c>
      <c r="E9" s="76">
        <f>forecast!D7</f>
        <v>-0.90100000000000025</v>
      </c>
      <c r="F9" s="76">
        <f>forecast!E7</f>
        <v>-0.90100000000000025</v>
      </c>
      <c r="G9" s="76">
        <f>forecast!F7</f>
        <v>-0.90100000000000025</v>
      </c>
      <c r="H9" s="76">
        <f>forecast!G7</f>
        <v>-2.1500000000000004</v>
      </c>
      <c r="I9" s="76">
        <f>forecast!H7</f>
        <v>0</v>
      </c>
      <c r="J9" s="76">
        <f>forecast!I7</f>
        <v>0</v>
      </c>
      <c r="K9" s="76">
        <f>forecast!J7</f>
        <v>0</v>
      </c>
      <c r="L9" s="76">
        <f>forecast!K7</f>
        <v>0</v>
      </c>
    </row>
    <row r="10" spans="2:12" x14ac:dyDescent="0.35">
      <c r="B10" t="str">
        <f>forecast!A8</f>
        <v>Federal UI</v>
      </c>
      <c r="C10" t="str">
        <f>forecast!B8</f>
        <v>federal_ui</v>
      </c>
      <c r="D10" s="76">
        <f>forecast!C8</f>
        <v>0.39999999999999858</v>
      </c>
      <c r="E10" s="76">
        <f>forecast!D8</f>
        <v>0</v>
      </c>
      <c r="F10" s="76">
        <f>forecast!E8</f>
        <v>0</v>
      </c>
      <c r="G10" s="76">
        <f>forecast!F8</f>
        <v>0</v>
      </c>
      <c r="H10" s="76">
        <f>forecast!G8</f>
        <v>0</v>
      </c>
      <c r="I10" s="76">
        <f>forecast!H8</f>
        <v>0</v>
      </c>
      <c r="J10" s="76">
        <f>forecast!I8</f>
        <v>0</v>
      </c>
      <c r="K10" s="76">
        <f>forecast!J8</f>
        <v>0</v>
      </c>
      <c r="L10" s="76">
        <f>forecast!K8</f>
        <v>0</v>
      </c>
    </row>
    <row r="11" spans="2:12" x14ac:dyDescent="0.35">
      <c r="B11" t="str">
        <f>forecast!A9</f>
        <v>State UI</v>
      </c>
      <c r="C11" t="str">
        <f>forecast!B9</f>
        <v>state_ui</v>
      </c>
      <c r="D11" s="76">
        <f>forecast!C9</f>
        <v>35.700000000000003</v>
      </c>
      <c r="E11" s="76">
        <f>forecast!D9</f>
        <v>35.700000000000003</v>
      </c>
      <c r="F11" s="76">
        <f>forecast!E9</f>
        <v>35.700000000000003</v>
      </c>
      <c r="G11" s="76">
        <f>forecast!F9</f>
        <v>35.700000000000003</v>
      </c>
      <c r="H11" s="76">
        <f>forecast!G9</f>
        <v>35.700000000000003</v>
      </c>
      <c r="I11" s="76">
        <f>forecast!H9</f>
        <v>35.700000000000003</v>
      </c>
      <c r="J11" s="76">
        <f>forecast!I9</f>
        <v>35.700000000000003</v>
      </c>
      <c r="K11" s="76">
        <f>forecast!J9</f>
        <v>35.700000000000003</v>
      </c>
      <c r="L11" s="76">
        <f>forecast!K9</f>
        <v>35.700000000000003</v>
      </c>
    </row>
    <row r="12" spans="2:12" x14ac:dyDescent="0.35">
      <c r="B12" t="str">
        <f>forecast!A10</f>
        <v>Federal Medicaid</v>
      </c>
      <c r="C12" t="str">
        <f>forecast!B10</f>
        <v>medicaid_grants</v>
      </c>
      <c r="D12" s="76">
        <f>forecast!C10</f>
        <v>655.17499999999995</v>
      </c>
      <c r="E12" s="76">
        <f>forecast!D10</f>
        <v>661.27117981628589</v>
      </c>
      <c r="F12" s="76">
        <f>forecast!E10</f>
        <v>674.72576616221306</v>
      </c>
      <c r="G12" s="76">
        <f>forecast!F10</f>
        <v>689.58740069290093</v>
      </c>
      <c r="H12" s="76">
        <f>forecast!G10</f>
        <v>698.87355434841629</v>
      </c>
      <c r="I12" s="76">
        <f>forecast!H10</f>
        <v>709.01587870669846</v>
      </c>
      <c r="J12" s="76">
        <f>forecast!I10</f>
        <v>719.41328954169887</v>
      </c>
      <c r="K12" s="76">
        <f>forecast!J10</f>
        <v>729.99170553910426</v>
      </c>
      <c r="L12" s="76">
        <f>forecast!K10</f>
        <v>740.62183191583563</v>
      </c>
    </row>
    <row r="13" spans="2:12" x14ac:dyDescent="0.35">
      <c r="B13" t="str">
        <f>forecast!A11</f>
        <v>Total Medicaid</v>
      </c>
      <c r="C13" t="str">
        <f>forecast!B11</f>
        <v>medicaid</v>
      </c>
      <c r="D13" s="76">
        <f>forecast!C11</f>
        <v>957.6</v>
      </c>
      <c r="E13" s="76">
        <f>forecast!D11</f>
        <v>967.10719642383469</v>
      </c>
      <c r="F13" s="76">
        <f>forecast!E11</f>
        <v>986.80806321951536</v>
      </c>
      <c r="G13" s="76">
        <f>forecast!F11</f>
        <v>1006.9102548672251</v>
      </c>
      <c r="H13" s="76">
        <f>forecast!G11</f>
        <v>1021.540719904543</v>
      </c>
      <c r="I13" s="76">
        <f>forecast!H11</f>
        <v>1036.383766456622</v>
      </c>
      <c r="J13" s="76">
        <f>forecast!I11</f>
        <v>1051.4424833453349</v>
      </c>
      <c r="K13" s="76">
        <f>forecast!J11</f>
        <v>1066.7200042733177</v>
      </c>
      <c r="L13" s="76">
        <f>forecast!K11</f>
        <v>1082.4599340037141</v>
      </c>
    </row>
    <row r="14" spans="2:12" x14ac:dyDescent="0.35">
      <c r="B14" t="str">
        <f>forecast!A12</f>
        <v>Medicare</v>
      </c>
      <c r="C14" t="str">
        <f>forecast!B12</f>
        <v>medicare</v>
      </c>
      <c r="D14" s="76">
        <f>forecast!C12</f>
        <v>1118.5</v>
      </c>
      <c r="E14" s="76">
        <f>forecast!D12</f>
        <v>1148.7441849890008</v>
      </c>
      <c r="F14" s="76">
        <f>forecast!E12</f>
        <v>1163.3735320395349</v>
      </c>
      <c r="G14" s="76">
        <f>forecast!F12</f>
        <v>1178.1891849690642</v>
      </c>
      <c r="H14" s="76">
        <f>forecast!G12</f>
        <v>1195.8207821959634</v>
      </c>
      <c r="I14" s="76">
        <f>forecast!H12</f>
        <v>1213.7162362166082</v>
      </c>
      <c r="J14" s="76">
        <f>forecast!I12</f>
        <v>1231.8794956470376</v>
      </c>
      <c r="K14" s="76">
        <f>forecast!J12</f>
        <v>1250.3145681943167</v>
      </c>
      <c r="L14" s="76">
        <f>forecast!K12</f>
        <v>1269.1869229993349</v>
      </c>
    </row>
    <row r="15" spans="2:12" x14ac:dyDescent="0.35">
      <c r="B15" t="str">
        <f>forecast!A13</f>
        <v>Non-ARP Rebate Checks</v>
      </c>
      <c r="C15" t="str">
        <f>forecast!B13</f>
        <v>rebate_checks</v>
      </c>
      <c r="D15" s="76">
        <f>forecast!C13</f>
        <v>0</v>
      </c>
      <c r="E15" s="76">
        <f>forecast!D13</f>
        <v>0</v>
      </c>
      <c r="F15" s="76">
        <f>forecast!E13</f>
        <v>0</v>
      </c>
      <c r="G15" s="76">
        <f>forecast!F13</f>
        <v>0</v>
      </c>
      <c r="H15" s="76">
        <f>forecast!G13</f>
        <v>0</v>
      </c>
      <c r="I15" s="76">
        <f>forecast!H13</f>
        <v>0</v>
      </c>
      <c r="J15" s="76">
        <f>forecast!I13</f>
        <v>0</v>
      </c>
      <c r="K15" s="76">
        <f>forecast!J13</f>
        <v>0</v>
      </c>
      <c r="L15" s="76">
        <f>forecast!K13</f>
        <v>0</v>
      </c>
    </row>
    <row r="16" spans="2:12" x14ac:dyDescent="0.35">
      <c r="B16" t="str">
        <f>forecast!A14</f>
        <v>ARP Rebate Checks</v>
      </c>
      <c r="C16" t="str">
        <f>forecast!B14</f>
        <v>rebate_checks_arp</v>
      </c>
      <c r="D16" s="76">
        <f>forecast!C14</f>
        <v>0</v>
      </c>
      <c r="E16" s="76">
        <f>forecast!D14</f>
        <v>0</v>
      </c>
      <c r="F16" s="76">
        <f>forecast!E14</f>
        <v>0</v>
      </c>
      <c r="G16" s="76">
        <f>forecast!F14</f>
        <v>0</v>
      </c>
      <c r="H16" s="76">
        <f>forecast!G14</f>
        <v>0</v>
      </c>
      <c r="I16" s="76">
        <f>forecast!H14</f>
        <v>0</v>
      </c>
      <c r="J16" s="76">
        <f>forecast!I14</f>
        <v>0</v>
      </c>
      <c r="K16" s="76">
        <f>forecast!J14</f>
        <v>0</v>
      </c>
      <c r="L16" s="76">
        <f>forecast!K14</f>
        <v>0</v>
      </c>
    </row>
    <row r="17" spans="2:12" x14ac:dyDescent="0.35">
      <c r="B17" t="str">
        <f>forecast!A15</f>
        <v>ARP Other Vulnerable</v>
      </c>
      <c r="C17" t="str">
        <f>forecast!B15</f>
        <v>federal_other_vulnerable_arp</v>
      </c>
      <c r="D17" s="76">
        <f>forecast!C15</f>
        <v>2.3719999999999999</v>
      </c>
      <c r="E17" s="76">
        <f>forecast!D15</f>
        <v>2.3719999999999999</v>
      </c>
      <c r="F17" s="76">
        <f>forecast!E15</f>
        <v>2.3719999999999999</v>
      </c>
      <c r="G17" s="76">
        <f>forecast!F15</f>
        <v>2.3719999999999999</v>
      </c>
      <c r="H17" s="76">
        <f>forecast!G15</f>
        <v>0.49</v>
      </c>
      <c r="I17" s="76">
        <f>forecast!H15</f>
        <v>0</v>
      </c>
      <c r="J17" s="76">
        <f>forecast!I15</f>
        <v>0</v>
      </c>
      <c r="K17" s="76">
        <f>forecast!J15</f>
        <v>0</v>
      </c>
      <c r="L17" s="76">
        <f>forecast!K15</f>
        <v>0</v>
      </c>
    </row>
    <row r="18" spans="2:12" x14ac:dyDescent="0.35">
      <c r="B18" t="str">
        <f>forecast!A16</f>
        <v xml:space="preserve">ARP Other Direct Aid plus Provider Relief </v>
      </c>
      <c r="C18" t="str">
        <f>forecast!B16</f>
        <v>federal_other_direct_aid_arp</v>
      </c>
      <c r="D18" s="76">
        <f>forecast!C16</f>
        <v>1.63</v>
      </c>
      <c r="E18" s="76">
        <f>forecast!D16</f>
        <v>1.63</v>
      </c>
      <c r="F18" s="76">
        <f>forecast!E16</f>
        <v>1.63</v>
      </c>
      <c r="G18" s="76">
        <f>forecast!F16</f>
        <v>1.63</v>
      </c>
      <c r="H18" s="76">
        <f>forecast!G16</f>
        <v>1.671</v>
      </c>
      <c r="I18" s="76">
        <f>forecast!H16</f>
        <v>0</v>
      </c>
      <c r="J18" s="76">
        <f>forecast!I16</f>
        <v>0</v>
      </c>
      <c r="K18" s="76">
        <f>forecast!J16</f>
        <v>0</v>
      </c>
      <c r="L18" s="76">
        <f>forecast!K16</f>
        <v>0</v>
      </c>
    </row>
    <row r="19" spans="2:12" x14ac:dyDescent="0.35">
      <c r="B19" t="str">
        <f>forecast!A17</f>
        <v>Other Federal Social Benefits (including all SNAP)</v>
      </c>
      <c r="C19" t="str">
        <f>forecast!B17</f>
        <v>federal_social_benefits</v>
      </c>
      <c r="D19" s="76">
        <f>forecast!C17</f>
        <v>2171.4980000000005</v>
      </c>
      <c r="E19" s="76">
        <f>forecast!D17</f>
        <v>2217.0016468750005</v>
      </c>
      <c r="F19" s="76">
        <f>forecast!E17</f>
        <v>2223.7016468750003</v>
      </c>
      <c r="G19" s="76">
        <f>forecast!F17</f>
        <v>2230.4016468750006</v>
      </c>
      <c r="H19" s="76">
        <f>forecast!G17</f>
        <v>2220.8626468750003</v>
      </c>
      <c r="I19" s="76">
        <f>forecast!H17</f>
        <v>2267.9698571678755</v>
      </c>
      <c r="J19" s="76">
        <f>forecast!I17</f>
        <v>2273.9418571678752</v>
      </c>
      <c r="K19" s="76">
        <f>forecast!J17</f>
        <v>2281.6418571678755</v>
      </c>
      <c r="L19" s="76">
        <f>forecast!K17</f>
        <v>2289.3418571678753</v>
      </c>
    </row>
    <row r="20" spans="2:12" x14ac:dyDescent="0.35">
      <c r="B20" t="str">
        <f>forecast!A18</f>
        <v>State Social Benefits ex Medicaid</v>
      </c>
      <c r="C20" t="str">
        <f>forecast!B18</f>
        <v>state_social_benefits</v>
      </c>
      <c r="D20" s="76">
        <f>forecast!C18</f>
        <v>224.74365842066501</v>
      </c>
      <c r="E20" s="76">
        <f>forecast!D18</f>
        <v>228.02904740969223</v>
      </c>
      <c r="F20" s="76">
        <f>forecast!E18</f>
        <v>231.36246347492295</v>
      </c>
      <c r="G20" s="76">
        <f>forecast!F18</f>
        <v>234.7446086945757</v>
      </c>
      <c r="H20" s="76">
        <f>forecast!G18</f>
        <v>238.17619541011769</v>
      </c>
      <c r="I20" s="76">
        <f>forecast!H18</f>
        <v>241.65794637629688</v>
      </c>
      <c r="J20" s="76">
        <f>forecast!I18</f>
        <v>245.19059491336728</v>
      </c>
      <c r="K20" s="76">
        <f>forecast!J18</f>
        <v>248.77488506153966</v>
      </c>
      <c r="L20" s="76">
        <f>forecast!K18</f>
        <v>252.41157173768991</v>
      </c>
    </row>
    <row r="21" spans="2:12" x14ac:dyDescent="0.35">
      <c r="B21" t="str">
        <f>forecast!A19</f>
        <v>Federal Non-Corporate Taxes</v>
      </c>
      <c r="C21" t="str">
        <f>forecast!B19</f>
        <v>federal_non_corporate_taxes</v>
      </c>
      <c r="D21" s="76">
        <f>forecast!C19</f>
        <v>4526.3</v>
      </c>
      <c r="E21" s="76">
        <f>forecast!D19</f>
        <v>4599.0105611712625</v>
      </c>
      <c r="F21" s="76">
        <f>forecast!E19</f>
        <v>4622.1524984238076</v>
      </c>
      <c r="G21" s="76">
        <f>forecast!F19</f>
        <v>4645.5079910034628</v>
      </c>
      <c r="H21" s="76">
        <f>forecast!G19</f>
        <v>4669.0771571723008</v>
      </c>
      <c r="I21" s="76">
        <f>forecast!H19</f>
        <v>4788.2914768467372</v>
      </c>
      <c r="J21" s="76">
        <f>forecast!I19</f>
        <v>4821.1492369319667</v>
      </c>
      <c r="K21" s="76">
        <f>forecast!J19</f>
        <v>4854.3793911032208</v>
      </c>
      <c r="L21" s="76">
        <f>forecast!K19</f>
        <v>4887.9843671003364</v>
      </c>
    </row>
    <row r="22" spans="2:12" x14ac:dyDescent="0.35">
      <c r="B22" t="str">
        <f>forecast!A20</f>
        <v>State Non-Corporate Taxes</v>
      </c>
      <c r="C22" t="str">
        <f>forecast!B20</f>
        <v>state_non_corporate_taxes</v>
      </c>
      <c r="D22" s="76">
        <f>forecast!C20</f>
        <v>2515.1</v>
      </c>
      <c r="E22" s="76">
        <f>forecast!D20</f>
        <v>2529.5589829253236</v>
      </c>
      <c r="F22" s="76">
        <f>forecast!E20</f>
        <v>2561.0084048096087</v>
      </c>
      <c r="G22" s="76">
        <f>forecast!F20</f>
        <v>2588.0171269112202</v>
      </c>
      <c r="H22" s="76">
        <f>forecast!G20</f>
        <v>2614.6227545214915</v>
      </c>
      <c r="I22" s="76">
        <f>forecast!H20</f>
        <v>2639.0918076692415</v>
      </c>
      <c r="J22" s="76">
        <f>forecast!I20</f>
        <v>2664.5448600858349</v>
      </c>
      <c r="K22" s="76">
        <f>forecast!J20</f>
        <v>2687.7830381403919</v>
      </c>
      <c r="L22" s="76">
        <f>forecast!K20</f>
        <v>2712.9491476976059</v>
      </c>
    </row>
    <row r="23" spans="2:12" x14ac:dyDescent="0.35">
      <c r="B23" t="str">
        <f>forecast!A21</f>
        <v>Federal Corporate Taxes</v>
      </c>
      <c r="C23" t="str">
        <f>forecast!B21</f>
        <v>federal_corporate_taxes</v>
      </c>
      <c r="D23" s="76">
        <f>forecast!C21</f>
        <v>509.33275515835334</v>
      </c>
      <c r="E23" s="76">
        <f>forecast!D21</f>
        <v>526.09988942851157</v>
      </c>
      <c r="F23" s="76">
        <f>forecast!E21</f>
        <v>543.41899446588684</v>
      </c>
      <c r="G23" s="76">
        <f>forecast!F21</f>
        <v>561.30824103973248</v>
      </c>
      <c r="H23" s="76">
        <f>forecast!G21</f>
        <v>557.83998786013478</v>
      </c>
      <c r="I23" s="76">
        <f>forecast!H21</f>
        <v>554.39316458168287</v>
      </c>
      <c r="J23" s="76">
        <f>forecast!I21</f>
        <v>550.96763879170692</v>
      </c>
      <c r="K23" s="76">
        <f>forecast!J21</f>
        <v>547.56327889569843</v>
      </c>
      <c r="L23" s="76">
        <f>forecast!K21</f>
        <v>544.17995411225468</v>
      </c>
    </row>
    <row r="24" spans="2:12" x14ac:dyDescent="0.35">
      <c r="B24" t="str">
        <f>forecast!A22</f>
        <v>State Corporate Taxes</v>
      </c>
      <c r="C24" s="56" t="str">
        <f>forecast!B22</f>
        <v>state_corporate_taxes</v>
      </c>
      <c r="D24" s="76">
        <f>forecast!C22</f>
        <v>163.32474965084836</v>
      </c>
      <c r="E24" s="76">
        <f>forecast!D22</f>
        <v>163.75959944135735</v>
      </c>
      <c r="F24" s="76">
        <f>forecast!E22</f>
        <v>163.69195614061152</v>
      </c>
      <c r="G24" s="76">
        <f>forecast!F22</f>
        <v>163.83207440644219</v>
      </c>
      <c r="H24" s="76">
        <f>forecast!G22</f>
        <v>163.74993611267939</v>
      </c>
      <c r="I24" s="76">
        <f>forecast!H22</f>
        <v>163.94803435057793</v>
      </c>
      <c r="J24" s="76">
        <f>forecast!I22</f>
        <v>164.27175586129019</v>
      </c>
      <c r="K24" s="76">
        <f>forecast!J22</f>
        <v>164.10747927376457</v>
      </c>
      <c r="L24" s="76">
        <f>forecast!K22</f>
        <v>164.30557751166313</v>
      </c>
    </row>
    <row r="25" spans="2:12" x14ac:dyDescent="0.35">
      <c r="B25" s="56" t="str">
        <f>forecast!A23</f>
        <v>Federal Student Loans</v>
      </c>
      <c r="C25" s="56" t="str">
        <f>forecast!B23</f>
        <v>federal_student_loans</v>
      </c>
      <c r="D25" s="76">
        <f>forecast!C23</f>
        <v>2.6498349999999999</v>
      </c>
      <c r="E25" s="76">
        <f>forecast!D23</f>
        <v>2.6454420000000001</v>
      </c>
      <c r="F25" s="76">
        <f>forecast!E23</f>
        <v>2.6696</v>
      </c>
      <c r="G25" s="76">
        <f>forecast!F23</f>
        <v>2.693006</v>
      </c>
      <c r="H25" s="76">
        <f>forecast!G23</f>
        <v>2.7175400000000001</v>
      </c>
      <c r="I25" s="76">
        <f>forecast!H23</f>
        <v>2.7175400000000001</v>
      </c>
      <c r="J25" s="76">
        <f>forecast!I23</f>
        <v>2.7175400000000001</v>
      </c>
      <c r="K25" s="76">
        <f>forecast!J23</f>
        <v>0</v>
      </c>
      <c r="L25" s="76">
        <f>forecast!K23</f>
        <v>0</v>
      </c>
    </row>
    <row r="26" spans="2:12" x14ac:dyDescent="0.35">
      <c r="B26" s="56"/>
      <c r="C26" s="56"/>
      <c r="D26" s="76"/>
      <c r="E26" s="76"/>
      <c r="F26" s="76"/>
    </row>
    <row r="27" spans="2:12" x14ac:dyDescent="0.35">
      <c r="B27" s="72" t="s">
        <v>1890</v>
      </c>
      <c r="C27" s="56"/>
      <c r="D27" s="76"/>
      <c r="E27" s="76"/>
      <c r="F27" s="76"/>
    </row>
    <row r="28" spans="2:12" x14ac:dyDescent="0.35">
      <c r="B28" s="56" t="s">
        <v>1704</v>
      </c>
      <c r="C28" s="56"/>
      <c r="D28" s="80">
        <f>Deflators!AB45</f>
        <v>2.2688029589659209E-2</v>
      </c>
      <c r="E28" s="80">
        <f>Deflators!AC45</f>
        <v>2.2158368307400821E-2</v>
      </c>
      <c r="F28" s="80">
        <f>Deflators!AD45</f>
        <v>2.1483635680919155E-2</v>
      </c>
      <c r="G28" s="80">
        <f>Deflators!AE45</f>
        <v>2.0974932014508629E-2</v>
      </c>
      <c r="H28" s="80">
        <f>Deflators!AF45</f>
        <v>2.1111392938697359E-2</v>
      </c>
      <c r="I28" s="80">
        <f>Deflators!AG45</f>
        <v>2.0569131944638507E-2</v>
      </c>
      <c r="J28" s="80">
        <f>Deflators!AH45</f>
        <v>2.037795778240481E-2</v>
      </c>
      <c r="K28" s="80">
        <f>Deflators!AI45</f>
        <v>2.031319568771961E-2</v>
      </c>
      <c r="L28" s="80">
        <f>Deflators!AJ45</f>
        <v>2.0411174157790368E-2</v>
      </c>
    </row>
    <row r="29" spans="2:12" x14ac:dyDescent="0.35">
      <c r="B29" s="56" t="s">
        <v>1705</v>
      </c>
      <c r="C29" s="56"/>
      <c r="D29" s="80">
        <f>Deflators!AB48</f>
        <v>2.8359902568902751E-2</v>
      </c>
      <c r="E29" s="80">
        <f>Deflators!AC48</f>
        <v>1.8718659374028279E-2</v>
      </c>
      <c r="F29" s="80">
        <f>Deflators!AD46</f>
        <v>2.1483635680919155E-2</v>
      </c>
      <c r="G29" s="80">
        <f>Deflators!AE46</f>
        <v>2.187493201450863E-2</v>
      </c>
      <c r="H29" s="80">
        <f>Deflators!AF46</f>
        <v>2.2011392938697361E-2</v>
      </c>
      <c r="I29" s="80">
        <f>Deflators!AG46</f>
        <v>2.1469131944638509E-2</v>
      </c>
      <c r="J29" s="80">
        <f>Deflators!AH46</f>
        <v>2.037795778240481E-2</v>
      </c>
      <c r="K29" s="80">
        <f>Deflators!AI46</f>
        <v>2.031319568771961E-2</v>
      </c>
      <c r="L29" s="80">
        <f>Deflators!AJ46</f>
        <v>2.0411174157790368E-2</v>
      </c>
    </row>
    <row r="30" spans="2:12" x14ac:dyDescent="0.35">
      <c r="B30" s="56" t="s">
        <v>1706</v>
      </c>
      <c r="C30" s="56"/>
      <c r="D30" s="80">
        <f>Deflators!AB49</f>
        <v>2.1846140025559402E-2</v>
      </c>
      <c r="E30" s="80">
        <f>Deflators!AC49</f>
        <v>3.0746187880333675E-2</v>
      </c>
      <c r="F30" s="80">
        <f>Deflators!AD47</f>
        <v>0</v>
      </c>
      <c r="G30" s="80">
        <f>Deflators!AE47</f>
        <v>-8.9999999999999998E-4</v>
      </c>
      <c r="H30" s="80">
        <f>Deflators!AF47</f>
        <v>-8.9999999999999998E-4</v>
      </c>
      <c r="I30" s="80">
        <f>Deflators!AG47</f>
        <v>-8.9999999999999998E-4</v>
      </c>
      <c r="J30" s="80">
        <f>Deflators!AH47</f>
        <v>0</v>
      </c>
      <c r="K30" s="80">
        <f>Deflators!AI47</f>
        <v>0</v>
      </c>
      <c r="L30" s="80">
        <f>Deflators!AJ47</f>
        <v>0</v>
      </c>
    </row>
    <row r="31" spans="2:12" x14ac:dyDescent="0.35">
      <c r="B31" s="56" t="s">
        <v>1707</v>
      </c>
      <c r="C31" s="56"/>
      <c r="D31" s="80">
        <f>Deflators!AB51</f>
        <v>2.3387020619908716E-2</v>
      </c>
      <c r="E31" s="80">
        <f>Deflators!AC51</f>
        <v>3.0746187880333675E-2</v>
      </c>
      <c r="F31" s="80">
        <f>Deflators!AD48</f>
        <v>1.5299895562953081E-2</v>
      </c>
      <c r="G31" s="80">
        <f>Deflators!AE48</f>
        <v>1.4729668703095777E-2</v>
      </c>
      <c r="H31" s="80">
        <f>Deflators!AF48</f>
        <v>1.5119603614899724E-2</v>
      </c>
      <c r="I31" s="80">
        <f>Deflators!AG48</f>
        <v>2.1515602617293128E-2</v>
      </c>
      <c r="J31" s="80">
        <f>Deflators!AH48</f>
        <v>2.2790850007197161E-2</v>
      </c>
      <c r="K31" s="80">
        <f>Deflators!AI48</f>
        <v>2.3263295207157642E-2</v>
      </c>
      <c r="L31" s="80">
        <f>Deflators!AJ48</f>
        <v>2.3889685874715294E-2</v>
      </c>
    </row>
    <row r="32" spans="2:12" x14ac:dyDescent="0.35">
      <c r="B32" s="56" t="s">
        <v>1708</v>
      </c>
      <c r="C32" s="56"/>
      <c r="D32" s="80">
        <f>Deflators!AB52</f>
        <v>1.5613414603821152E-2</v>
      </c>
      <c r="E32" s="80">
        <f>Deflators!AC52</f>
        <v>3.0746187880333675E-2</v>
      </c>
      <c r="F32" s="80">
        <f>Deflators!AD49</f>
        <v>2.8606309371189242E-2</v>
      </c>
      <c r="G32" s="80">
        <f>Deflators!AE49</f>
        <v>3.1343868352262882E-2</v>
      </c>
      <c r="H32" s="80">
        <f>Deflators!AF49</f>
        <v>3.2394354805230341E-2</v>
      </c>
      <c r="I32" s="80">
        <f>Deflators!AG49</f>
        <v>3.3164637629816696E-2</v>
      </c>
      <c r="J32" s="80">
        <f>Deflators!AH49</f>
        <v>3.1425713898589613E-2</v>
      </c>
      <c r="K32" s="80">
        <f>Deflators!AI49</f>
        <v>3.1013053419121528E-2</v>
      </c>
      <c r="L32" s="80">
        <f>Deflators!AJ49</f>
        <v>3.1015398756455648E-2</v>
      </c>
    </row>
    <row r="34" spans="2:12" x14ac:dyDescent="0.35">
      <c r="B34" s="1246" t="s">
        <v>1962</v>
      </c>
      <c r="C34" s="1246"/>
      <c r="D34" s="1246"/>
      <c r="E34" s="1246"/>
      <c r="F34" s="1246"/>
      <c r="G34" s="1246"/>
      <c r="H34" s="1246"/>
      <c r="I34" s="1246"/>
      <c r="J34" s="1246"/>
      <c r="K34" s="1246"/>
      <c r="L34" s="1246"/>
    </row>
    <row r="35" spans="2:12" x14ac:dyDescent="0.35">
      <c r="B35" t="s">
        <v>178</v>
      </c>
      <c r="C35" t="s">
        <v>179</v>
      </c>
      <c r="D35" t="s">
        <v>176</v>
      </c>
      <c r="E35" t="s">
        <v>177</v>
      </c>
      <c r="F35" t="s">
        <v>763</v>
      </c>
      <c r="G35" t="s">
        <v>764</v>
      </c>
      <c r="H35" t="s">
        <v>765</v>
      </c>
      <c r="I35" t="s">
        <v>1152</v>
      </c>
      <c r="J35" t="s">
        <v>1153</v>
      </c>
      <c r="K35" t="s">
        <v>1154</v>
      </c>
    </row>
    <row r="36" spans="2:12" x14ac:dyDescent="0.35">
      <c r="B36" t="s">
        <v>192</v>
      </c>
      <c r="C36" t="s">
        <v>193</v>
      </c>
      <c r="D36" s="76">
        <v>467.08702588368681</v>
      </c>
      <c r="E36" s="76">
        <v>450.66879697830359</v>
      </c>
      <c r="F36" s="76">
        <v>446.4122085701693</v>
      </c>
      <c r="G36">
        <v>449.361288</v>
      </c>
      <c r="H36">
        <v>448.45372699103427</v>
      </c>
      <c r="I36">
        <v>451.58735077743574</v>
      </c>
      <c r="J36">
        <v>451.94885143297614</v>
      </c>
      <c r="K36">
        <v>456.14453320000007</v>
      </c>
    </row>
    <row r="37" spans="2:12" x14ac:dyDescent="0.35">
      <c r="B37" t="s">
        <v>134</v>
      </c>
      <c r="C37" t="s">
        <v>194</v>
      </c>
      <c r="D37" s="76">
        <v>79.275000000000006</v>
      </c>
      <c r="E37" s="76">
        <v>79.275000000000006</v>
      </c>
      <c r="F37" s="76">
        <v>75.203000000000003</v>
      </c>
      <c r="G37">
        <v>75.203000000000003</v>
      </c>
      <c r="H37">
        <v>75.203000000000003</v>
      </c>
      <c r="I37">
        <v>75.203000000000003</v>
      </c>
      <c r="J37">
        <v>75.203000000000003</v>
      </c>
      <c r="K37">
        <v>75.203000000000003</v>
      </c>
    </row>
    <row r="38" spans="2:12" x14ac:dyDescent="0.35">
      <c r="B38" t="s">
        <v>195</v>
      </c>
      <c r="C38" t="s">
        <v>196</v>
      </c>
      <c r="D38" s="76">
        <v>1899.3925030308524</v>
      </c>
      <c r="E38" s="76">
        <v>1905.1263942732694</v>
      </c>
      <c r="F38" s="76">
        <v>1910.7879098074575</v>
      </c>
      <c r="G38">
        <v>1916.3241950038064</v>
      </c>
      <c r="H38">
        <v>1922.0997042463409</v>
      </c>
      <c r="I38">
        <v>1932.1453361813019</v>
      </c>
      <c r="J38">
        <v>1942.5667577501727</v>
      </c>
      <c r="K38">
        <v>1953.736928792667</v>
      </c>
    </row>
    <row r="39" spans="2:12" x14ac:dyDescent="0.35">
      <c r="B39" t="s">
        <v>197</v>
      </c>
      <c r="C39" t="s">
        <v>198</v>
      </c>
      <c r="D39" s="76">
        <v>3175.9817583800391</v>
      </c>
      <c r="E39" s="76">
        <v>3206.0957474090487</v>
      </c>
      <c r="F39" s="76">
        <v>3232.3656708385674</v>
      </c>
      <c r="G39">
        <v>3261.9061127890873</v>
      </c>
      <c r="H39">
        <v>3292.5494046215567</v>
      </c>
      <c r="I39">
        <v>3324.0646831367048</v>
      </c>
      <c r="J39">
        <v>3353.4480852062234</v>
      </c>
      <c r="K39">
        <v>3383.3851326141748</v>
      </c>
    </row>
    <row r="40" spans="2:12" x14ac:dyDescent="0.35">
      <c r="B40" t="s">
        <v>199</v>
      </c>
      <c r="C40" t="s">
        <v>200</v>
      </c>
      <c r="D40" s="76">
        <v>97.833999999999989</v>
      </c>
      <c r="E40" s="76">
        <v>97.833999999999989</v>
      </c>
      <c r="F40" s="76">
        <v>89.811999999999998</v>
      </c>
      <c r="G40">
        <v>89.811999999999998</v>
      </c>
      <c r="H40">
        <v>94.150999999999996</v>
      </c>
      <c r="I40">
        <v>92.000999999999991</v>
      </c>
      <c r="J40">
        <v>92.000999999999991</v>
      </c>
      <c r="K40">
        <v>92.000999999999991</v>
      </c>
    </row>
    <row r="41" spans="2:12" x14ac:dyDescent="0.35">
      <c r="B41" t="s">
        <v>201</v>
      </c>
      <c r="C41" t="s">
        <v>202</v>
      </c>
      <c r="D41" s="76">
        <v>-0.90100000000000025</v>
      </c>
      <c r="E41" s="76">
        <v>-0.90100000000000025</v>
      </c>
      <c r="F41" s="76">
        <v>-0.90100000000000025</v>
      </c>
      <c r="G41">
        <v>-0.90100000000000025</v>
      </c>
      <c r="H41">
        <v>-2.1500000000000004</v>
      </c>
      <c r="I41">
        <v>0</v>
      </c>
      <c r="J41">
        <v>0</v>
      </c>
      <c r="K41">
        <v>0</v>
      </c>
    </row>
    <row r="42" spans="2:12" x14ac:dyDescent="0.35">
      <c r="B42" t="s">
        <v>203</v>
      </c>
      <c r="C42" t="s">
        <v>204</v>
      </c>
      <c r="D42" s="76">
        <v>0</v>
      </c>
      <c r="E42" s="76">
        <v>0</v>
      </c>
      <c r="F42" s="76">
        <v>0</v>
      </c>
      <c r="G42">
        <v>0</v>
      </c>
      <c r="H42">
        <v>0</v>
      </c>
      <c r="I42">
        <v>0</v>
      </c>
      <c r="J42">
        <v>0</v>
      </c>
      <c r="K42">
        <v>0</v>
      </c>
    </row>
    <row r="43" spans="2:12" x14ac:dyDescent="0.35">
      <c r="B43" t="s">
        <v>205</v>
      </c>
      <c r="C43" t="s">
        <v>206</v>
      </c>
      <c r="D43" s="76">
        <v>35.700000000000003</v>
      </c>
      <c r="E43" s="76">
        <v>35.700000000000003</v>
      </c>
      <c r="F43" s="76">
        <v>35.700000000000003</v>
      </c>
      <c r="G43">
        <v>35.700000000000003</v>
      </c>
      <c r="H43">
        <v>35.700000000000003</v>
      </c>
      <c r="I43">
        <v>35.700000000000003</v>
      </c>
      <c r="J43">
        <v>35.700000000000003</v>
      </c>
      <c r="K43">
        <v>35.700000000000003</v>
      </c>
    </row>
    <row r="44" spans="2:12" x14ac:dyDescent="0.35">
      <c r="B44" t="s">
        <v>207</v>
      </c>
      <c r="C44" t="s">
        <v>208</v>
      </c>
      <c r="D44" s="76">
        <v>654.08982229185824</v>
      </c>
      <c r="E44" s="76">
        <v>667.2002639052248</v>
      </c>
      <c r="F44" s="76">
        <v>680.57348850869403</v>
      </c>
      <c r="G44">
        <v>694.21476327036919</v>
      </c>
      <c r="H44">
        <v>703.60832926258615</v>
      </c>
      <c r="I44">
        <v>713.12900157221179</v>
      </c>
      <c r="J44">
        <v>722.77850010156442</v>
      </c>
      <c r="K44">
        <v>732.5585680253223</v>
      </c>
    </row>
    <row r="45" spans="2:12" x14ac:dyDescent="0.35">
      <c r="B45" t="s">
        <v>209</v>
      </c>
      <c r="C45" t="s">
        <v>210</v>
      </c>
      <c r="D45" s="76">
        <v>951.08883346551841</v>
      </c>
      <c r="E45" s="76">
        <v>970.15226205791566</v>
      </c>
      <c r="F45" s="76">
        <v>989.59779408472434</v>
      </c>
      <c r="G45">
        <v>1009.4330883484457</v>
      </c>
      <c r="H45">
        <v>1023.0919398045268</v>
      </c>
      <c r="I45">
        <v>1036.9356120528453</v>
      </c>
      <c r="J45">
        <v>1050.9666059424187</v>
      </c>
      <c r="K45">
        <v>1065.1874561617788</v>
      </c>
    </row>
    <row r="46" spans="2:12" x14ac:dyDescent="0.35">
      <c r="B46" t="s">
        <v>55</v>
      </c>
      <c r="C46" t="s">
        <v>211</v>
      </c>
      <c r="D46" s="76">
        <v>1116.0837822753767</v>
      </c>
      <c r="E46" s="76">
        <v>1130.2971965426582</v>
      </c>
      <c r="F46" s="76">
        <v>1144.6916197524058</v>
      </c>
      <c r="G46">
        <v>1159.2693570676606</v>
      </c>
      <c r="H46">
        <v>1176.6178191330632</v>
      </c>
      <c r="I46">
        <v>1194.2259008754629</v>
      </c>
      <c r="J46">
        <v>1212.097487502461</v>
      </c>
      <c r="K46">
        <v>1230.2365223637776</v>
      </c>
    </row>
    <row r="47" spans="2:12" x14ac:dyDescent="0.35">
      <c r="B47" t="s">
        <v>212</v>
      </c>
      <c r="C47" t="s">
        <v>213</v>
      </c>
      <c r="D47" s="76">
        <v>0</v>
      </c>
      <c r="E47" s="76">
        <v>0</v>
      </c>
      <c r="F47" s="76">
        <v>0</v>
      </c>
      <c r="G47">
        <v>0</v>
      </c>
      <c r="H47">
        <v>0</v>
      </c>
      <c r="I47">
        <v>0</v>
      </c>
      <c r="J47">
        <v>0</v>
      </c>
      <c r="K47">
        <v>0</v>
      </c>
    </row>
    <row r="48" spans="2:12" x14ac:dyDescent="0.35">
      <c r="B48" t="s">
        <v>214</v>
      </c>
      <c r="C48" t="s">
        <v>215</v>
      </c>
      <c r="D48" s="76">
        <v>0</v>
      </c>
      <c r="E48" s="76">
        <v>0</v>
      </c>
      <c r="F48" s="76">
        <v>0</v>
      </c>
      <c r="G48">
        <v>0</v>
      </c>
      <c r="H48">
        <v>0</v>
      </c>
      <c r="I48">
        <v>0</v>
      </c>
      <c r="J48">
        <v>0</v>
      </c>
      <c r="K48">
        <v>0</v>
      </c>
    </row>
    <row r="49" spans="2:11" x14ac:dyDescent="0.35">
      <c r="B49" t="s">
        <v>216</v>
      </c>
      <c r="C49" t="s">
        <v>217</v>
      </c>
      <c r="D49" s="76">
        <v>2.3719999999999999</v>
      </c>
      <c r="E49" s="76">
        <v>2.3719999999999999</v>
      </c>
      <c r="F49" s="76">
        <v>2.3719999999999999</v>
      </c>
      <c r="G49">
        <v>2.3719999999999999</v>
      </c>
      <c r="H49">
        <v>0.49</v>
      </c>
      <c r="I49">
        <v>0</v>
      </c>
      <c r="J49">
        <v>0</v>
      </c>
      <c r="K49">
        <v>0</v>
      </c>
    </row>
    <row r="50" spans="2:11" x14ac:dyDescent="0.35">
      <c r="B50" t="s">
        <v>795</v>
      </c>
      <c r="C50" t="s">
        <v>219</v>
      </c>
      <c r="D50" s="76">
        <v>1.63</v>
      </c>
      <c r="E50" s="76">
        <v>1.63</v>
      </c>
      <c r="F50" s="76">
        <v>1.63</v>
      </c>
      <c r="G50">
        <v>1.63</v>
      </c>
      <c r="H50">
        <v>1.671</v>
      </c>
      <c r="I50">
        <v>0</v>
      </c>
      <c r="J50">
        <v>0</v>
      </c>
      <c r="K50">
        <v>0</v>
      </c>
    </row>
    <row r="51" spans="2:11" x14ac:dyDescent="0.35">
      <c r="B51" t="s">
        <v>220</v>
      </c>
      <c r="C51" t="s">
        <v>221</v>
      </c>
      <c r="D51" s="76">
        <v>2160.4270000000001</v>
      </c>
      <c r="E51" s="76">
        <v>2201.9922664730002</v>
      </c>
      <c r="F51" s="76">
        <v>2208.692266473</v>
      </c>
      <c r="G51">
        <v>2215.3922664730003</v>
      </c>
      <c r="H51">
        <v>2205.8532664730001</v>
      </c>
      <c r="I51">
        <v>2249.6242390748794</v>
      </c>
      <c r="J51">
        <v>2255.5962390748791</v>
      </c>
      <c r="K51">
        <v>2263.2962390748794</v>
      </c>
    </row>
    <row r="52" spans="2:11" x14ac:dyDescent="0.35">
      <c r="B52" t="s">
        <v>222</v>
      </c>
      <c r="C52" t="s">
        <v>223</v>
      </c>
      <c r="D52" s="76">
        <v>224.74365842066501</v>
      </c>
      <c r="E52" s="76">
        <v>228.02904740969223</v>
      </c>
      <c r="F52" s="76">
        <v>231.36246347492295</v>
      </c>
      <c r="G52">
        <v>234.7446086945757</v>
      </c>
      <c r="H52">
        <v>238.17619541011769</v>
      </c>
      <c r="I52">
        <v>241.65794637629688</v>
      </c>
      <c r="J52">
        <v>245.19059491336728</v>
      </c>
      <c r="K52">
        <v>248.77488506153966</v>
      </c>
    </row>
    <row r="53" spans="2:11" x14ac:dyDescent="0.35">
      <c r="B53" t="s">
        <v>224</v>
      </c>
      <c r="C53" t="s">
        <v>225</v>
      </c>
      <c r="D53" s="76">
        <v>4506.1700647727712</v>
      </c>
      <c r="E53" s="76">
        <v>4631.6726350273566</v>
      </c>
      <c r="F53" s="76">
        <v>4655.047390038816</v>
      </c>
      <c r="G53">
        <v>4678.6350901635087</v>
      </c>
      <c r="H53">
        <v>4702.4358768897646</v>
      </c>
      <c r="I53">
        <v>4848.9383459892779</v>
      </c>
      <c r="J53">
        <v>4882.1162511414595</v>
      </c>
      <c r="K53">
        <v>4915.6658674491464</v>
      </c>
    </row>
    <row r="54" spans="2:11" x14ac:dyDescent="0.35">
      <c r="B54" t="s">
        <v>226</v>
      </c>
      <c r="C54" t="s">
        <v>227</v>
      </c>
      <c r="D54" s="76">
        <v>2498.7005130206817</v>
      </c>
      <c r="E54" s="76">
        <v>2529.1581681051075</v>
      </c>
      <c r="F54" s="76">
        <v>2560.6019168811981</v>
      </c>
      <c r="G54">
        <v>2587.6062435803829</v>
      </c>
      <c r="H54">
        <v>2614.2073338980722</v>
      </c>
      <c r="I54">
        <v>2638.6722394728813</v>
      </c>
      <c r="J54">
        <v>2664.1211112613373</v>
      </c>
      <c r="K54">
        <v>2687.3553242735497</v>
      </c>
    </row>
    <row r="55" spans="2:11" x14ac:dyDescent="0.35">
      <c r="B55" t="s">
        <v>228</v>
      </c>
      <c r="C55" t="s">
        <v>229</v>
      </c>
      <c r="D55" s="76">
        <v>509.33275515835334</v>
      </c>
      <c r="E55" s="76">
        <v>526.09988942851157</v>
      </c>
      <c r="F55" s="76">
        <v>543.41899446588684</v>
      </c>
      <c r="G55">
        <v>561.30824103973248</v>
      </c>
      <c r="H55">
        <v>557.83998786013478</v>
      </c>
      <c r="I55">
        <v>554.39316458168287</v>
      </c>
      <c r="J55">
        <v>550.96763879170692</v>
      </c>
      <c r="K55">
        <v>547.56327889569843</v>
      </c>
    </row>
    <row r="56" spans="2:11" x14ac:dyDescent="0.35">
      <c r="B56" t="s">
        <v>230</v>
      </c>
      <c r="C56" s="56" t="s">
        <v>231</v>
      </c>
      <c r="D56" s="76">
        <v>166.1081081081081</v>
      </c>
      <c r="E56" s="76">
        <v>166.55036855036852</v>
      </c>
      <c r="F56" s="76">
        <v>166.48157248157247</v>
      </c>
      <c r="G56">
        <v>166.62407862407861</v>
      </c>
      <c r="H56">
        <v>166.54054054054052</v>
      </c>
      <c r="I56">
        <v>166.74201474201473</v>
      </c>
      <c r="J56">
        <v>167.07125307125304</v>
      </c>
      <c r="K56">
        <v>166.90417690417689</v>
      </c>
    </row>
    <row r="57" spans="2:11" x14ac:dyDescent="0.35">
      <c r="B57" s="56" t="s">
        <v>1380</v>
      </c>
      <c r="C57" s="56" t="s">
        <v>1379</v>
      </c>
      <c r="D57" s="76">
        <v>2.6498349999999999</v>
      </c>
      <c r="E57" s="76">
        <v>2.6454420000000001</v>
      </c>
      <c r="F57" s="76">
        <v>2.6696</v>
      </c>
      <c r="G57">
        <v>2.693006</v>
      </c>
      <c r="H57">
        <v>2.7175400000000001</v>
      </c>
      <c r="I57">
        <v>2.7175400000000001</v>
      </c>
      <c r="J57">
        <v>2.7175400000000001</v>
      </c>
      <c r="K57">
        <v>0</v>
      </c>
    </row>
    <row r="58" spans="2:11" x14ac:dyDescent="0.35">
      <c r="B58" s="56"/>
      <c r="C58" s="56"/>
      <c r="D58" s="76"/>
      <c r="E58" s="76"/>
    </row>
    <row r="59" spans="2:11" x14ac:dyDescent="0.35">
      <c r="B59" s="72" t="s">
        <v>1890</v>
      </c>
      <c r="C59" s="56"/>
    </row>
    <row r="60" spans="2:11" x14ac:dyDescent="0.35">
      <c r="B60" s="56" t="s">
        <v>1704</v>
      </c>
      <c r="C60" s="56"/>
      <c r="D60" s="80">
        <v>2.4998276208370307E-2</v>
      </c>
      <c r="E60" s="80">
        <v>2.2158368307400821E-2</v>
      </c>
      <c r="F60" s="77">
        <v>2.1483635680919155E-2</v>
      </c>
      <c r="G60" s="77">
        <v>2.187493201450863E-2</v>
      </c>
      <c r="H60" s="77">
        <v>2.2011392938697361E-2</v>
      </c>
      <c r="I60">
        <v>2.1469131944638509E-2</v>
      </c>
      <c r="J60">
        <v>2.037795778240481E-2</v>
      </c>
      <c r="K60">
        <v>2.031319568771961E-2</v>
      </c>
    </row>
    <row r="61" spans="2:11" x14ac:dyDescent="0.35">
      <c r="B61" s="56" t="s">
        <v>1705</v>
      </c>
      <c r="C61" s="56"/>
      <c r="D61" s="80">
        <v>3.0574782511549436E-2</v>
      </c>
      <c r="E61" s="80">
        <v>1.8718659374028279E-2</v>
      </c>
      <c r="F61" s="77">
        <v>2.1483635680919155E-2</v>
      </c>
      <c r="G61" s="77">
        <v>2.187493201450863E-2</v>
      </c>
      <c r="H61" s="77">
        <v>2.2011392938697361E-2</v>
      </c>
      <c r="I61">
        <v>2.1469131944638509E-2</v>
      </c>
      <c r="J61">
        <v>2.037795778240481E-2</v>
      </c>
      <c r="K61">
        <v>2.031319568771961E-2</v>
      </c>
    </row>
    <row r="62" spans="2:11" x14ac:dyDescent="0.35">
      <c r="B62" s="56" t="s">
        <v>1706</v>
      </c>
      <c r="C62" s="56"/>
      <c r="D62" s="80">
        <v>3.1368022796318673E-2</v>
      </c>
      <c r="E62" s="80">
        <v>3.0746187880333675E-2</v>
      </c>
      <c r="F62" s="77">
        <v>0</v>
      </c>
      <c r="G62" s="77">
        <v>0</v>
      </c>
      <c r="H62" s="77">
        <v>0</v>
      </c>
      <c r="I62">
        <v>0</v>
      </c>
      <c r="J62">
        <v>0</v>
      </c>
      <c r="K62">
        <v>0</v>
      </c>
    </row>
    <row r="63" spans="2:11" x14ac:dyDescent="0.35">
      <c r="B63" s="56" t="s">
        <v>1707</v>
      </c>
      <c r="C63" s="56"/>
      <c r="D63" s="80">
        <v>3.1368022796318673E-2</v>
      </c>
      <c r="E63" s="80">
        <v>3.0746187880333675E-2</v>
      </c>
      <c r="F63" s="77">
        <v>1.5299895562953081E-2</v>
      </c>
      <c r="G63" s="77">
        <v>1.4729668703095777E-2</v>
      </c>
      <c r="H63" s="77">
        <v>1.5119603614899724E-2</v>
      </c>
      <c r="I63">
        <v>2.1515602617293128E-2</v>
      </c>
      <c r="J63">
        <v>2.2790850007197161E-2</v>
      </c>
      <c r="K63">
        <v>2.3263295207157642E-2</v>
      </c>
    </row>
    <row r="64" spans="2:11" x14ac:dyDescent="0.35">
      <c r="B64" s="56" t="s">
        <v>1708</v>
      </c>
      <c r="C64" s="56"/>
      <c r="D64" s="80">
        <v>3.1368022796318673E-2</v>
      </c>
      <c r="E64" s="80">
        <v>3.0746187880333675E-2</v>
      </c>
      <c r="F64" s="77">
        <v>2.8606309371189242E-2</v>
      </c>
      <c r="G64" s="77">
        <v>3.1343868352262882E-2</v>
      </c>
      <c r="H64" s="77">
        <v>3.2394354805230341E-2</v>
      </c>
      <c r="I64">
        <v>3.3164637629816696E-2</v>
      </c>
      <c r="J64">
        <v>3.1425713898589613E-2</v>
      </c>
      <c r="K64">
        <v>3.1013053419121528E-2</v>
      </c>
    </row>
    <row r="65" spans="2:12" x14ac:dyDescent="0.35">
      <c r="D65" s="79"/>
      <c r="E65" s="79"/>
    </row>
    <row r="66" spans="2:12" x14ac:dyDescent="0.35">
      <c r="B66" s="1246" t="s">
        <v>232</v>
      </c>
      <c r="C66" s="1246"/>
      <c r="D66" s="1246"/>
      <c r="E66" s="1246"/>
      <c r="F66" s="1246"/>
      <c r="G66" s="1246"/>
      <c r="H66" s="1246"/>
      <c r="I66" s="1246"/>
      <c r="J66" s="1246"/>
      <c r="K66" s="1246"/>
      <c r="L66" s="1246"/>
    </row>
    <row r="67" spans="2:12" x14ac:dyDescent="0.35">
      <c r="B67" t="s">
        <v>178</v>
      </c>
      <c r="C67" t="s">
        <v>179</v>
      </c>
      <c r="D67" t="s">
        <v>176</v>
      </c>
      <c r="E67" t="s">
        <v>177</v>
      </c>
      <c r="F67" t="s">
        <v>763</v>
      </c>
      <c r="G67" t="s">
        <v>764</v>
      </c>
      <c r="H67" t="s">
        <v>765</v>
      </c>
      <c r="I67" t="s">
        <v>1152</v>
      </c>
      <c r="J67" t="s">
        <v>1153</v>
      </c>
      <c r="K67" t="s">
        <v>1154</v>
      </c>
    </row>
    <row r="68" spans="2:12" x14ac:dyDescent="0.35">
      <c r="B68" s="56" t="s">
        <v>192</v>
      </c>
      <c r="C68" s="56" t="s">
        <v>193</v>
      </c>
      <c r="D68" s="76">
        <f t="shared" ref="D68:E68" si="0">D4-D36</f>
        <v>-3.5457001836867903</v>
      </c>
      <c r="E68" s="76">
        <f t="shared" si="0"/>
        <v>-3.580637409097335</v>
      </c>
      <c r="F68" s="76">
        <f t="shared" ref="F68:J68" si="1">F4-F36</f>
        <v>-3.6159188851935937</v>
      </c>
      <c r="G68" s="76">
        <f t="shared" si="1"/>
        <v>-3.6515480040175134</v>
      </c>
      <c r="H68" s="76">
        <f t="shared" si="1"/>
        <v>-3.6875281910341755</v>
      </c>
      <c r="I68" s="76">
        <f t="shared" si="1"/>
        <v>-3.7238629054612034</v>
      </c>
      <c r="J68" s="76">
        <f t="shared" si="1"/>
        <v>-3.7605556406013534</v>
      </c>
      <c r="K68" s="76">
        <f>K4-K36</f>
        <v>-3.7976099241782322</v>
      </c>
    </row>
    <row r="69" spans="2:12" x14ac:dyDescent="0.35">
      <c r="B69" s="56" t="s">
        <v>134</v>
      </c>
      <c r="C69" s="56" t="s">
        <v>194</v>
      </c>
      <c r="D69" s="76">
        <f t="shared" ref="D69:E69" si="2">D5-D37</f>
        <v>0</v>
      </c>
      <c r="E69" s="76">
        <f t="shared" si="2"/>
        <v>0</v>
      </c>
      <c r="F69" s="76">
        <f t="shared" ref="F69:J69" si="3">F5-F37</f>
        <v>0</v>
      </c>
      <c r="G69" s="76">
        <f t="shared" si="3"/>
        <v>0</v>
      </c>
      <c r="H69" s="76">
        <f t="shared" si="3"/>
        <v>0</v>
      </c>
      <c r="I69" s="76">
        <f t="shared" si="3"/>
        <v>0</v>
      </c>
      <c r="J69" s="76">
        <f t="shared" si="3"/>
        <v>0</v>
      </c>
      <c r="K69" s="76">
        <f t="shared" ref="K69" si="4">K5-K37</f>
        <v>0</v>
      </c>
    </row>
    <row r="70" spans="2:12" x14ac:dyDescent="0.35">
      <c r="B70" s="56" t="s">
        <v>195</v>
      </c>
      <c r="C70" s="56" t="s">
        <v>196</v>
      </c>
      <c r="D70" s="76">
        <f t="shared" ref="D70:E70" si="5">D6-D38</f>
        <v>22.607496969147633</v>
      </c>
      <c r="E70" s="76">
        <f t="shared" si="5"/>
        <v>10.675744542346592</v>
      </c>
      <c r="F70" s="76">
        <f t="shared" ref="F70:J70" si="6">F6-F38</f>
        <v>4.7074699405916363</v>
      </c>
      <c r="G70" s="76">
        <f t="shared" si="6"/>
        <v>4.7211092859165547</v>
      </c>
      <c r="H70" s="76">
        <f t="shared" si="6"/>
        <v>4.7353379902176584</v>
      </c>
      <c r="I70" s="76">
        <f t="shared" si="6"/>
        <v>4.7600866868810954</v>
      </c>
      <c r="J70" s="76">
        <f t="shared" si="6"/>
        <v>4.7857611892798104</v>
      </c>
      <c r="K70" s="76">
        <f t="shared" ref="K70" si="7">K6-K38</f>
        <v>4.8132803315895671</v>
      </c>
    </row>
    <row r="71" spans="2:12" x14ac:dyDescent="0.35">
      <c r="B71" s="56" t="s">
        <v>197</v>
      </c>
      <c r="C71" s="56" t="s">
        <v>198</v>
      </c>
      <c r="D71" s="76">
        <f t="shared" ref="D71:E71" si="8">D7-D39</f>
        <v>-1.281758380039264</v>
      </c>
      <c r="E71" s="76">
        <f t="shared" si="8"/>
        <v>-1.2939117425994482</v>
      </c>
      <c r="F71" s="76">
        <f t="shared" ref="F71:J71" si="9">F7-F39</f>
        <v>-1.3045137224153223</v>
      </c>
      <c r="G71" s="76">
        <f t="shared" si="9"/>
        <v>-1.3164356136289825</v>
      </c>
      <c r="H71" s="76">
        <f t="shared" si="9"/>
        <v>-1.3288025914916943</v>
      </c>
      <c r="I71" s="76">
        <f t="shared" si="9"/>
        <v>-1.3415214845490482</v>
      </c>
      <c r="J71" s="76">
        <f t="shared" si="9"/>
        <v>-1.3533799978217758</v>
      </c>
      <c r="K71" s="76">
        <f t="shared" ref="K71" si="10">K7-K39</f>
        <v>-1.3654619505241499</v>
      </c>
    </row>
    <row r="72" spans="2:12" x14ac:dyDescent="0.35">
      <c r="B72" s="56" t="s">
        <v>199</v>
      </c>
      <c r="C72" s="56" t="s">
        <v>200</v>
      </c>
      <c r="D72" s="76">
        <f t="shared" ref="D72:E72" si="11">D8-D40</f>
        <v>-3.9329999999999927</v>
      </c>
      <c r="E72" s="76">
        <f t="shared" si="11"/>
        <v>-3.9329999999999927</v>
      </c>
      <c r="F72" s="76">
        <f t="shared" ref="F72:J72" si="12">F8-F40</f>
        <v>-3.9329999999999927</v>
      </c>
      <c r="G72" s="76">
        <f t="shared" si="12"/>
        <v>-3.9329999999999927</v>
      </c>
      <c r="H72" s="76">
        <f t="shared" si="12"/>
        <v>-3.9329999999999927</v>
      </c>
      <c r="I72" s="76">
        <f t="shared" si="12"/>
        <v>-3.9329999999999927</v>
      </c>
      <c r="J72" s="76">
        <f t="shared" si="12"/>
        <v>-3.9329999999999927</v>
      </c>
      <c r="K72" s="76">
        <f t="shared" ref="K72" si="13">K8-K40</f>
        <v>-3.9329999999999927</v>
      </c>
    </row>
    <row r="73" spans="2:12" x14ac:dyDescent="0.35">
      <c r="B73" s="56" t="s">
        <v>201</v>
      </c>
      <c r="C73" s="56" t="s">
        <v>202</v>
      </c>
      <c r="D73" s="76">
        <f t="shared" ref="D73:E73" si="14">D9-D41</f>
        <v>0</v>
      </c>
      <c r="E73" s="76">
        <f t="shared" si="14"/>
        <v>0</v>
      </c>
      <c r="F73" s="76">
        <f t="shared" ref="F73:J73" si="15">F9-F41</f>
        <v>0</v>
      </c>
      <c r="G73" s="76">
        <f t="shared" si="15"/>
        <v>0</v>
      </c>
      <c r="H73" s="76">
        <f t="shared" si="15"/>
        <v>0</v>
      </c>
      <c r="I73" s="76">
        <f t="shared" si="15"/>
        <v>0</v>
      </c>
      <c r="J73" s="76">
        <f t="shared" si="15"/>
        <v>0</v>
      </c>
      <c r="K73" s="76">
        <f t="shared" ref="K73" si="16">K9-K41</f>
        <v>0</v>
      </c>
    </row>
    <row r="74" spans="2:12" x14ac:dyDescent="0.35">
      <c r="B74" s="56" t="s">
        <v>203</v>
      </c>
      <c r="C74" s="56" t="s">
        <v>204</v>
      </c>
      <c r="D74" s="76">
        <f t="shared" ref="D74:E74" si="17">D10-D42</f>
        <v>0.39999999999999858</v>
      </c>
      <c r="E74" s="76">
        <f t="shared" si="17"/>
        <v>0</v>
      </c>
      <c r="F74" s="76">
        <f t="shared" ref="F74:J74" si="18">F10-F42</f>
        <v>0</v>
      </c>
      <c r="G74" s="76">
        <f t="shared" si="18"/>
        <v>0</v>
      </c>
      <c r="H74" s="76">
        <f t="shared" si="18"/>
        <v>0</v>
      </c>
      <c r="I74" s="76">
        <f t="shared" si="18"/>
        <v>0</v>
      </c>
      <c r="J74" s="76">
        <f t="shared" si="18"/>
        <v>0</v>
      </c>
      <c r="K74" s="76">
        <f t="shared" ref="K74" si="19">K10-K42</f>
        <v>0</v>
      </c>
    </row>
    <row r="75" spans="2:12" x14ac:dyDescent="0.35">
      <c r="B75" s="56" t="s">
        <v>205</v>
      </c>
      <c r="C75" s="56" t="s">
        <v>206</v>
      </c>
      <c r="D75" s="76">
        <f t="shared" ref="D75:E75" si="20">D11-D43</f>
        <v>0</v>
      </c>
      <c r="E75" s="76">
        <f t="shared" si="20"/>
        <v>0</v>
      </c>
      <c r="F75" s="76">
        <f t="shared" ref="F75:J75" si="21">F11-F43</f>
        <v>0</v>
      </c>
      <c r="G75" s="76">
        <f t="shared" si="21"/>
        <v>0</v>
      </c>
      <c r="H75" s="76">
        <f t="shared" si="21"/>
        <v>0</v>
      </c>
      <c r="I75" s="76">
        <f t="shared" si="21"/>
        <v>0</v>
      </c>
      <c r="J75" s="76">
        <f t="shared" si="21"/>
        <v>0</v>
      </c>
      <c r="K75" s="76">
        <f t="shared" ref="K75" si="22">K11-K43</f>
        <v>0</v>
      </c>
    </row>
    <row r="76" spans="2:12" x14ac:dyDescent="0.35">
      <c r="B76" s="56" t="s">
        <v>207</v>
      </c>
      <c r="C76" s="56" t="s">
        <v>208</v>
      </c>
      <c r="D76" s="76">
        <f t="shared" ref="D76:E76" si="23">D12-D44</f>
        <v>1.085177708141714</v>
      </c>
      <c r="E76" s="76">
        <f t="shared" si="23"/>
        <v>-5.9290840889389074</v>
      </c>
      <c r="F76" s="76">
        <f t="shared" ref="F76:J76" si="24">F12-F44</f>
        <v>-5.847722346480964</v>
      </c>
      <c r="G76" s="76">
        <f t="shared" si="24"/>
        <v>-4.6273625774682614</v>
      </c>
      <c r="H76" s="76">
        <f t="shared" si="24"/>
        <v>-4.7347749141698614</v>
      </c>
      <c r="I76" s="76">
        <f t="shared" si="24"/>
        <v>-4.1131228655133327</v>
      </c>
      <c r="J76" s="76">
        <f t="shared" si="24"/>
        <v>-3.3652105598655453</v>
      </c>
      <c r="K76" s="76">
        <f t="shared" ref="K76" si="25">K12-K44</f>
        <v>-2.5668624862180422</v>
      </c>
    </row>
    <row r="77" spans="2:12" x14ac:dyDescent="0.35">
      <c r="B77" s="56" t="s">
        <v>209</v>
      </c>
      <c r="C77" s="56" t="s">
        <v>210</v>
      </c>
      <c r="D77" s="76">
        <f t="shared" ref="D77:E77" si="26">D13-D45</f>
        <v>6.5111665344816174</v>
      </c>
      <c r="E77" s="76">
        <f t="shared" si="26"/>
        <v>-3.0450656340809701</v>
      </c>
      <c r="F77" s="76">
        <f t="shared" ref="F77:J77" si="27">F13-F45</f>
        <v>-2.7897308652089805</v>
      </c>
      <c r="G77" s="76">
        <f t="shared" si="27"/>
        <v>-2.522833481220573</v>
      </c>
      <c r="H77" s="76">
        <f t="shared" si="27"/>
        <v>-1.551219899983721</v>
      </c>
      <c r="I77" s="76">
        <f t="shared" si="27"/>
        <v>-0.55184559622330198</v>
      </c>
      <c r="J77" s="76">
        <f t="shared" si="27"/>
        <v>0.47587740291623959</v>
      </c>
      <c r="K77" s="76">
        <f t="shared" ref="K77" si="28">K13-K45</f>
        <v>1.5325481115389721</v>
      </c>
    </row>
    <row r="78" spans="2:12" x14ac:dyDescent="0.35">
      <c r="B78" s="56" t="s">
        <v>55</v>
      </c>
      <c r="C78" s="56" t="s">
        <v>211</v>
      </c>
      <c r="D78" s="76">
        <f t="shared" ref="D78:E78" si="29">D14-D46</f>
        <v>2.4162177246232659</v>
      </c>
      <c r="E78" s="76">
        <f t="shared" si="29"/>
        <v>18.44698844634263</v>
      </c>
      <c r="F78" s="76">
        <f t="shared" ref="F78:J78" si="30">F14-F46</f>
        <v>18.68191228712908</v>
      </c>
      <c r="G78" s="76">
        <f t="shared" si="30"/>
        <v>18.919827901403551</v>
      </c>
      <c r="H78" s="76">
        <f t="shared" si="30"/>
        <v>19.202963062900153</v>
      </c>
      <c r="I78" s="76">
        <f t="shared" si="30"/>
        <v>19.490335341145283</v>
      </c>
      <c r="J78" s="76">
        <f t="shared" si="30"/>
        <v>19.782008144576594</v>
      </c>
      <c r="K78" s="76">
        <f t="shared" ref="K78" si="31">K14-K46</f>
        <v>20.078045830539168</v>
      </c>
    </row>
    <row r="79" spans="2:12" x14ac:dyDescent="0.35">
      <c r="B79" s="56" t="s">
        <v>212</v>
      </c>
      <c r="C79" s="56" t="s">
        <v>213</v>
      </c>
      <c r="D79" s="76">
        <f>D15-D47</f>
        <v>0</v>
      </c>
      <c r="E79" s="76">
        <f t="shared" ref="E79" si="32">E15-E47</f>
        <v>0</v>
      </c>
      <c r="F79" s="76">
        <f t="shared" ref="F79:J79" si="33">F15-F47</f>
        <v>0</v>
      </c>
      <c r="G79" s="76">
        <f t="shared" si="33"/>
        <v>0</v>
      </c>
      <c r="H79" s="76">
        <f t="shared" si="33"/>
        <v>0</v>
      </c>
      <c r="I79" s="76">
        <f t="shared" si="33"/>
        <v>0</v>
      </c>
      <c r="J79" s="76">
        <f t="shared" si="33"/>
        <v>0</v>
      </c>
      <c r="K79" s="76">
        <f t="shared" ref="K79" si="34">K15-K47</f>
        <v>0</v>
      </c>
    </row>
    <row r="80" spans="2:12" x14ac:dyDescent="0.35">
      <c r="B80" s="56" t="s">
        <v>214</v>
      </c>
      <c r="C80" s="56" t="s">
        <v>215</v>
      </c>
      <c r="D80" s="76">
        <f t="shared" ref="D80:E80" si="35">D16-D48</f>
        <v>0</v>
      </c>
      <c r="E80" s="76">
        <f t="shared" si="35"/>
        <v>0</v>
      </c>
      <c r="F80" s="76">
        <f t="shared" ref="F80:J80" si="36">F16-F48</f>
        <v>0</v>
      </c>
      <c r="G80" s="76">
        <f t="shared" si="36"/>
        <v>0</v>
      </c>
      <c r="H80" s="76">
        <f t="shared" si="36"/>
        <v>0</v>
      </c>
      <c r="I80" s="76">
        <f t="shared" si="36"/>
        <v>0</v>
      </c>
      <c r="J80" s="76">
        <f t="shared" si="36"/>
        <v>0</v>
      </c>
      <c r="K80" s="76">
        <f t="shared" ref="K80" si="37">K16-K48</f>
        <v>0</v>
      </c>
    </row>
    <row r="81" spans="2:13" x14ac:dyDescent="0.35">
      <c r="B81" s="56" t="s">
        <v>216</v>
      </c>
      <c r="C81" s="56" t="s">
        <v>217</v>
      </c>
      <c r="D81" s="76">
        <f t="shared" ref="D81:E81" si="38">D17-D49</f>
        <v>0</v>
      </c>
      <c r="E81" s="76">
        <f t="shared" si="38"/>
        <v>0</v>
      </c>
      <c r="F81" s="76">
        <f t="shared" ref="F81:J81" si="39">F17-F49</f>
        <v>0</v>
      </c>
      <c r="G81" s="76">
        <f t="shared" si="39"/>
        <v>0</v>
      </c>
      <c r="H81" s="76">
        <f t="shared" si="39"/>
        <v>0</v>
      </c>
      <c r="I81" s="76">
        <f t="shared" si="39"/>
        <v>0</v>
      </c>
      <c r="J81" s="76">
        <f t="shared" si="39"/>
        <v>0</v>
      </c>
      <c r="K81" s="76">
        <f t="shared" ref="K81" si="40">K17-K49</f>
        <v>0</v>
      </c>
    </row>
    <row r="82" spans="2:13" x14ac:dyDescent="0.35">
      <c r="B82" s="56" t="s">
        <v>820</v>
      </c>
      <c r="C82" s="56" t="s">
        <v>219</v>
      </c>
      <c r="D82" s="76">
        <f t="shared" ref="D82:E82" si="41">D18-D50</f>
        <v>0</v>
      </c>
      <c r="E82" s="76">
        <f t="shared" si="41"/>
        <v>0</v>
      </c>
      <c r="F82" s="76">
        <f t="shared" ref="F82:J82" si="42">F18-F50</f>
        <v>0</v>
      </c>
      <c r="G82" s="76">
        <f t="shared" si="42"/>
        <v>0</v>
      </c>
      <c r="H82" s="76">
        <f t="shared" si="42"/>
        <v>0</v>
      </c>
      <c r="I82" s="76">
        <f t="shared" si="42"/>
        <v>0</v>
      </c>
      <c r="J82" s="76">
        <f t="shared" si="42"/>
        <v>0</v>
      </c>
      <c r="K82" s="76">
        <f t="shared" ref="K82" si="43">K18-K50</f>
        <v>0</v>
      </c>
    </row>
    <row r="83" spans="2:13" x14ac:dyDescent="0.35">
      <c r="B83" s="56" t="s">
        <v>220</v>
      </c>
      <c r="C83" s="56" t="s">
        <v>221</v>
      </c>
      <c r="D83" s="76">
        <f t="shared" ref="D83:E83" si="44">D19-D51</f>
        <v>11.071000000000367</v>
      </c>
      <c r="E83" s="76">
        <f t="shared" si="44"/>
        <v>15.009380402000261</v>
      </c>
      <c r="F83" s="76">
        <f t="shared" ref="F83:J83" si="45">F19-F51</f>
        <v>15.009380402000261</v>
      </c>
      <c r="G83" s="76">
        <f t="shared" si="45"/>
        <v>15.009380402000261</v>
      </c>
      <c r="H83" s="76">
        <f t="shared" si="45"/>
        <v>15.009380402000261</v>
      </c>
      <c r="I83" s="76">
        <f t="shared" si="45"/>
        <v>18.345618092996119</v>
      </c>
      <c r="J83" s="76">
        <f t="shared" si="45"/>
        <v>18.345618092996119</v>
      </c>
      <c r="K83" s="76">
        <f t="shared" ref="K83" si="46">K19-K51</f>
        <v>18.345618092996119</v>
      </c>
    </row>
    <row r="84" spans="2:13" x14ac:dyDescent="0.35">
      <c r="B84" s="56" t="s">
        <v>222</v>
      </c>
      <c r="C84" s="56" t="s">
        <v>223</v>
      </c>
      <c r="D84" s="76">
        <f t="shared" ref="D84:E84" si="47">D20-D52</f>
        <v>0</v>
      </c>
      <c r="E84" s="76">
        <f t="shared" si="47"/>
        <v>0</v>
      </c>
      <c r="F84" s="76">
        <f t="shared" ref="F84:J84" si="48">F20-F52</f>
        <v>0</v>
      </c>
      <c r="G84" s="76">
        <f t="shared" si="48"/>
        <v>0</v>
      </c>
      <c r="H84" s="76">
        <f t="shared" si="48"/>
        <v>0</v>
      </c>
      <c r="I84" s="76">
        <f t="shared" si="48"/>
        <v>0</v>
      </c>
      <c r="J84" s="76">
        <f t="shared" si="48"/>
        <v>0</v>
      </c>
      <c r="K84" s="76">
        <f t="shared" ref="K84" si="49">K20-K52</f>
        <v>0</v>
      </c>
    </row>
    <row r="85" spans="2:13" x14ac:dyDescent="0.35">
      <c r="B85" s="56" t="s">
        <v>224</v>
      </c>
      <c r="C85" s="56" t="s">
        <v>225</v>
      </c>
      <c r="D85" s="76">
        <f t="shared" ref="D85:E85" si="50">D21-D53</f>
        <v>20.129935227228998</v>
      </c>
      <c r="E85" s="76">
        <f t="shared" si="50"/>
        <v>-32.662073856094139</v>
      </c>
      <c r="F85" s="76">
        <f t="shared" ref="F85:J85" si="51">F21-F53</f>
        <v>-32.894891615008419</v>
      </c>
      <c r="G85" s="76">
        <f t="shared" si="51"/>
        <v>-33.127099160045873</v>
      </c>
      <c r="H85" s="76">
        <f t="shared" si="51"/>
        <v>-33.358719717463828</v>
      </c>
      <c r="I85" s="76">
        <f t="shared" si="51"/>
        <v>-60.646869142540709</v>
      </c>
      <c r="J85" s="76">
        <f t="shared" si="51"/>
        <v>-60.967014209492845</v>
      </c>
      <c r="K85" s="76">
        <f t="shared" ref="K85" si="52">K21-K53</f>
        <v>-61.286476345925621</v>
      </c>
      <c r="L85" s="71"/>
      <c r="M85" s="71"/>
    </row>
    <row r="86" spans="2:13" x14ac:dyDescent="0.35">
      <c r="B86" s="56" t="s">
        <v>226</v>
      </c>
      <c r="C86" s="56" t="s">
        <v>227</v>
      </c>
      <c r="D86" s="76">
        <f t="shared" ref="D86:E86" si="53">D22-D54</f>
        <v>16.399486979318226</v>
      </c>
      <c r="E86" s="76">
        <f t="shared" si="53"/>
        <v>0.40081482021605552</v>
      </c>
      <c r="F86" s="76">
        <f t="shared" ref="F86:J86" si="54">F22-F54</f>
        <v>0.40648792841057002</v>
      </c>
      <c r="G86" s="76">
        <f t="shared" si="54"/>
        <v>0.41088333083735051</v>
      </c>
      <c r="H86" s="76">
        <f t="shared" si="54"/>
        <v>0.41542062341932251</v>
      </c>
      <c r="I86" s="76">
        <f t="shared" si="54"/>
        <v>0.41956819636016007</v>
      </c>
      <c r="J86" s="76">
        <f t="shared" si="54"/>
        <v>0.42374882449757934</v>
      </c>
      <c r="K86" s="76">
        <f t="shared" ref="K86" si="55">K22-K54</f>
        <v>0.4277138668421685</v>
      </c>
    </row>
    <row r="87" spans="2:13" x14ac:dyDescent="0.35">
      <c r="B87" s="56" t="s">
        <v>228</v>
      </c>
      <c r="C87" s="56" t="s">
        <v>229</v>
      </c>
      <c r="D87" s="76">
        <f t="shared" ref="D87:E87" si="56">D23-D55</f>
        <v>0</v>
      </c>
      <c r="E87" s="76">
        <f t="shared" si="56"/>
        <v>0</v>
      </c>
      <c r="F87" s="76">
        <f t="shared" ref="F87:J87" si="57">F23-F55</f>
        <v>0</v>
      </c>
      <c r="G87" s="76">
        <f t="shared" si="57"/>
        <v>0</v>
      </c>
      <c r="H87" s="76">
        <f t="shared" si="57"/>
        <v>0</v>
      </c>
      <c r="I87" s="76">
        <f t="shared" si="57"/>
        <v>0</v>
      </c>
      <c r="J87" s="76">
        <f t="shared" si="57"/>
        <v>0</v>
      </c>
      <c r="K87" s="76">
        <f t="shared" ref="K87" si="58">K23-K55</f>
        <v>0</v>
      </c>
    </row>
    <row r="88" spans="2:13" x14ac:dyDescent="0.35">
      <c r="B88" s="56" t="s">
        <v>230</v>
      </c>
      <c r="C88" s="56" t="s">
        <v>231</v>
      </c>
      <c r="D88" s="76">
        <f t="shared" ref="D88:E88" si="59">D24-D56</f>
        <v>-2.7833584572597374</v>
      </c>
      <c r="E88" s="76">
        <f t="shared" si="59"/>
        <v>-2.7907691090111655</v>
      </c>
      <c r="F88" s="76">
        <f t="shared" ref="F88:J88" si="60">F24-F56</f>
        <v>-2.7896163409609471</v>
      </c>
      <c r="G88" s="76">
        <f t="shared" si="60"/>
        <v>-2.7920042176364177</v>
      </c>
      <c r="H88" s="76">
        <f t="shared" si="60"/>
        <v>-2.7906044278611262</v>
      </c>
      <c r="I88" s="76">
        <f t="shared" si="60"/>
        <v>-2.7939803914368042</v>
      </c>
      <c r="J88" s="76">
        <f t="shared" si="60"/>
        <v>-2.7994972099628512</v>
      </c>
      <c r="K88" s="76">
        <f t="shared" ref="K88" si="61">K24-K56</f>
        <v>-2.796697630412325</v>
      </c>
    </row>
    <row r="89" spans="2:13" x14ac:dyDescent="0.35">
      <c r="B89" s="56" t="s">
        <v>1380</v>
      </c>
      <c r="C89" s="56" t="s">
        <v>1379</v>
      </c>
      <c r="D89" s="76">
        <f t="shared" ref="D89:E89" si="62">D25-D57</f>
        <v>0</v>
      </c>
      <c r="E89" s="76">
        <f t="shared" si="62"/>
        <v>0</v>
      </c>
      <c r="F89" s="76">
        <f t="shared" ref="F89:J89" si="63">F25-F57</f>
        <v>0</v>
      </c>
      <c r="G89" s="76">
        <f t="shared" si="63"/>
        <v>0</v>
      </c>
      <c r="H89" s="76">
        <f t="shared" si="63"/>
        <v>0</v>
      </c>
      <c r="I89" s="76">
        <f t="shared" si="63"/>
        <v>0</v>
      </c>
      <c r="J89" s="76">
        <f t="shared" si="63"/>
        <v>0</v>
      </c>
      <c r="K89" s="76">
        <f t="shared" ref="K89" si="64">K25-K57</f>
        <v>0</v>
      </c>
    </row>
    <row r="90" spans="2:13" x14ac:dyDescent="0.35">
      <c r="B90" s="56"/>
      <c r="C90" s="56"/>
      <c r="D90" s="76"/>
      <c r="E90" s="76"/>
      <c r="F90" s="76"/>
      <c r="G90" s="76"/>
      <c r="H90" s="76"/>
      <c r="I90" s="76"/>
      <c r="J90" s="76"/>
      <c r="K90" s="76"/>
    </row>
    <row r="91" spans="2:13" x14ac:dyDescent="0.35">
      <c r="B91" s="72" t="s">
        <v>1890</v>
      </c>
      <c r="C91" s="56"/>
      <c r="D91" s="76"/>
      <c r="E91" s="76"/>
      <c r="F91" s="76"/>
      <c r="G91" s="76"/>
      <c r="H91" s="76"/>
      <c r="I91" s="76"/>
      <c r="J91" s="76"/>
      <c r="K91" s="76"/>
    </row>
    <row r="92" spans="2:13" x14ac:dyDescent="0.35">
      <c r="B92" s="56" t="s">
        <v>1704</v>
      </c>
      <c r="C92" s="56" t="s">
        <v>1891</v>
      </c>
      <c r="D92" s="78">
        <f t="shared" ref="D92:F92" si="65">D28-D60</f>
        <v>-2.3102466187110982E-3</v>
      </c>
      <c r="E92" s="78">
        <f t="shared" si="65"/>
        <v>0</v>
      </c>
      <c r="F92" s="78">
        <f t="shared" si="65"/>
        <v>0</v>
      </c>
      <c r="G92" s="78">
        <f t="shared" ref="G92:H92" si="66">G28-G60</f>
        <v>-9.0000000000000149E-4</v>
      </c>
      <c r="H92" s="78">
        <f t="shared" si="66"/>
        <v>-9.0000000000000149E-4</v>
      </c>
      <c r="I92" s="78">
        <f t="shared" ref="I92:J92" si="67">I28-I60</f>
        <v>-9.0000000000000149E-4</v>
      </c>
      <c r="J92" s="78">
        <f t="shared" si="67"/>
        <v>0</v>
      </c>
      <c r="K92" s="78">
        <f t="shared" ref="K92" si="68">K28-K60</f>
        <v>0</v>
      </c>
    </row>
    <row r="93" spans="2:13" x14ac:dyDescent="0.35">
      <c r="B93" s="56" t="s">
        <v>1705</v>
      </c>
      <c r="C93" s="56"/>
      <c r="D93" s="78">
        <f t="shared" ref="D93:F96" si="69">D29-D61</f>
        <v>-2.2148799426466859E-3</v>
      </c>
      <c r="E93" s="78">
        <f t="shared" si="69"/>
        <v>0</v>
      </c>
      <c r="F93" s="78">
        <f t="shared" si="69"/>
        <v>0</v>
      </c>
      <c r="G93" s="78">
        <f t="shared" ref="G93:H93" si="70">G29-G61</f>
        <v>0</v>
      </c>
      <c r="H93" s="78">
        <f t="shared" si="70"/>
        <v>0</v>
      </c>
      <c r="I93" s="78">
        <f t="shared" ref="I93:J93" si="71">I29-I61</f>
        <v>0</v>
      </c>
      <c r="J93" s="78">
        <f t="shared" si="71"/>
        <v>0</v>
      </c>
      <c r="K93" s="78">
        <f t="shared" ref="K93" si="72">K29-K61</f>
        <v>0</v>
      </c>
    </row>
    <row r="94" spans="2:13" x14ac:dyDescent="0.35">
      <c r="B94" s="56" t="s">
        <v>1706</v>
      </c>
      <c r="C94" s="56"/>
      <c r="D94" s="78">
        <f t="shared" si="69"/>
        <v>-9.5218827707592713E-3</v>
      </c>
      <c r="E94" s="78">
        <f t="shared" si="69"/>
        <v>0</v>
      </c>
      <c r="F94" s="78">
        <f t="shared" si="69"/>
        <v>0</v>
      </c>
      <c r="G94" s="78">
        <f t="shared" ref="G94:H94" si="73">G30-G62</f>
        <v>-8.9999999999999998E-4</v>
      </c>
      <c r="H94" s="78">
        <f t="shared" si="73"/>
        <v>-8.9999999999999998E-4</v>
      </c>
      <c r="I94" s="78">
        <f t="shared" ref="I94:J94" si="74">I30-I62</f>
        <v>-8.9999999999999998E-4</v>
      </c>
      <c r="J94" s="78">
        <f t="shared" si="74"/>
        <v>0</v>
      </c>
      <c r="K94" s="78">
        <f t="shared" ref="K94" si="75">K30-K62</f>
        <v>0</v>
      </c>
    </row>
    <row r="95" spans="2:13" x14ac:dyDescent="0.35">
      <c r="B95" s="56" t="s">
        <v>1707</v>
      </c>
      <c r="C95" s="56"/>
      <c r="D95" s="78">
        <f t="shared" si="69"/>
        <v>-7.981002176409957E-3</v>
      </c>
      <c r="E95" s="78">
        <f t="shared" si="69"/>
        <v>0</v>
      </c>
      <c r="F95" s="78">
        <f t="shared" si="69"/>
        <v>0</v>
      </c>
      <c r="G95" s="78">
        <f t="shared" ref="G95:H95" si="76">G31-G63</f>
        <v>0</v>
      </c>
      <c r="H95" s="78">
        <f t="shared" si="76"/>
        <v>0</v>
      </c>
      <c r="I95" s="78">
        <f t="shared" ref="I95:J95" si="77">I31-I63</f>
        <v>0</v>
      </c>
      <c r="J95" s="78">
        <f t="shared" si="77"/>
        <v>0</v>
      </c>
      <c r="K95" s="78">
        <f t="shared" ref="K95" si="78">K31-K63</f>
        <v>0</v>
      </c>
    </row>
    <row r="96" spans="2:13" x14ac:dyDescent="0.35">
      <c r="B96" s="56" t="s">
        <v>1708</v>
      </c>
      <c r="C96" s="56"/>
      <c r="D96" s="78">
        <f t="shared" si="69"/>
        <v>-1.5754608192497521E-2</v>
      </c>
      <c r="E96" s="78">
        <f t="shared" si="69"/>
        <v>0</v>
      </c>
      <c r="F96" s="78">
        <f t="shared" si="69"/>
        <v>0</v>
      </c>
      <c r="G96" s="78">
        <f t="shared" ref="G96:H96" si="79">G32-G64</f>
        <v>0</v>
      </c>
      <c r="H96" s="78">
        <f t="shared" si="79"/>
        <v>0</v>
      </c>
      <c r="I96" s="78">
        <f t="shared" ref="I96:J96" si="80">I32-I64</f>
        <v>0</v>
      </c>
      <c r="J96" s="78">
        <f t="shared" si="80"/>
        <v>0</v>
      </c>
      <c r="K96" s="78">
        <f t="shared" ref="K96" si="81">K32-K64</f>
        <v>0</v>
      </c>
    </row>
    <row r="98" spans="2:12" x14ac:dyDescent="0.35">
      <c r="B98" s="1246" t="s">
        <v>233</v>
      </c>
      <c r="C98" s="1246"/>
      <c r="D98" s="1246"/>
      <c r="E98" s="1246"/>
      <c r="F98" s="1246"/>
      <c r="G98" s="1246"/>
      <c r="H98" s="1246"/>
      <c r="I98" s="1246"/>
      <c r="J98" s="1246"/>
      <c r="K98" s="1246"/>
      <c r="L98" s="1246"/>
    </row>
    <row r="99" spans="2:12" x14ac:dyDescent="0.35">
      <c r="B99" t="s">
        <v>178</v>
      </c>
      <c r="C99" t="s">
        <v>179</v>
      </c>
      <c r="D99" t="s">
        <v>176</v>
      </c>
      <c r="E99" t="s">
        <v>177</v>
      </c>
      <c r="F99" t="s">
        <v>763</v>
      </c>
      <c r="G99" t="s">
        <v>764</v>
      </c>
      <c r="H99" t="s">
        <v>765</v>
      </c>
      <c r="I99" t="s">
        <v>1152</v>
      </c>
      <c r="J99" t="s">
        <v>1153</v>
      </c>
      <c r="K99" t="s">
        <v>1154</v>
      </c>
    </row>
    <row r="100" spans="2:12" x14ac:dyDescent="0.35">
      <c r="B100" t="s">
        <v>192</v>
      </c>
      <c r="C100" t="s">
        <v>193</v>
      </c>
      <c r="D100" s="79">
        <f t="shared" ref="D100:E100" si="82">(D4/D36-1)</f>
        <v>-7.5910911397691905E-3</v>
      </c>
      <c r="E100" s="79">
        <f t="shared" si="82"/>
        <v>-7.9451637945764375E-3</v>
      </c>
      <c r="F100" s="79">
        <f t="shared" ref="F100:I100" si="83">(F4/F36-1)</f>
        <v>-8.0999551888940591E-3</v>
      </c>
      <c r="G100" s="79">
        <f t="shared" si="83"/>
        <v>-8.1260849599876783E-3</v>
      </c>
      <c r="H100" s="79">
        <f t="shared" si="83"/>
        <v>-8.2227618349304255E-3</v>
      </c>
      <c r="I100" s="79">
        <f t="shared" si="83"/>
        <v>-8.2461630048988876E-3</v>
      </c>
      <c r="J100" s="79">
        <f t="shared" ref="J100:K121" si="84">(J4/J36-1)</f>
        <v>-8.3207549453393481E-3</v>
      </c>
      <c r="K100" s="79">
        <f t="shared" si="84"/>
        <v>-8.3254531135926735E-3</v>
      </c>
    </row>
    <row r="101" spans="2:12" x14ac:dyDescent="0.35">
      <c r="B101" t="s">
        <v>134</v>
      </c>
      <c r="C101" t="s">
        <v>194</v>
      </c>
      <c r="D101" s="79">
        <f t="shared" ref="D101:E101" si="85">(D5/D37-1)</f>
        <v>0</v>
      </c>
      <c r="E101" s="79">
        <f t="shared" si="85"/>
        <v>0</v>
      </c>
      <c r="F101" s="79">
        <f t="shared" ref="F101:I101" si="86">(F5/F37-1)</f>
        <v>0</v>
      </c>
      <c r="G101" s="79">
        <f t="shared" si="86"/>
        <v>0</v>
      </c>
      <c r="H101" s="79">
        <f t="shared" si="86"/>
        <v>0</v>
      </c>
      <c r="I101" s="79">
        <f t="shared" si="86"/>
        <v>0</v>
      </c>
      <c r="J101" s="79">
        <f t="shared" si="84"/>
        <v>0</v>
      </c>
      <c r="K101" s="79">
        <f t="shared" si="84"/>
        <v>0</v>
      </c>
    </row>
    <row r="102" spans="2:12" x14ac:dyDescent="0.35">
      <c r="B102" t="s">
        <v>195</v>
      </c>
      <c r="C102" t="s">
        <v>196</v>
      </c>
      <c r="D102" s="79">
        <f t="shared" ref="D102:E102" si="87">(D6/D38-1)</f>
        <v>1.1902488260363775E-2</v>
      </c>
      <c r="E102" s="79">
        <f t="shared" si="87"/>
        <v>5.6036935787764364E-3</v>
      </c>
      <c r="F102" s="79">
        <f t="shared" ref="F102:I102" si="88">(F6/F38-1)</f>
        <v>2.4636276566487592E-3</v>
      </c>
      <c r="G102" s="79">
        <f t="shared" si="88"/>
        <v>2.4636276566487592E-3</v>
      </c>
      <c r="H102" s="79">
        <f t="shared" si="88"/>
        <v>2.4636276566487592E-3</v>
      </c>
      <c r="I102" s="79">
        <f t="shared" si="88"/>
        <v>2.4636276566487592E-3</v>
      </c>
      <c r="J102" s="79">
        <f t="shared" si="84"/>
        <v>2.4636276566487592E-3</v>
      </c>
      <c r="K102" s="79">
        <f t="shared" si="84"/>
        <v>2.4636276566487592E-3</v>
      </c>
    </row>
    <row r="103" spans="2:12" x14ac:dyDescent="0.35">
      <c r="B103" t="s">
        <v>197</v>
      </c>
      <c r="C103" t="s">
        <v>198</v>
      </c>
      <c r="D103" s="79">
        <f t="shared" ref="D103:E103" si="89">(D7/D39-1)</f>
        <v>-4.0357863412066042E-4</v>
      </c>
      <c r="E103" s="79">
        <f t="shared" si="89"/>
        <v>-4.0357863412066042E-4</v>
      </c>
      <c r="F103" s="79">
        <f t="shared" ref="F103:I103" si="90">(F7/F39-1)</f>
        <v>-4.035786341205494E-4</v>
      </c>
      <c r="G103" s="79">
        <f t="shared" si="90"/>
        <v>-4.035786341205494E-4</v>
      </c>
      <c r="H103" s="79">
        <f t="shared" si="90"/>
        <v>-4.035786341205494E-4</v>
      </c>
      <c r="I103" s="79">
        <f t="shared" si="90"/>
        <v>-4.0357863412066042E-4</v>
      </c>
      <c r="J103" s="79">
        <f t="shared" si="84"/>
        <v>-4.035786341205494E-4</v>
      </c>
      <c r="K103" s="79">
        <f t="shared" si="84"/>
        <v>-4.035786341205494E-4</v>
      </c>
    </row>
    <row r="104" spans="2:12" x14ac:dyDescent="0.35">
      <c r="B104" t="s">
        <v>199</v>
      </c>
      <c r="C104" t="s">
        <v>200</v>
      </c>
      <c r="D104" s="79">
        <f t="shared" ref="D104:E104" si="91">(D8/D40-1)</f>
        <v>-4.0200748206145054E-2</v>
      </c>
      <c r="E104" s="79">
        <f t="shared" si="91"/>
        <v>-4.0200748206145054E-2</v>
      </c>
      <c r="F104" s="79">
        <f t="shared" ref="F104:I104" si="92">(F8/F40-1)</f>
        <v>-4.3791475526655632E-2</v>
      </c>
      <c r="G104" s="79">
        <f t="shared" si="92"/>
        <v>-4.3791475526655632E-2</v>
      </c>
      <c r="H104" s="79">
        <f t="shared" si="92"/>
        <v>-4.1773321579165357E-2</v>
      </c>
      <c r="I104" s="79">
        <f t="shared" si="92"/>
        <v>-4.2749535331137678E-2</v>
      </c>
      <c r="J104" s="79">
        <f t="shared" si="84"/>
        <v>-4.2749535331137678E-2</v>
      </c>
      <c r="K104" s="79">
        <f t="shared" si="84"/>
        <v>-4.2749535331137678E-2</v>
      </c>
    </row>
    <row r="105" spans="2:12" x14ac:dyDescent="0.35">
      <c r="B105" t="s">
        <v>201</v>
      </c>
      <c r="C105" t="s">
        <v>202</v>
      </c>
      <c r="D105" s="79">
        <f t="shared" ref="D105:E105" si="93">(D9/D41-1)</f>
        <v>0</v>
      </c>
      <c r="E105" s="79">
        <f t="shared" si="93"/>
        <v>0</v>
      </c>
      <c r="F105" s="79">
        <f t="shared" ref="F105:I105" si="94">(F9/F41-1)</f>
        <v>0</v>
      </c>
      <c r="G105" s="79">
        <f t="shared" si="94"/>
        <v>0</v>
      </c>
      <c r="H105" s="79">
        <f t="shared" si="94"/>
        <v>0</v>
      </c>
      <c r="I105" s="79" t="e">
        <f t="shared" si="94"/>
        <v>#DIV/0!</v>
      </c>
      <c r="J105" s="79" t="e">
        <f t="shared" si="84"/>
        <v>#DIV/0!</v>
      </c>
      <c r="K105" s="79" t="e">
        <f t="shared" si="84"/>
        <v>#DIV/0!</v>
      </c>
    </row>
    <row r="106" spans="2:12" x14ac:dyDescent="0.35">
      <c r="B106" t="s">
        <v>203</v>
      </c>
      <c r="C106" t="s">
        <v>204</v>
      </c>
      <c r="D106" s="79" t="e">
        <f t="shared" ref="D106:E106" si="95">(D10/D42-1)</f>
        <v>#DIV/0!</v>
      </c>
      <c r="E106" s="79" t="e">
        <f t="shared" si="95"/>
        <v>#DIV/0!</v>
      </c>
      <c r="F106" s="79" t="e">
        <f t="shared" ref="F106:I106" si="96">(F10/F42-1)</f>
        <v>#DIV/0!</v>
      </c>
      <c r="G106" s="79" t="e">
        <f t="shared" si="96"/>
        <v>#DIV/0!</v>
      </c>
      <c r="H106" s="79" t="e">
        <f t="shared" si="96"/>
        <v>#DIV/0!</v>
      </c>
      <c r="I106" s="79" t="e">
        <f t="shared" si="96"/>
        <v>#DIV/0!</v>
      </c>
      <c r="J106" s="79" t="e">
        <f t="shared" si="84"/>
        <v>#DIV/0!</v>
      </c>
      <c r="K106" s="79" t="e">
        <f t="shared" si="84"/>
        <v>#DIV/0!</v>
      </c>
    </row>
    <row r="107" spans="2:12" x14ac:dyDescent="0.35">
      <c r="B107" t="s">
        <v>205</v>
      </c>
      <c r="C107" t="s">
        <v>206</v>
      </c>
      <c r="D107" s="79">
        <f t="shared" ref="D107:E107" si="97">(D11/D43-1)</f>
        <v>0</v>
      </c>
      <c r="E107" s="79">
        <f t="shared" si="97"/>
        <v>0</v>
      </c>
      <c r="F107" s="79">
        <f t="shared" ref="F107:I107" si="98">(F11/F43-1)</f>
        <v>0</v>
      </c>
      <c r="G107" s="79">
        <f t="shared" si="98"/>
        <v>0</v>
      </c>
      <c r="H107" s="79">
        <f t="shared" si="98"/>
        <v>0</v>
      </c>
      <c r="I107" s="79">
        <f t="shared" si="98"/>
        <v>0</v>
      </c>
      <c r="J107" s="79">
        <f t="shared" si="84"/>
        <v>0</v>
      </c>
      <c r="K107" s="79">
        <f t="shared" si="84"/>
        <v>0</v>
      </c>
    </row>
    <row r="108" spans="2:12" x14ac:dyDescent="0.35">
      <c r="B108" t="s">
        <v>207</v>
      </c>
      <c r="C108" t="s">
        <v>208</v>
      </c>
      <c r="D108" s="79">
        <f t="shared" ref="D108:E108" si="99">(D12/D44-1)</f>
        <v>1.6590652707901832E-3</v>
      </c>
      <c r="E108" s="79">
        <f t="shared" si="99"/>
        <v>-8.8865134048884409E-3</v>
      </c>
      <c r="F108" s="79">
        <f t="shared" ref="F108:I108" si="100">(F12/F44-1)</f>
        <v>-8.5923451988921817E-3</v>
      </c>
      <c r="G108" s="79">
        <f t="shared" si="100"/>
        <v>-6.665606700251181E-3</v>
      </c>
      <c r="H108" s="79">
        <f t="shared" si="100"/>
        <v>-6.729276384678573E-3</v>
      </c>
      <c r="I108" s="79">
        <f t="shared" si="100"/>
        <v>-5.7677122322121743E-3</v>
      </c>
      <c r="J108" s="79">
        <f t="shared" si="84"/>
        <v>-4.6559361677093181E-3</v>
      </c>
      <c r="K108" s="79">
        <f t="shared" si="84"/>
        <v>-3.5039689633789006E-3</v>
      </c>
    </row>
    <row r="109" spans="2:12" x14ac:dyDescent="0.35">
      <c r="B109" t="s">
        <v>209</v>
      </c>
      <c r="C109" t="s">
        <v>210</v>
      </c>
      <c r="D109" s="79">
        <f t="shared" ref="D109:E109" si="101">(D13/D45-1)</f>
        <v>6.8460130172662836E-3</v>
      </c>
      <c r="E109" s="79">
        <f t="shared" si="101"/>
        <v>-3.1387502283628521E-3</v>
      </c>
      <c r="F109" s="79">
        <f t="shared" ref="F109:I109" si="102">(F13/F45-1)</f>
        <v>-2.8190552584943518E-3</v>
      </c>
      <c r="G109" s="79">
        <f t="shared" si="102"/>
        <v>-2.4992577619465939E-3</v>
      </c>
      <c r="H109" s="79">
        <f t="shared" si="102"/>
        <v>-1.5162077225240322E-3</v>
      </c>
      <c r="I109" s="79">
        <f t="shared" si="102"/>
        <v>-5.3218887441897067E-4</v>
      </c>
      <c r="J109" s="79">
        <f t="shared" si="84"/>
        <v>4.527997371424064E-4</v>
      </c>
      <c r="K109" s="79">
        <f t="shared" si="84"/>
        <v>1.4387590678746065E-3</v>
      </c>
    </row>
    <row r="110" spans="2:12" x14ac:dyDescent="0.35">
      <c r="B110" t="s">
        <v>55</v>
      </c>
      <c r="C110" t="s">
        <v>211</v>
      </c>
      <c r="D110" s="79">
        <f t="shared" ref="D110:E110" si="103">(D14/D46-1)</f>
        <v>2.1649071180813717E-3</v>
      </c>
      <c r="E110" s="79">
        <f t="shared" si="103"/>
        <v>1.6320476156862274E-2</v>
      </c>
      <c r="F110" s="79">
        <f t="shared" ref="F110:I110" si="104">(F14/F46-1)</f>
        <v>1.6320476156862274E-2</v>
      </c>
      <c r="G110" s="79">
        <f t="shared" si="104"/>
        <v>1.6320476156862052E-2</v>
      </c>
      <c r="H110" s="79">
        <f t="shared" si="104"/>
        <v>1.6320476156862052E-2</v>
      </c>
      <c r="I110" s="79">
        <f t="shared" si="104"/>
        <v>1.6320476156862274E-2</v>
      </c>
      <c r="J110" s="79">
        <f t="shared" si="84"/>
        <v>1.6320476156862274E-2</v>
      </c>
      <c r="K110" s="79">
        <f t="shared" si="84"/>
        <v>1.6320476156862274E-2</v>
      </c>
    </row>
    <row r="111" spans="2:12" x14ac:dyDescent="0.35">
      <c r="B111" t="s">
        <v>212</v>
      </c>
      <c r="C111" t="s">
        <v>213</v>
      </c>
      <c r="D111" s="79" t="e">
        <f t="shared" ref="D111:E111" si="105">(D15/D47-1)</f>
        <v>#DIV/0!</v>
      </c>
      <c r="E111" s="79" t="e">
        <f t="shared" si="105"/>
        <v>#DIV/0!</v>
      </c>
      <c r="F111" s="79" t="e">
        <f t="shared" ref="F111:I111" si="106">(F15/F47-1)</f>
        <v>#DIV/0!</v>
      </c>
      <c r="G111" s="79" t="e">
        <f t="shared" si="106"/>
        <v>#DIV/0!</v>
      </c>
      <c r="H111" s="79" t="e">
        <f t="shared" si="106"/>
        <v>#DIV/0!</v>
      </c>
      <c r="I111" s="79" t="e">
        <f t="shared" si="106"/>
        <v>#DIV/0!</v>
      </c>
      <c r="J111" s="79" t="e">
        <f t="shared" si="84"/>
        <v>#DIV/0!</v>
      </c>
      <c r="K111" s="79" t="e">
        <f t="shared" si="84"/>
        <v>#DIV/0!</v>
      </c>
    </row>
    <row r="112" spans="2:12" x14ac:dyDescent="0.35">
      <c r="B112" t="s">
        <v>214</v>
      </c>
      <c r="C112" t="s">
        <v>215</v>
      </c>
      <c r="D112" s="79" t="e">
        <f t="shared" ref="D112:E112" si="107">(D16/D48-1)</f>
        <v>#DIV/0!</v>
      </c>
      <c r="E112" s="79" t="e">
        <f t="shared" si="107"/>
        <v>#DIV/0!</v>
      </c>
      <c r="F112" s="79" t="e">
        <f t="shared" ref="F112:I112" si="108">(F16/F48-1)</f>
        <v>#DIV/0!</v>
      </c>
      <c r="G112" s="79" t="e">
        <f t="shared" si="108"/>
        <v>#DIV/0!</v>
      </c>
      <c r="H112" s="79" t="e">
        <f t="shared" si="108"/>
        <v>#DIV/0!</v>
      </c>
      <c r="I112" s="79" t="e">
        <f t="shared" si="108"/>
        <v>#DIV/0!</v>
      </c>
      <c r="J112" s="79" t="e">
        <f t="shared" si="84"/>
        <v>#DIV/0!</v>
      </c>
      <c r="K112" s="79" t="e">
        <f t="shared" si="84"/>
        <v>#DIV/0!</v>
      </c>
    </row>
    <row r="113" spans="2:11" x14ac:dyDescent="0.35">
      <c r="B113" t="s">
        <v>216</v>
      </c>
      <c r="C113" t="s">
        <v>217</v>
      </c>
      <c r="D113" s="79">
        <f t="shared" ref="D113:E113" si="109">(D17/D49-1)</f>
        <v>0</v>
      </c>
      <c r="E113" s="79">
        <f t="shared" si="109"/>
        <v>0</v>
      </c>
      <c r="F113" s="79">
        <f t="shared" ref="F113:I113" si="110">(F17/F49-1)</f>
        <v>0</v>
      </c>
      <c r="G113" s="79">
        <f t="shared" si="110"/>
        <v>0</v>
      </c>
      <c r="H113" s="79">
        <f t="shared" si="110"/>
        <v>0</v>
      </c>
      <c r="I113" s="79" t="e">
        <f t="shared" si="110"/>
        <v>#DIV/0!</v>
      </c>
      <c r="J113" s="79" t="e">
        <f t="shared" si="84"/>
        <v>#DIV/0!</v>
      </c>
      <c r="K113" s="79" t="e">
        <f t="shared" si="84"/>
        <v>#DIV/0!</v>
      </c>
    </row>
    <row r="114" spans="2:11" x14ac:dyDescent="0.35">
      <c r="B114" t="s">
        <v>218</v>
      </c>
      <c r="C114" t="s">
        <v>219</v>
      </c>
      <c r="D114" s="79">
        <f t="shared" ref="D114:E114" si="111">(D18/D50-1)</f>
        <v>0</v>
      </c>
      <c r="E114" s="79">
        <f t="shared" si="111"/>
        <v>0</v>
      </c>
      <c r="F114" s="79">
        <f t="shared" ref="F114:I114" si="112">(F18/F50-1)</f>
        <v>0</v>
      </c>
      <c r="G114" s="79">
        <f t="shared" si="112"/>
        <v>0</v>
      </c>
      <c r="H114" s="79">
        <f t="shared" si="112"/>
        <v>0</v>
      </c>
      <c r="I114" s="79" t="e">
        <f t="shared" si="112"/>
        <v>#DIV/0!</v>
      </c>
      <c r="J114" s="79" t="e">
        <f t="shared" si="84"/>
        <v>#DIV/0!</v>
      </c>
      <c r="K114" s="79" t="e">
        <f t="shared" si="84"/>
        <v>#DIV/0!</v>
      </c>
    </row>
    <row r="115" spans="2:11" x14ac:dyDescent="0.35">
      <c r="B115" t="s">
        <v>220</v>
      </c>
      <c r="C115" t="s">
        <v>221</v>
      </c>
      <c r="D115" s="79">
        <f t="shared" ref="D115:E115" si="113">(D19/D51-1)</f>
        <v>5.1244499351288386E-3</v>
      </c>
      <c r="E115" s="79">
        <f t="shared" si="113"/>
        <v>6.8162729862994986E-3</v>
      </c>
      <c r="F115" s="79">
        <f t="shared" ref="F115:I115" si="114">(F19/F51-1)</f>
        <v>6.7955960320214004E-3</v>
      </c>
      <c r="G115" s="79">
        <f t="shared" si="114"/>
        <v>6.7750441441667419E-3</v>
      </c>
      <c r="H115" s="79">
        <f t="shared" si="114"/>
        <v>6.8043421700478834E-3</v>
      </c>
      <c r="I115" s="79">
        <f t="shared" si="114"/>
        <v>8.1549699609124726E-3</v>
      </c>
      <c r="J115" s="79">
        <f t="shared" si="84"/>
        <v>8.1333785609256637E-3</v>
      </c>
      <c r="K115" s="79">
        <f t="shared" si="84"/>
        <v>8.1057078504644942E-3</v>
      </c>
    </row>
    <row r="116" spans="2:11" x14ac:dyDescent="0.35">
      <c r="B116" t="s">
        <v>222</v>
      </c>
      <c r="C116" t="s">
        <v>223</v>
      </c>
      <c r="D116" s="79">
        <f t="shared" ref="D116:E116" si="115">(D20/D52-1)</f>
        <v>0</v>
      </c>
      <c r="E116" s="79">
        <f t="shared" si="115"/>
        <v>0</v>
      </c>
      <c r="F116" s="79">
        <f t="shared" ref="F116:I116" si="116">(F20/F52-1)</f>
        <v>0</v>
      </c>
      <c r="G116" s="79">
        <f t="shared" si="116"/>
        <v>0</v>
      </c>
      <c r="H116" s="79">
        <f t="shared" si="116"/>
        <v>0</v>
      </c>
      <c r="I116" s="79">
        <f t="shared" si="116"/>
        <v>0</v>
      </c>
      <c r="J116" s="79">
        <f t="shared" si="84"/>
        <v>0</v>
      </c>
      <c r="K116" s="79">
        <f t="shared" si="84"/>
        <v>0</v>
      </c>
    </row>
    <row r="117" spans="2:11" x14ac:dyDescent="0.35">
      <c r="B117" t="s">
        <v>224</v>
      </c>
      <c r="C117" t="s">
        <v>225</v>
      </c>
      <c r="D117" s="79">
        <f t="shared" ref="D117:E117" si="117">(D21/D53-1)</f>
        <v>4.4671938559521784E-3</v>
      </c>
      <c r="E117" s="79">
        <f t="shared" si="117"/>
        <v>-7.0518960276002574E-3</v>
      </c>
      <c r="F117" s="79">
        <f t="shared" ref="F117:I117" si="118">(F21/F53-1)</f>
        <v>-7.0664998352968356E-3</v>
      </c>
      <c r="G117" s="79">
        <f t="shared" si="118"/>
        <v>-7.0805050023442506E-3</v>
      </c>
      <c r="H117" s="79">
        <f t="shared" si="118"/>
        <v>-7.0939233603175555E-3</v>
      </c>
      <c r="I117" s="79">
        <f t="shared" si="118"/>
        <v>-1.2507246909563952E-2</v>
      </c>
      <c r="J117" s="79">
        <f t="shared" si="84"/>
        <v>-1.2487825171151656E-2</v>
      </c>
      <c r="K117" s="79">
        <f t="shared" si="84"/>
        <v>-1.2467583842863728E-2</v>
      </c>
    </row>
    <row r="118" spans="2:11" x14ac:dyDescent="0.35">
      <c r="B118" t="s">
        <v>226</v>
      </c>
      <c r="C118" t="s">
        <v>227</v>
      </c>
      <c r="D118" s="79">
        <f t="shared" ref="D118:E118" si="119">(D22/D54-1)</f>
        <v>6.5632063121854323E-3</v>
      </c>
      <c r="E118" s="79">
        <f t="shared" si="119"/>
        <v>1.5847756192965967E-4</v>
      </c>
      <c r="F118" s="79">
        <f t="shared" ref="F118:I118" si="120">(F22/F54-1)</f>
        <v>1.5874702183515943E-4</v>
      </c>
      <c r="G118" s="79">
        <f t="shared" si="120"/>
        <v>1.5878897025256578E-4</v>
      </c>
      <c r="H118" s="79">
        <f t="shared" si="120"/>
        <v>1.5890882793900829E-4</v>
      </c>
      <c r="I118" s="79">
        <f t="shared" si="120"/>
        <v>1.5900731818208058E-4</v>
      </c>
      <c r="J118" s="79">
        <f t="shared" si="84"/>
        <v>1.5905764295265357E-4</v>
      </c>
      <c r="K118" s="79">
        <f t="shared" si="84"/>
        <v>1.5915791372234089E-4</v>
      </c>
    </row>
    <row r="119" spans="2:11" x14ac:dyDescent="0.35">
      <c r="B119" t="s">
        <v>228</v>
      </c>
      <c r="C119" t="s">
        <v>229</v>
      </c>
      <c r="D119" s="79">
        <f t="shared" ref="D119:E119" si="121">(D23/D55-1)</f>
        <v>0</v>
      </c>
      <c r="E119" s="79">
        <f t="shared" si="121"/>
        <v>0</v>
      </c>
      <c r="F119" s="79">
        <f t="shared" ref="F119:I119" si="122">(F23/F55-1)</f>
        <v>0</v>
      </c>
      <c r="G119" s="79">
        <f t="shared" si="122"/>
        <v>0</v>
      </c>
      <c r="H119" s="79">
        <f t="shared" si="122"/>
        <v>0</v>
      </c>
      <c r="I119" s="79">
        <f t="shared" si="122"/>
        <v>0</v>
      </c>
      <c r="J119" s="79">
        <f t="shared" si="84"/>
        <v>0</v>
      </c>
      <c r="K119" s="79">
        <f t="shared" si="84"/>
        <v>0</v>
      </c>
    </row>
    <row r="120" spans="2:11" x14ac:dyDescent="0.35">
      <c r="B120" t="s">
        <v>230</v>
      </c>
      <c r="C120" t="s">
        <v>231</v>
      </c>
      <c r="D120" s="79">
        <f t="shared" ref="D120:E120" si="123">(D24/D56-1)</f>
        <v>-1.6756307015719174E-2</v>
      </c>
      <c r="E120" s="79">
        <f t="shared" si="123"/>
        <v>-1.6756307015719285E-2</v>
      </c>
      <c r="F120" s="79">
        <f t="shared" ref="F120:I120" si="124">(F24/F56-1)</f>
        <v>-1.6756307015719285E-2</v>
      </c>
      <c r="G120" s="79">
        <f t="shared" si="124"/>
        <v>-1.6756307015719285E-2</v>
      </c>
      <c r="H120" s="79">
        <f t="shared" si="124"/>
        <v>-1.6756307015719174E-2</v>
      </c>
      <c r="I120" s="79">
        <f t="shared" si="124"/>
        <v>-1.6756307015719396E-2</v>
      </c>
      <c r="J120" s="79">
        <f t="shared" si="84"/>
        <v>-1.6756307015719285E-2</v>
      </c>
      <c r="K120" s="79">
        <f t="shared" si="84"/>
        <v>-1.6756307015719396E-2</v>
      </c>
    </row>
    <row r="121" spans="2:11" x14ac:dyDescent="0.35">
      <c r="B121" s="56" t="s">
        <v>1380</v>
      </c>
      <c r="C121" s="56" t="s">
        <v>1379</v>
      </c>
      <c r="D121" s="79">
        <f t="shared" ref="D121:E121" si="125">(D25/D57-1)</f>
        <v>0</v>
      </c>
      <c r="E121" s="79">
        <f t="shared" si="125"/>
        <v>0</v>
      </c>
      <c r="F121" s="79">
        <f t="shared" ref="F121:I121" si="126">(F25/F57-1)</f>
        <v>0</v>
      </c>
      <c r="G121" s="79">
        <f t="shared" si="126"/>
        <v>0</v>
      </c>
      <c r="H121" s="79">
        <f t="shared" si="126"/>
        <v>0</v>
      </c>
      <c r="I121" s="79">
        <f t="shared" si="126"/>
        <v>0</v>
      </c>
      <c r="J121" s="79">
        <f t="shared" si="84"/>
        <v>0</v>
      </c>
      <c r="K121" s="79" t="e">
        <f t="shared" si="84"/>
        <v>#DIV/0!</v>
      </c>
    </row>
    <row r="122" spans="2:11" x14ac:dyDescent="0.35">
      <c r="B122" s="56"/>
      <c r="D122" s="79"/>
      <c r="E122" s="79"/>
    </row>
    <row r="123" spans="2:11" x14ac:dyDescent="0.35">
      <c r="B123" s="72" t="s">
        <v>1890</v>
      </c>
      <c r="D123" s="79"/>
      <c r="E123" s="79"/>
    </row>
    <row r="124" spans="2:11" x14ac:dyDescent="0.35">
      <c r="B124" s="56" t="s">
        <v>1704</v>
      </c>
      <c r="D124" s="79">
        <f t="shared" ref="D124:F124" si="127">(D28/D60-1)</f>
        <v>-9.2416237001875623E-2</v>
      </c>
      <c r="E124" s="79">
        <f t="shared" si="127"/>
        <v>0</v>
      </c>
      <c r="F124" s="79">
        <f t="shared" si="127"/>
        <v>0</v>
      </c>
      <c r="G124" s="79">
        <f t="shared" ref="G124:I124" si="128">(G28/G60-1)</f>
        <v>-4.1142985011476729E-2</v>
      </c>
      <c r="H124" s="79">
        <f t="shared" si="128"/>
        <v>-4.0887916657820766E-2</v>
      </c>
      <c r="I124" s="79">
        <f t="shared" si="128"/>
        <v>-4.1920651581106805E-2</v>
      </c>
      <c r="J124" s="79">
        <f t="shared" ref="J124:K128" si="129">(J28/J60-1)</f>
        <v>0</v>
      </c>
      <c r="K124" s="79">
        <f t="shared" si="129"/>
        <v>0</v>
      </c>
    </row>
    <row r="125" spans="2:11" x14ac:dyDescent="0.35">
      <c r="B125" s="56" t="s">
        <v>1705</v>
      </c>
      <c r="D125" s="79">
        <f t="shared" ref="D125:F125" si="130">(D29/D61-1)</f>
        <v>-7.24413964943178E-2</v>
      </c>
      <c r="E125" s="79">
        <f t="shared" si="130"/>
        <v>0</v>
      </c>
      <c r="F125" s="79">
        <f t="shared" si="130"/>
        <v>0</v>
      </c>
      <c r="G125" s="79">
        <f t="shared" ref="G125:I125" si="131">(G29/G61-1)</f>
        <v>0</v>
      </c>
      <c r="H125" s="79">
        <f t="shared" si="131"/>
        <v>0</v>
      </c>
      <c r="I125" s="79">
        <f t="shared" si="131"/>
        <v>0</v>
      </c>
      <c r="J125" s="79">
        <f t="shared" si="129"/>
        <v>0</v>
      </c>
      <c r="K125" s="79">
        <f t="shared" si="129"/>
        <v>0</v>
      </c>
    </row>
    <row r="126" spans="2:11" x14ac:dyDescent="0.35">
      <c r="B126" s="56" t="s">
        <v>1706</v>
      </c>
      <c r="D126" s="79">
        <f t="shared" ref="D126:F126" si="132">(D30/D62-1)</f>
        <v>-0.30355380804800847</v>
      </c>
      <c r="E126" s="79">
        <f t="shared" si="132"/>
        <v>0</v>
      </c>
      <c r="F126" s="79" t="e">
        <f t="shared" si="132"/>
        <v>#DIV/0!</v>
      </c>
      <c r="G126" s="79" t="e">
        <f t="shared" ref="G126:I126" si="133">(G30/G62-1)</f>
        <v>#DIV/0!</v>
      </c>
      <c r="H126" s="79" t="e">
        <f t="shared" si="133"/>
        <v>#DIV/0!</v>
      </c>
      <c r="I126" s="79" t="e">
        <f t="shared" si="133"/>
        <v>#DIV/0!</v>
      </c>
      <c r="J126" s="79" t="e">
        <f t="shared" si="129"/>
        <v>#DIV/0!</v>
      </c>
      <c r="K126" s="79" t="e">
        <f t="shared" si="129"/>
        <v>#DIV/0!</v>
      </c>
    </row>
    <row r="127" spans="2:11" x14ac:dyDescent="0.35">
      <c r="B127" s="56" t="s">
        <v>1707</v>
      </c>
      <c r="D127" s="79">
        <f t="shared" ref="D127:F127" si="134">(D31/D63-1)</f>
        <v>-0.25443115201212496</v>
      </c>
      <c r="E127" s="79">
        <f t="shared" si="134"/>
        <v>0</v>
      </c>
      <c r="F127" s="79">
        <f t="shared" si="134"/>
        <v>0</v>
      </c>
      <c r="G127" s="79">
        <f t="shared" ref="G127:I127" si="135">(G31/G63-1)</f>
        <v>0</v>
      </c>
      <c r="H127" s="79">
        <f t="shared" si="135"/>
        <v>0</v>
      </c>
      <c r="I127" s="79">
        <f t="shared" si="135"/>
        <v>0</v>
      </c>
      <c r="J127" s="79">
        <f t="shared" si="129"/>
        <v>0</v>
      </c>
      <c r="K127" s="79">
        <f t="shared" si="129"/>
        <v>0</v>
      </c>
    </row>
    <row r="128" spans="2:11" x14ac:dyDescent="0.35">
      <c r="B128" s="56" t="s">
        <v>1708</v>
      </c>
      <c r="D128" s="79">
        <f t="shared" ref="D128:F128" si="136">(D32/D64-1)</f>
        <v>-0.50225059752081247</v>
      </c>
      <c r="E128" s="79">
        <f t="shared" si="136"/>
        <v>0</v>
      </c>
      <c r="F128" s="79">
        <f t="shared" si="136"/>
        <v>0</v>
      </c>
      <c r="G128" s="79">
        <f t="shared" ref="G128:I128" si="137">(G32/G64-1)</f>
        <v>0</v>
      </c>
      <c r="H128" s="79">
        <f t="shared" si="137"/>
        <v>0</v>
      </c>
      <c r="I128" s="79">
        <f t="shared" si="137"/>
        <v>0</v>
      </c>
      <c r="J128" s="79">
        <f t="shared" si="129"/>
        <v>0</v>
      </c>
      <c r="K128" s="79">
        <f t="shared" si="129"/>
        <v>0</v>
      </c>
    </row>
  </sheetData>
  <mergeCells count="4">
    <mergeCell ref="B2:L2"/>
    <mergeCell ref="B34:L34"/>
    <mergeCell ref="B66:L66"/>
    <mergeCell ref="B98:L98"/>
  </mergeCells>
  <conditionalFormatting sqref="D68:K96 F100:K121 D100:E123 D124:K128">
    <cfRule type="cellIs" dxfId="3" priority="3" operator="lessThan">
      <formula>0</formula>
    </cfRule>
    <cfRule type="cellIs" dxfId="2" priority="4" operator="greater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E3443-8D81-4110-9EF4-21051130EFCA}">
  <dimension ref="B2:M128"/>
  <sheetViews>
    <sheetView zoomScaleNormal="100" workbookViewId="0">
      <selection activeCell="H26" sqref="H26"/>
    </sheetView>
  </sheetViews>
  <sheetFormatPr defaultColWidth="10.90625" defaultRowHeight="14.5" x14ac:dyDescent="0.35"/>
  <cols>
    <col min="2" max="2" width="39.453125" customWidth="1"/>
    <col min="3" max="3" width="20.1796875" customWidth="1"/>
    <col min="6" max="6" width="12.453125" customWidth="1"/>
  </cols>
  <sheetData>
    <row r="2" spans="2:12" x14ac:dyDescent="0.35">
      <c r="B2" s="1246" t="s">
        <v>1980</v>
      </c>
      <c r="C2" s="1246"/>
      <c r="D2" s="1246"/>
      <c r="E2" s="1246"/>
      <c r="F2" s="1246"/>
      <c r="G2" s="1246"/>
      <c r="H2" s="1246"/>
      <c r="I2" s="1246"/>
      <c r="J2" s="1246"/>
      <c r="K2" s="1246"/>
      <c r="L2" s="1246"/>
    </row>
    <row r="3" spans="2:12" x14ac:dyDescent="0.35">
      <c r="B3" t="str">
        <f>forecast!A1</f>
        <v>name</v>
      </c>
      <c r="C3" t="str">
        <f>forecast!B1</f>
        <v>variable</v>
      </c>
      <c r="D3" t="s">
        <v>176</v>
      </c>
      <c r="E3" t="s">
        <v>177</v>
      </c>
      <c r="F3" t="s">
        <v>763</v>
      </c>
      <c r="G3" t="s">
        <v>764</v>
      </c>
      <c r="H3" t="s">
        <v>765</v>
      </c>
      <c r="I3" t="s">
        <v>1152</v>
      </c>
      <c r="J3" t="s">
        <v>1153</v>
      </c>
      <c r="K3" t="s">
        <v>1154</v>
      </c>
      <c r="L3" t="s">
        <v>1155</v>
      </c>
    </row>
    <row r="4" spans="2:12" x14ac:dyDescent="0.35">
      <c r="B4" t="str">
        <f>forecast!A2</f>
        <v>Consumption Grants</v>
      </c>
      <c r="C4" t="str">
        <f>forecast!B2</f>
        <v>consumption_grants</v>
      </c>
      <c r="D4" s="76">
        <f>forecast!C2</f>
        <v>463.54132570000002</v>
      </c>
      <c r="E4" s="76">
        <f>forecast!D2</f>
        <v>447.08815956920625</v>
      </c>
      <c r="F4" s="76">
        <f>forecast!E2</f>
        <v>442.7962896849757</v>
      </c>
      <c r="G4" s="76">
        <f>forecast!F2</f>
        <v>445.70973999598249</v>
      </c>
      <c r="H4" s="76">
        <f>forecast!G2</f>
        <v>444.7661988000001</v>
      </c>
      <c r="I4" s="76">
        <f>forecast!H2</f>
        <v>447.86348787197454</v>
      </c>
      <c r="J4" s="76">
        <f>forecast!I2</f>
        <v>448.18829579237479</v>
      </c>
      <c r="K4" s="76">
        <f>forecast!J2</f>
        <v>452.34692327582184</v>
      </c>
      <c r="L4" s="76">
        <f>forecast!K2</f>
        <v>454.53667400000006</v>
      </c>
    </row>
    <row r="5" spans="2:12" x14ac:dyDescent="0.35">
      <c r="B5" t="str">
        <f>forecast!A3</f>
        <v>Investment Grants</v>
      </c>
      <c r="C5" t="str">
        <f>forecast!B3</f>
        <v>investment_grants</v>
      </c>
      <c r="D5" s="76">
        <f>forecast!C3</f>
        <v>79.275000000000006</v>
      </c>
      <c r="E5" s="76">
        <f>forecast!D3</f>
        <v>79.275000000000006</v>
      </c>
      <c r="F5" s="76">
        <f>forecast!E3</f>
        <v>75.203000000000003</v>
      </c>
      <c r="G5" s="76">
        <f>forecast!F3</f>
        <v>75.203000000000003</v>
      </c>
      <c r="H5" s="76">
        <f>forecast!G3</f>
        <v>75.203000000000003</v>
      </c>
      <c r="I5" s="76">
        <f>forecast!H3</f>
        <v>75.203000000000003</v>
      </c>
      <c r="J5" s="76">
        <f>forecast!I3</f>
        <v>75.203000000000003</v>
      </c>
      <c r="K5" s="76">
        <f>forecast!J3</f>
        <v>75.203000000000003</v>
      </c>
      <c r="L5" s="76">
        <f>forecast!K3</f>
        <v>75.203000000000003</v>
      </c>
    </row>
    <row r="6" spans="2:12" x14ac:dyDescent="0.35">
      <c r="B6" t="str">
        <f>forecast!A4</f>
        <v>Federal Purchases (NIPA Consistent)</v>
      </c>
      <c r="C6" t="str">
        <f>forecast!B4</f>
        <v>federal_purchases</v>
      </c>
      <c r="D6" s="76">
        <f>forecast!C4</f>
        <v>1922</v>
      </c>
      <c r="E6" s="76">
        <f>forecast!D4</f>
        <v>1915.802138815616</v>
      </c>
      <c r="F6" s="76">
        <f>forecast!E4</f>
        <v>1915.4953797480491</v>
      </c>
      <c r="G6" s="76">
        <f>forecast!F4</f>
        <v>1921.0453042897229</v>
      </c>
      <c r="H6" s="76">
        <f>forecast!G4</f>
        <v>1926.8350422365586</v>
      </c>
      <c r="I6" s="76">
        <f>forecast!H4</f>
        <v>1936.905422868183</v>
      </c>
      <c r="J6" s="76">
        <f>forecast!I4</f>
        <v>1947.3525189394525</v>
      </c>
      <c r="K6" s="76">
        <f>forecast!J4</f>
        <v>1958.5502091242565</v>
      </c>
      <c r="L6" s="76">
        <f>forecast!K4</f>
        <v>1968.5501032900847</v>
      </c>
    </row>
    <row r="7" spans="2:12" x14ac:dyDescent="0.35">
      <c r="B7" t="str">
        <f>forecast!A5</f>
        <v>State Purchases (NIPA Consistent)</v>
      </c>
      <c r="C7" t="str">
        <f>forecast!B5</f>
        <v>state_purchases</v>
      </c>
      <c r="D7" s="76">
        <f>forecast!C5</f>
        <v>3174.7</v>
      </c>
      <c r="E7" s="76">
        <f>forecast!D5</f>
        <v>3204.8018356664493</v>
      </c>
      <c r="F7" s="76">
        <f>forecast!E5</f>
        <v>3231.0611571161521</v>
      </c>
      <c r="G7" s="76">
        <f>forecast!F5</f>
        <v>3260.5896771754583</v>
      </c>
      <c r="H7" s="76">
        <f>forecast!G5</f>
        <v>3291.220602030065</v>
      </c>
      <c r="I7" s="76">
        <f>forecast!H5</f>
        <v>3322.7231616521558</v>
      </c>
      <c r="J7" s="76">
        <f>forecast!I5</f>
        <v>3352.0947052084016</v>
      </c>
      <c r="K7" s="76">
        <f>forecast!J5</f>
        <v>3382.0196706636507</v>
      </c>
      <c r="L7" s="76">
        <f>forecast!K5</f>
        <v>3411.2234432123032</v>
      </c>
    </row>
    <row r="8" spans="2:12" x14ac:dyDescent="0.35">
      <c r="B8" t="str">
        <f>forecast!A6</f>
        <v>Non-ARP Subsidies + ARP Provider Relief and PPP</v>
      </c>
      <c r="C8" t="str">
        <f>forecast!B6</f>
        <v>federal_subsidies</v>
      </c>
      <c r="D8" s="76">
        <f>forecast!C6</f>
        <v>93.900999999999996</v>
      </c>
      <c r="E8" s="76">
        <f>forecast!D6</f>
        <v>93.900999999999996</v>
      </c>
      <c r="F8" s="76">
        <f>forecast!E6</f>
        <v>85.879000000000005</v>
      </c>
      <c r="G8" s="76">
        <f>forecast!F6</f>
        <v>85.879000000000005</v>
      </c>
      <c r="H8" s="76">
        <f>forecast!G6</f>
        <v>90.218000000000004</v>
      </c>
      <c r="I8" s="76">
        <f>forecast!H6</f>
        <v>88.067999999999998</v>
      </c>
      <c r="J8" s="76">
        <f>forecast!I6</f>
        <v>88.067999999999998</v>
      </c>
      <c r="K8" s="76">
        <f>forecast!J6</f>
        <v>88.067999999999998</v>
      </c>
      <c r="L8" s="76">
        <f>forecast!K6</f>
        <v>88.067999999999998</v>
      </c>
    </row>
    <row r="9" spans="2:12" x14ac:dyDescent="0.35">
      <c r="B9" t="str">
        <f>forecast!A7</f>
        <v>ARP Subsidies less Provider Relief and PPP</v>
      </c>
      <c r="C9" t="str">
        <f>forecast!B7</f>
        <v>federal_aid_to_small_businesses_arp</v>
      </c>
      <c r="D9" s="76">
        <f>forecast!C7</f>
        <v>-0.90100000000000025</v>
      </c>
      <c r="E9" s="76">
        <f>forecast!D7</f>
        <v>-0.90100000000000025</v>
      </c>
      <c r="F9" s="76">
        <f>forecast!E7</f>
        <v>-0.90100000000000025</v>
      </c>
      <c r="G9" s="76">
        <f>forecast!F7</f>
        <v>-0.90100000000000025</v>
      </c>
      <c r="H9" s="76">
        <f>forecast!G7</f>
        <v>-2.1500000000000004</v>
      </c>
      <c r="I9" s="76">
        <f>forecast!H7</f>
        <v>0</v>
      </c>
      <c r="J9" s="76">
        <f>forecast!I7</f>
        <v>0</v>
      </c>
      <c r="K9" s="76">
        <f>forecast!J7</f>
        <v>0</v>
      </c>
      <c r="L9" s="76">
        <f>forecast!K7</f>
        <v>0</v>
      </c>
    </row>
    <row r="10" spans="2:12" x14ac:dyDescent="0.35">
      <c r="B10" t="str">
        <f>forecast!A8</f>
        <v>Federal UI</v>
      </c>
      <c r="C10" t="str">
        <f>forecast!B8</f>
        <v>federal_ui</v>
      </c>
      <c r="D10" s="76">
        <f>forecast!C8</f>
        <v>0.39999999999999858</v>
      </c>
      <c r="E10" s="76">
        <f>forecast!D8</f>
        <v>0</v>
      </c>
      <c r="F10" s="76">
        <f>forecast!E8</f>
        <v>0</v>
      </c>
      <c r="G10" s="76">
        <f>forecast!F8</f>
        <v>0</v>
      </c>
      <c r="H10" s="76">
        <f>forecast!G8</f>
        <v>0</v>
      </c>
      <c r="I10" s="76">
        <f>forecast!H8</f>
        <v>0</v>
      </c>
      <c r="J10" s="76">
        <f>forecast!I8</f>
        <v>0</v>
      </c>
      <c r="K10" s="76">
        <f>forecast!J8</f>
        <v>0</v>
      </c>
      <c r="L10" s="76">
        <f>forecast!K8</f>
        <v>0</v>
      </c>
    </row>
    <row r="11" spans="2:12" x14ac:dyDescent="0.35">
      <c r="B11" t="str">
        <f>forecast!A9</f>
        <v>State UI</v>
      </c>
      <c r="C11" t="str">
        <f>forecast!B9</f>
        <v>state_ui</v>
      </c>
      <c r="D11" s="76">
        <f>forecast!C9</f>
        <v>35.700000000000003</v>
      </c>
      <c r="E11" s="76">
        <f>forecast!D9</f>
        <v>35.700000000000003</v>
      </c>
      <c r="F11" s="76">
        <f>forecast!E9</f>
        <v>35.700000000000003</v>
      </c>
      <c r="G11" s="76">
        <f>forecast!F9</f>
        <v>35.700000000000003</v>
      </c>
      <c r="H11" s="76">
        <f>forecast!G9</f>
        <v>35.700000000000003</v>
      </c>
      <c r="I11" s="76">
        <f>forecast!H9</f>
        <v>35.700000000000003</v>
      </c>
      <c r="J11" s="76">
        <f>forecast!I9</f>
        <v>35.700000000000003</v>
      </c>
      <c r="K11" s="76">
        <f>forecast!J9</f>
        <v>35.700000000000003</v>
      </c>
      <c r="L11" s="76">
        <f>forecast!K9</f>
        <v>35.700000000000003</v>
      </c>
    </row>
    <row r="12" spans="2:12" x14ac:dyDescent="0.35">
      <c r="B12" t="str">
        <f>forecast!A10</f>
        <v>Federal Medicaid</v>
      </c>
      <c r="C12" t="str">
        <f>forecast!B10</f>
        <v>medicaid_grants</v>
      </c>
      <c r="D12" s="76">
        <f>forecast!C10</f>
        <v>655.17499999999995</v>
      </c>
      <c r="E12" s="76">
        <f>forecast!D10</f>
        <v>661.27117981628589</v>
      </c>
      <c r="F12" s="76">
        <f>forecast!E10</f>
        <v>674.72576616221306</v>
      </c>
      <c r="G12" s="76">
        <f>forecast!F10</f>
        <v>689.58740069290093</v>
      </c>
      <c r="H12" s="76">
        <f>forecast!G10</f>
        <v>698.87355434841629</v>
      </c>
      <c r="I12" s="76">
        <f>forecast!H10</f>
        <v>709.01587870669846</v>
      </c>
      <c r="J12" s="76">
        <f>forecast!I10</f>
        <v>719.41328954169887</v>
      </c>
      <c r="K12" s="76">
        <f>forecast!J10</f>
        <v>729.99170553910426</v>
      </c>
      <c r="L12" s="76">
        <f>forecast!K10</f>
        <v>740.62183191583563</v>
      </c>
    </row>
    <row r="13" spans="2:12" x14ac:dyDescent="0.35">
      <c r="B13" t="str">
        <f>forecast!A11</f>
        <v>Total Medicaid</v>
      </c>
      <c r="C13" t="str">
        <f>forecast!B11</f>
        <v>medicaid</v>
      </c>
      <c r="D13" s="76">
        <f>forecast!C11</f>
        <v>957.6</v>
      </c>
      <c r="E13" s="76">
        <f>forecast!D11</f>
        <v>967.10719642383469</v>
      </c>
      <c r="F13" s="76">
        <f>forecast!E11</f>
        <v>986.80806321951536</v>
      </c>
      <c r="G13" s="76">
        <f>forecast!F11</f>
        <v>1006.9102548672251</v>
      </c>
      <c r="H13" s="76">
        <f>forecast!G11</f>
        <v>1021.540719904543</v>
      </c>
      <c r="I13" s="76">
        <f>forecast!H11</f>
        <v>1036.383766456622</v>
      </c>
      <c r="J13" s="76">
        <f>forecast!I11</f>
        <v>1051.4424833453349</v>
      </c>
      <c r="K13" s="76">
        <f>forecast!J11</f>
        <v>1066.7200042733177</v>
      </c>
      <c r="L13" s="76">
        <f>forecast!K11</f>
        <v>1082.4599340037141</v>
      </c>
    </row>
    <row r="14" spans="2:12" x14ac:dyDescent="0.35">
      <c r="B14" t="str">
        <f>forecast!A12</f>
        <v>Medicare</v>
      </c>
      <c r="C14" t="str">
        <f>forecast!B12</f>
        <v>medicare</v>
      </c>
      <c r="D14" s="76">
        <f>forecast!C12</f>
        <v>1118.5</v>
      </c>
      <c r="E14" s="76">
        <f>forecast!D12</f>
        <v>1148.7441849890008</v>
      </c>
      <c r="F14" s="76">
        <f>forecast!E12</f>
        <v>1163.3735320395349</v>
      </c>
      <c r="G14" s="76">
        <f>forecast!F12</f>
        <v>1178.1891849690642</v>
      </c>
      <c r="H14" s="76">
        <f>forecast!G12</f>
        <v>1195.8207821959634</v>
      </c>
      <c r="I14" s="76">
        <f>forecast!H12</f>
        <v>1213.7162362166082</v>
      </c>
      <c r="J14" s="76">
        <f>forecast!I12</f>
        <v>1231.8794956470376</v>
      </c>
      <c r="K14" s="76">
        <f>forecast!J12</f>
        <v>1250.3145681943167</v>
      </c>
      <c r="L14" s="76">
        <f>forecast!K12</f>
        <v>1269.1869229993349</v>
      </c>
    </row>
    <row r="15" spans="2:12" x14ac:dyDescent="0.35">
      <c r="B15" t="str">
        <f>forecast!A13</f>
        <v>Non-ARP Rebate Checks</v>
      </c>
      <c r="C15" t="str">
        <f>forecast!B13</f>
        <v>rebate_checks</v>
      </c>
      <c r="D15" s="76">
        <f>forecast!C13</f>
        <v>0</v>
      </c>
      <c r="E15" s="76">
        <f>forecast!D13</f>
        <v>0</v>
      </c>
      <c r="F15" s="76">
        <f>forecast!E13</f>
        <v>0</v>
      </c>
      <c r="G15" s="76">
        <f>forecast!F13</f>
        <v>0</v>
      </c>
      <c r="H15" s="76">
        <f>forecast!G13</f>
        <v>0</v>
      </c>
      <c r="I15" s="76">
        <f>forecast!H13</f>
        <v>0</v>
      </c>
      <c r="J15" s="76">
        <f>forecast!I13</f>
        <v>0</v>
      </c>
      <c r="K15" s="76">
        <f>forecast!J13</f>
        <v>0</v>
      </c>
      <c r="L15" s="76">
        <f>forecast!K13</f>
        <v>0</v>
      </c>
    </row>
    <row r="16" spans="2:12" x14ac:dyDescent="0.35">
      <c r="B16" t="str">
        <f>forecast!A14</f>
        <v>ARP Rebate Checks</v>
      </c>
      <c r="C16" t="str">
        <f>forecast!B14</f>
        <v>rebate_checks_arp</v>
      </c>
      <c r="D16" s="76">
        <f>forecast!C14</f>
        <v>0</v>
      </c>
      <c r="E16" s="76">
        <f>forecast!D14</f>
        <v>0</v>
      </c>
      <c r="F16" s="76">
        <f>forecast!E14</f>
        <v>0</v>
      </c>
      <c r="G16" s="76">
        <f>forecast!F14</f>
        <v>0</v>
      </c>
      <c r="H16" s="76">
        <f>forecast!G14</f>
        <v>0</v>
      </c>
      <c r="I16" s="76">
        <f>forecast!H14</f>
        <v>0</v>
      </c>
      <c r="J16" s="76">
        <f>forecast!I14</f>
        <v>0</v>
      </c>
      <c r="K16" s="76">
        <f>forecast!J14</f>
        <v>0</v>
      </c>
      <c r="L16" s="76">
        <f>forecast!K14</f>
        <v>0</v>
      </c>
    </row>
    <row r="17" spans="2:12" x14ac:dyDescent="0.35">
      <c r="B17" t="str">
        <f>forecast!A15</f>
        <v>ARP Other Vulnerable</v>
      </c>
      <c r="C17" t="str">
        <f>forecast!B15</f>
        <v>federal_other_vulnerable_arp</v>
      </c>
      <c r="D17" s="76">
        <f>forecast!C15</f>
        <v>2.3719999999999999</v>
      </c>
      <c r="E17" s="76">
        <f>forecast!D15</f>
        <v>2.3719999999999999</v>
      </c>
      <c r="F17" s="76">
        <f>forecast!E15</f>
        <v>2.3719999999999999</v>
      </c>
      <c r="G17" s="76">
        <f>forecast!F15</f>
        <v>2.3719999999999999</v>
      </c>
      <c r="H17" s="76">
        <f>forecast!G15</f>
        <v>0.49</v>
      </c>
      <c r="I17" s="76">
        <f>forecast!H15</f>
        <v>0</v>
      </c>
      <c r="J17" s="76">
        <f>forecast!I15</f>
        <v>0</v>
      </c>
      <c r="K17" s="76">
        <f>forecast!J15</f>
        <v>0</v>
      </c>
      <c r="L17" s="76">
        <f>forecast!K15</f>
        <v>0</v>
      </c>
    </row>
    <row r="18" spans="2:12" x14ac:dyDescent="0.35">
      <c r="B18" t="str">
        <f>forecast!A16</f>
        <v xml:space="preserve">ARP Other Direct Aid plus Provider Relief </v>
      </c>
      <c r="C18" t="str">
        <f>forecast!B16</f>
        <v>federal_other_direct_aid_arp</v>
      </c>
      <c r="D18" s="76">
        <f>forecast!C16</f>
        <v>1.63</v>
      </c>
      <c r="E18" s="76">
        <f>forecast!D16</f>
        <v>1.63</v>
      </c>
      <c r="F18" s="76">
        <f>forecast!E16</f>
        <v>1.63</v>
      </c>
      <c r="G18" s="76">
        <f>forecast!F16</f>
        <v>1.63</v>
      </c>
      <c r="H18" s="76">
        <f>forecast!G16</f>
        <v>1.671</v>
      </c>
      <c r="I18" s="76">
        <f>forecast!H16</f>
        <v>0</v>
      </c>
      <c r="J18" s="76">
        <f>forecast!I16</f>
        <v>0</v>
      </c>
      <c r="K18" s="76">
        <f>forecast!J16</f>
        <v>0</v>
      </c>
      <c r="L18" s="76">
        <f>forecast!K16</f>
        <v>0</v>
      </c>
    </row>
    <row r="19" spans="2:12" x14ac:dyDescent="0.35">
      <c r="B19" t="str">
        <f>forecast!A17</f>
        <v>Other Federal Social Benefits (including all SNAP)</v>
      </c>
      <c r="C19" t="str">
        <f>forecast!B17</f>
        <v>federal_social_benefits</v>
      </c>
      <c r="D19" s="76">
        <f>forecast!C17</f>
        <v>2171.4980000000005</v>
      </c>
      <c r="E19" s="76">
        <f>forecast!D17</f>
        <v>2217.0016468750005</v>
      </c>
      <c r="F19" s="76">
        <f>forecast!E17</f>
        <v>2223.7016468750003</v>
      </c>
      <c r="G19" s="76">
        <f>forecast!F17</f>
        <v>2230.4016468750006</v>
      </c>
      <c r="H19" s="76">
        <f>forecast!G17</f>
        <v>2220.8626468750003</v>
      </c>
      <c r="I19" s="76">
        <f>forecast!H17</f>
        <v>2267.9698571678755</v>
      </c>
      <c r="J19" s="76">
        <f>forecast!I17</f>
        <v>2273.9418571678752</v>
      </c>
      <c r="K19" s="76">
        <f>forecast!J17</f>
        <v>2281.6418571678755</v>
      </c>
      <c r="L19" s="76">
        <f>forecast!K17</f>
        <v>2289.3418571678753</v>
      </c>
    </row>
    <row r="20" spans="2:12" x14ac:dyDescent="0.35">
      <c r="B20" t="str">
        <f>forecast!A18</f>
        <v>State Social Benefits ex Medicaid</v>
      </c>
      <c r="C20" t="str">
        <f>forecast!B18</f>
        <v>state_social_benefits</v>
      </c>
      <c r="D20" s="76">
        <f>forecast!C18</f>
        <v>224.74365842066501</v>
      </c>
      <c r="E20" s="76">
        <f>forecast!D18</f>
        <v>228.02904740969223</v>
      </c>
      <c r="F20" s="76">
        <f>forecast!E18</f>
        <v>231.36246347492295</v>
      </c>
      <c r="G20" s="76">
        <f>forecast!F18</f>
        <v>234.7446086945757</v>
      </c>
      <c r="H20" s="76">
        <f>forecast!G18</f>
        <v>238.17619541011769</v>
      </c>
      <c r="I20" s="76">
        <f>forecast!H18</f>
        <v>241.65794637629688</v>
      </c>
      <c r="J20" s="76">
        <f>forecast!I18</f>
        <v>245.19059491336728</v>
      </c>
      <c r="K20" s="76">
        <f>forecast!J18</f>
        <v>248.77488506153966</v>
      </c>
      <c r="L20" s="76">
        <f>forecast!K18</f>
        <v>252.41157173768991</v>
      </c>
    </row>
    <row r="21" spans="2:12" x14ac:dyDescent="0.35">
      <c r="B21" t="str">
        <f>forecast!A19</f>
        <v>Federal Non-Corporate Taxes</v>
      </c>
      <c r="C21" t="str">
        <f>forecast!B19</f>
        <v>federal_non_corporate_taxes</v>
      </c>
      <c r="D21" s="76">
        <f>forecast!C19</f>
        <v>4526.3</v>
      </c>
      <c r="E21" s="76">
        <f>forecast!D19</f>
        <v>4599.0105611712625</v>
      </c>
      <c r="F21" s="76">
        <f>forecast!E19</f>
        <v>4622.1524984238076</v>
      </c>
      <c r="G21" s="76">
        <f>forecast!F19</f>
        <v>4645.5079910034628</v>
      </c>
      <c r="H21" s="76">
        <f>forecast!G19</f>
        <v>4669.0771571723008</v>
      </c>
      <c r="I21" s="76">
        <f>forecast!H19</f>
        <v>4788.2914768467372</v>
      </c>
      <c r="J21" s="76">
        <f>forecast!I19</f>
        <v>4821.1492369319667</v>
      </c>
      <c r="K21" s="76">
        <f>forecast!J19</f>
        <v>4854.3793911032208</v>
      </c>
      <c r="L21" s="76">
        <f>forecast!K19</f>
        <v>4887.9843671003364</v>
      </c>
    </row>
    <row r="22" spans="2:12" x14ac:dyDescent="0.35">
      <c r="B22" t="str">
        <f>forecast!A20</f>
        <v>State Non-Corporate Taxes</v>
      </c>
      <c r="C22" t="str">
        <f>forecast!B20</f>
        <v>state_non_corporate_taxes</v>
      </c>
      <c r="D22" s="76">
        <f>forecast!C20</f>
        <v>2515.1</v>
      </c>
      <c r="E22" s="76">
        <f>forecast!D20</f>
        <v>2529.5589829253236</v>
      </c>
      <c r="F22" s="76">
        <f>forecast!E20</f>
        <v>2561.0084048096087</v>
      </c>
      <c r="G22" s="76">
        <f>forecast!F20</f>
        <v>2588.0171269112202</v>
      </c>
      <c r="H22" s="76">
        <f>forecast!G20</f>
        <v>2614.6227545214915</v>
      </c>
      <c r="I22" s="76">
        <f>forecast!H20</f>
        <v>2639.0918076692415</v>
      </c>
      <c r="J22" s="76">
        <f>forecast!I20</f>
        <v>2664.5448600858349</v>
      </c>
      <c r="K22" s="76">
        <f>forecast!J20</f>
        <v>2687.7830381403919</v>
      </c>
      <c r="L22" s="76">
        <f>forecast!K20</f>
        <v>2712.9491476976059</v>
      </c>
    </row>
    <row r="23" spans="2:12" x14ac:dyDescent="0.35">
      <c r="B23" t="str">
        <f>forecast!A21</f>
        <v>Federal Corporate Taxes</v>
      </c>
      <c r="C23" t="str">
        <f>forecast!B21</f>
        <v>federal_corporate_taxes</v>
      </c>
      <c r="D23" s="76">
        <f>forecast!C21</f>
        <v>509.33275515835334</v>
      </c>
      <c r="E23" s="76">
        <f>forecast!D21</f>
        <v>526.09988942851157</v>
      </c>
      <c r="F23" s="76">
        <f>forecast!E21</f>
        <v>543.41899446588684</v>
      </c>
      <c r="G23" s="76">
        <f>forecast!F21</f>
        <v>561.30824103973248</v>
      </c>
      <c r="H23" s="76">
        <f>forecast!G21</f>
        <v>557.83998786013478</v>
      </c>
      <c r="I23" s="76">
        <f>forecast!H21</f>
        <v>554.39316458168287</v>
      </c>
      <c r="J23" s="76">
        <f>forecast!I21</f>
        <v>550.96763879170692</v>
      </c>
      <c r="K23" s="76">
        <f>forecast!J21</f>
        <v>547.56327889569843</v>
      </c>
      <c r="L23" s="76">
        <f>forecast!K21</f>
        <v>544.17995411225468</v>
      </c>
    </row>
    <row r="24" spans="2:12" x14ac:dyDescent="0.35">
      <c r="B24" t="str">
        <f>forecast!A22</f>
        <v>State Corporate Taxes</v>
      </c>
      <c r="C24" s="56" t="str">
        <f>forecast!B22</f>
        <v>state_corporate_taxes</v>
      </c>
      <c r="D24" s="76">
        <f>forecast!C22</f>
        <v>163.32474965084836</v>
      </c>
      <c r="E24" s="76">
        <f>forecast!D22</f>
        <v>163.75959944135735</v>
      </c>
      <c r="F24" s="76">
        <f>forecast!E22</f>
        <v>163.69195614061152</v>
      </c>
      <c r="G24" s="76">
        <f>forecast!F22</f>
        <v>163.83207440644219</v>
      </c>
      <c r="H24" s="76">
        <f>forecast!G22</f>
        <v>163.74993611267939</v>
      </c>
      <c r="I24" s="76">
        <f>forecast!H22</f>
        <v>163.94803435057793</v>
      </c>
      <c r="J24" s="76">
        <f>forecast!I22</f>
        <v>164.27175586129019</v>
      </c>
      <c r="K24" s="76">
        <f>forecast!J22</f>
        <v>164.10747927376457</v>
      </c>
      <c r="L24" s="76">
        <f>forecast!K22</f>
        <v>164.30557751166313</v>
      </c>
    </row>
    <row r="25" spans="2:12" x14ac:dyDescent="0.35">
      <c r="B25" s="56" t="str">
        <f>forecast!A23</f>
        <v>Federal Student Loans</v>
      </c>
      <c r="C25" s="56" t="str">
        <f>forecast!B23</f>
        <v>federal_student_loans</v>
      </c>
      <c r="D25" s="76">
        <f>forecast!C23</f>
        <v>2.6498349999999999</v>
      </c>
      <c r="E25" s="76">
        <f>forecast!D23</f>
        <v>2.6454420000000001</v>
      </c>
      <c r="F25" s="76">
        <f>forecast!E23</f>
        <v>2.6696</v>
      </c>
      <c r="G25" s="76">
        <f>forecast!F23</f>
        <v>2.693006</v>
      </c>
      <c r="H25" s="76">
        <f>forecast!G23</f>
        <v>2.7175400000000001</v>
      </c>
      <c r="I25" s="76">
        <f>forecast!H23</f>
        <v>2.7175400000000001</v>
      </c>
      <c r="J25" s="76">
        <f>forecast!I23</f>
        <v>2.7175400000000001</v>
      </c>
      <c r="K25" s="76">
        <f>forecast!J23</f>
        <v>0</v>
      </c>
      <c r="L25" s="76">
        <f>forecast!K23</f>
        <v>0</v>
      </c>
    </row>
    <row r="26" spans="2:12" x14ac:dyDescent="0.35">
      <c r="B26" s="56"/>
      <c r="C26" s="56"/>
      <c r="D26" s="76"/>
      <c r="E26" s="76"/>
      <c r="F26" s="76"/>
    </row>
    <row r="27" spans="2:12" x14ac:dyDescent="0.35">
      <c r="B27" s="72" t="s">
        <v>1890</v>
      </c>
      <c r="C27" s="56"/>
      <c r="D27" s="76"/>
      <c r="E27" s="76"/>
      <c r="F27" s="76"/>
    </row>
    <row r="28" spans="2:12" x14ac:dyDescent="0.35">
      <c r="B28" s="56" t="s">
        <v>1704</v>
      </c>
      <c r="C28" s="56"/>
      <c r="D28" s="80">
        <f>Deflators!AB45</f>
        <v>2.2688029589659209E-2</v>
      </c>
      <c r="E28" s="80">
        <f>Deflators!AC45</f>
        <v>2.2158368307400821E-2</v>
      </c>
      <c r="F28" s="80">
        <f>Deflators!AD45</f>
        <v>2.1483635680919155E-2</v>
      </c>
      <c r="G28" s="80">
        <f>Deflators!AE45</f>
        <v>2.0974932014508629E-2</v>
      </c>
      <c r="H28" s="80">
        <f>Deflators!AF45</f>
        <v>2.1111392938697359E-2</v>
      </c>
      <c r="I28" s="80">
        <f>Deflators!AG45</f>
        <v>2.0569131944638507E-2</v>
      </c>
      <c r="J28" s="80">
        <f>Deflators!AH45</f>
        <v>2.037795778240481E-2</v>
      </c>
      <c r="K28" s="80">
        <f>Deflators!AI45</f>
        <v>2.031319568771961E-2</v>
      </c>
      <c r="L28" s="80">
        <f>Deflators!AJ45</f>
        <v>2.0411174157790368E-2</v>
      </c>
    </row>
    <row r="29" spans="2:12" x14ac:dyDescent="0.35">
      <c r="B29" s="56" t="s">
        <v>1705</v>
      </c>
      <c r="C29" s="56"/>
      <c r="D29" s="80">
        <f>Deflators!AB48</f>
        <v>2.8359902568902751E-2</v>
      </c>
      <c r="E29" s="80">
        <f>Deflators!AC48</f>
        <v>1.8718659374028279E-2</v>
      </c>
      <c r="F29" s="80">
        <f>Deflators!AD46</f>
        <v>2.1483635680919155E-2</v>
      </c>
      <c r="G29" s="80">
        <f>Deflators!AE46</f>
        <v>2.187493201450863E-2</v>
      </c>
      <c r="H29" s="80">
        <f>Deflators!AF46</f>
        <v>2.2011392938697361E-2</v>
      </c>
      <c r="I29" s="80">
        <f>Deflators!AG46</f>
        <v>2.1469131944638509E-2</v>
      </c>
      <c r="J29" s="80">
        <f>Deflators!AH46</f>
        <v>2.037795778240481E-2</v>
      </c>
      <c r="K29" s="80">
        <f>Deflators!AI46</f>
        <v>2.031319568771961E-2</v>
      </c>
      <c r="L29" s="80">
        <f>Deflators!AJ46</f>
        <v>2.0411174157790368E-2</v>
      </c>
    </row>
    <row r="30" spans="2:12" x14ac:dyDescent="0.35">
      <c r="B30" s="56" t="s">
        <v>1706</v>
      </c>
      <c r="C30" s="56"/>
      <c r="D30" s="80">
        <f>Deflators!AB49</f>
        <v>2.1846140025559402E-2</v>
      </c>
      <c r="E30" s="80">
        <f>Deflators!AC49</f>
        <v>3.0746187880333675E-2</v>
      </c>
      <c r="F30" s="80">
        <f>Deflators!AD47</f>
        <v>0</v>
      </c>
      <c r="G30" s="80">
        <f>Deflators!AE47</f>
        <v>-8.9999999999999998E-4</v>
      </c>
      <c r="H30" s="80">
        <f>Deflators!AF47</f>
        <v>-8.9999999999999998E-4</v>
      </c>
      <c r="I30" s="80">
        <f>Deflators!AG47</f>
        <v>-8.9999999999999998E-4</v>
      </c>
      <c r="J30" s="80">
        <f>Deflators!AH47</f>
        <v>0</v>
      </c>
      <c r="K30" s="80">
        <f>Deflators!AI47</f>
        <v>0</v>
      </c>
      <c r="L30" s="80">
        <f>Deflators!AJ47</f>
        <v>0</v>
      </c>
    </row>
    <row r="31" spans="2:12" x14ac:dyDescent="0.35">
      <c r="B31" s="56" t="s">
        <v>1707</v>
      </c>
      <c r="C31" s="56"/>
      <c r="D31" s="80">
        <f>Deflators!AB51</f>
        <v>2.3387020619908716E-2</v>
      </c>
      <c r="E31" s="80">
        <f>Deflators!AC51</f>
        <v>3.0746187880333675E-2</v>
      </c>
      <c r="F31" s="80">
        <f>Deflators!AD48</f>
        <v>1.5299895562953081E-2</v>
      </c>
      <c r="G31" s="80">
        <f>Deflators!AE48</f>
        <v>1.4729668703095777E-2</v>
      </c>
      <c r="H31" s="80">
        <f>Deflators!AF48</f>
        <v>1.5119603614899724E-2</v>
      </c>
      <c r="I31" s="80">
        <f>Deflators!AG48</f>
        <v>2.1515602617293128E-2</v>
      </c>
      <c r="J31" s="80">
        <f>Deflators!AH48</f>
        <v>2.2790850007197161E-2</v>
      </c>
      <c r="K31" s="80">
        <f>Deflators!AI48</f>
        <v>2.3263295207157642E-2</v>
      </c>
      <c r="L31" s="80">
        <f>Deflators!AJ48</f>
        <v>2.3889685874715294E-2</v>
      </c>
    </row>
    <row r="32" spans="2:12" x14ac:dyDescent="0.35">
      <c r="B32" s="56" t="s">
        <v>1708</v>
      </c>
      <c r="C32" s="56"/>
      <c r="D32" s="80">
        <f>Deflators!AB52</f>
        <v>1.5613414603821152E-2</v>
      </c>
      <c r="E32" s="80">
        <f>Deflators!AC52</f>
        <v>3.0746187880333675E-2</v>
      </c>
      <c r="F32" s="80">
        <f>Deflators!AD49</f>
        <v>2.8606309371189242E-2</v>
      </c>
      <c r="G32" s="80">
        <f>Deflators!AE49</f>
        <v>3.1343868352262882E-2</v>
      </c>
      <c r="H32" s="80">
        <f>Deflators!AF49</f>
        <v>3.2394354805230341E-2</v>
      </c>
      <c r="I32" s="80">
        <f>Deflators!AG49</f>
        <v>3.3164637629816696E-2</v>
      </c>
      <c r="J32" s="80">
        <f>Deflators!AH49</f>
        <v>3.1425713898589613E-2</v>
      </c>
      <c r="K32" s="80">
        <f>Deflators!AI49</f>
        <v>3.1013053419121528E-2</v>
      </c>
      <c r="L32" s="80">
        <f>Deflators!AJ49</f>
        <v>3.1015398756455648E-2</v>
      </c>
    </row>
    <row r="34" spans="2:12" x14ac:dyDescent="0.35">
      <c r="B34" s="1246" t="s">
        <v>1962</v>
      </c>
      <c r="C34" s="1246"/>
      <c r="D34" s="1246"/>
      <c r="E34" s="1246"/>
      <c r="F34" s="1246"/>
      <c r="G34" s="1246"/>
      <c r="H34" s="1246"/>
      <c r="I34" s="1246"/>
      <c r="J34" s="1246"/>
      <c r="K34" s="1246"/>
      <c r="L34" s="1246"/>
    </row>
    <row r="35" spans="2:12" x14ac:dyDescent="0.35">
      <c r="B35" t="s">
        <v>178</v>
      </c>
      <c r="C35" t="s">
        <v>179</v>
      </c>
      <c r="D35" t="s">
        <v>176</v>
      </c>
      <c r="E35" t="s">
        <v>177</v>
      </c>
      <c r="F35" t="s">
        <v>763</v>
      </c>
      <c r="G35" t="s">
        <v>764</v>
      </c>
      <c r="H35" t="s">
        <v>765</v>
      </c>
      <c r="I35" t="s">
        <v>1152</v>
      </c>
      <c r="J35" t="s">
        <v>1153</v>
      </c>
      <c r="K35" t="s">
        <v>1154</v>
      </c>
    </row>
    <row r="36" spans="2:12" x14ac:dyDescent="0.35">
      <c r="B36" t="s">
        <v>192</v>
      </c>
      <c r="C36" t="s">
        <v>193</v>
      </c>
      <c r="D36" s="76">
        <v>467.08702588368681</v>
      </c>
      <c r="E36" s="76">
        <v>450.66879697830359</v>
      </c>
      <c r="F36">
        <v>446.4122085701693</v>
      </c>
      <c r="G36">
        <v>449.361288</v>
      </c>
      <c r="H36">
        <v>448.45372699103427</v>
      </c>
      <c r="I36">
        <v>451.58735077743574</v>
      </c>
      <c r="J36">
        <v>451.94885143297614</v>
      </c>
      <c r="K36">
        <v>456.14453320000007</v>
      </c>
    </row>
    <row r="37" spans="2:12" x14ac:dyDescent="0.35">
      <c r="B37" t="s">
        <v>134</v>
      </c>
      <c r="C37" t="s">
        <v>194</v>
      </c>
      <c r="D37" s="76">
        <v>79.275000000000006</v>
      </c>
      <c r="E37" s="76">
        <v>79.275000000000006</v>
      </c>
      <c r="F37">
        <v>75.203000000000003</v>
      </c>
      <c r="G37">
        <v>75.203000000000003</v>
      </c>
      <c r="H37">
        <v>75.203000000000003</v>
      </c>
      <c r="I37">
        <v>75.203000000000003</v>
      </c>
      <c r="J37">
        <v>75.203000000000003</v>
      </c>
      <c r="K37">
        <v>75.203000000000003</v>
      </c>
    </row>
    <row r="38" spans="2:12" x14ac:dyDescent="0.35">
      <c r="B38" t="s">
        <v>195</v>
      </c>
      <c r="C38" t="s">
        <v>196</v>
      </c>
      <c r="D38" s="76">
        <v>1885.0932092153364</v>
      </c>
      <c r="E38" s="76">
        <v>1907.3318350055031</v>
      </c>
      <c r="F38">
        <v>1930.4539814256966</v>
      </c>
      <c r="G38">
        <v>1954.1589232689989</v>
      </c>
      <c r="H38">
        <v>1968.1128918813563</v>
      </c>
      <c r="I38">
        <v>1980.7151810614209</v>
      </c>
      <c r="J38">
        <v>1995.6774527229115</v>
      </c>
      <c r="K38">
        <v>2009.4002299861645</v>
      </c>
    </row>
    <row r="39" spans="2:12" x14ac:dyDescent="0.35">
      <c r="B39" t="s">
        <v>197</v>
      </c>
      <c r="C39" t="s">
        <v>198</v>
      </c>
      <c r="D39" s="76">
        <v>3170.3109386382257</v>
      </c>
      <c r="E39" s="76">
        <v>3198.0032393742736</v>
      </c>
      <c r="F39">
        <v>3225.8283761090424</v>
      </c>
      <c r="G39">
        <v>3252.6455224534429</v>
      </c>
      <c r="H39">
        <v>3279.4396827123614</v>
      </c>
      <c r="I39">
        <v>3307.3501194237215</v>
      </c>
      <c r="J39">
        <v>3334.8772388373573</v>
      </c>
      <c r="K39">
        <v>3362.7147882765516</v>
      </c>
    </row>
    <row r="40" spans="2:12" x14ac:dyDescent="0.35">
      <c r="B40" t="s">
        <v>199</v>
      </c>
      <c r="C40" t="s">
        <v>200</v>
      </c>
      <c r="D40" s="76">
        <v>97.833999999999989</v>
      </c>
      <c r="E40" s="76">
        <v>97.833999999999989</v>
      </c>
      <c r="F40">
        <v>89.811999999999998</v>
      </c>
      <c r="G40">
        <v>89.811999999999998</v>
      </c>
      <c r="H40">
        <v>94.150999999999996</v>
      </c>
      <c r="I40">
        <v>92.000999999999991</v>
      </c>
      <c r="J40">
        <v>92.000999999999991</v>
      </c>
      <c r="K40">
        <v>92.000999999999991</v>
      </c>
    </row>
    <row r="41" spans="2:12" x14ac:dyDescent="0.35">
      <c r="B41" t="s">
        <v>201</v>
      </c>
      <c r="C41" t="s">
        <v>202</v>
      </c>
      <c r="D41" s="76">
        <v>-0.90100000000000025</v>
      </c>
      <c r="E41" s="76">
        <v>-0.90100000000000025</v>
      </c>
      <c r="F41">
        <v>-0.90100000000000025</v>
      </c>
      <c r="G41">
        <v>-0.90100000000000025</v>
      </c>
      <c r="H41">
        <v>-2.1500000000000004</v>
      </c>
      <c r="I41">
        <v>0</v>
      </c>
      <c r="J41">
        <v>0</v>
      </c>
      <c r="K41">
        <v>0</v>
      </c>
    </row>
    <row r="42" spans="2:12" x14ac:dyDescent="0.35">
      <c r="B42" t="s">
        <v>203</v>
      </c>
      <c r="C42" t="s">
        <v>204</v>
      </c>
      <c r="D42" s="76">
        <v>0</v>
      </c>
      <c r="E42" s="76">
        <v>0</v>
      </c>
      <c r="F42">
        <v>0</v>
      </c>
      <c r="G42">
        <v>0</v>
      </c>
      <c r="H42">
        <v>0</v>
      </c>
      <c r="I42">
        <v>0</v>
      </c>
      <c r="J42">
        <v>0</v>
      </c>
      <c r="K42">
        <v>0</v>
      </c>
    </row>
    <row r="43" spans="2:12" x14ac:dyDescent="0.35">
      <c r="B43" t="s">
        <v>205</v>
      </c>
      <c r="C43" t="s">
        <v>206</v>
      </c>
      <c r="D43" s="76">
        <v>35.700000000000003</v>
      </c>
      <c r="E43" s="76">
        <v>35.700000000000003</v>
      </c>
      <c r="F43">
        <v>35.700000000000003</v>
      </c>
      <c r="G43">
        <v>35.700000000000003</v>
      </c>
      <c r="H43">
        <v>35.700000000000003</v>
      </c>
      <c r="I43">
        <v>35.700000000000003</v>
      </c>
      <c r="J43">
        <v>35.700000000000003</v>
      </c>
      <c r="K43">
        <v>35.700000000000003</v>
      </c>
    </row>
    <row r="44" spans="2:12" x14ac:dyDescent="0.35">
      <c r="B44" t="s">
        <v>207</v>
      </c>
      <c r="C44" t="s">
        <v>208</v>
      </c>
      <c r="D44" s="76">
        <v>662.6477596516437</v>
      </c>
      <c r="E44" s="76">
        <v>660.72476036160413</v>
      </c>
      <c r="F44">
        <v>664.98690903372062</v>
      </c>
      <c r="G44">
        <v>670.63426102315532</v>
      </c>
      <c r="H44">
        <v>679.25009316880903</v>
      </c>
      <c r="I44">
        <v>683.77956772033281</v>
      </c>
      <c r="J44">
        <v>688.33007436682863</v>
      </c>
      <c r="K44">
        <v>692.9017107684142</v>
      </c>
    </row>
    <row r="45" spans="2:12" x14ac:dyDescent="0.35">
      <c r="B45" t="s">
        <v>209</v>
      </c>
      <c r="C45" t="s">
        <v>210</v>
      </c>
      <c r="D45" s="76">
        <v>963.53262693698684</v>
      </c>
      <c r="E45" s="76">
        <v>960.73646180922151</v>
      </c>
      <c r="F45">
        <v>966.93390116765113</v>
      </c>
      <c r="G45">
        <v>975.14551558626545</v>
      </c>
      <c r="H45">
        <v>987.67349181441125</v>
      </c>
      <c r="I45">
        <v>994.25964026161682</v>
      </c>
      <c r="J45">
        <v>1000.8763707328663</v>
      </c>
      <c r="K45">
        <v>1007.5238252322767</v>
      </c>
    </row>
    <row r="46" spans="2:12" x14ac:dyDescent="0.35">
      <c r="B46" t="s">
        <v>55</v>
      </c>
      <c r="C46" t="s">
        <v>211</v>
      </c>
      <c r="D46" s="76">
        <v>1116.0159349148526</v>
      </c>
      <c r="E46" s="76">
        <v>1130.1590311547368</v>
      </c>
      <c r="F46">
        <v>1144.4813606519542</v>
      </c>
      <c r="G46">
        <v>1158.9851948016783</v>
      </c>
      <c r="H46">
        <v>1177.2271936647621</v>
      </c>
      <c r="I46">
        <v>1195.7563148517663</v>
      </c>
      <c r="J46">
        <v>1214.5770775620128</v>
      </c>
      <c r="K46">
        <v>1233.6940721253518</v>
      </c>
    </row>
    <row r="47" spans="2:12" x14ac:dyDescent="0.35">
      <c r="B47" t="s">
        <v>212</v>
      </c>
      <c r="C47" t="s">
        <v>213</v>
      </c>
      <c r="D47" s="76">
        <v>0</v>
      </c>
      <c r="E47" s="76">
        <v>0</v>
      </c>
      <c r="F47">
        <v>0</v>
      </c>
      <c r="G47">
        <v>0</v>
      </c>
      <c r="H47">
        <v>0</v>
      </c>
      <c r="I47">
        <v>0</v>
      </c>
      <c r="J47">
        <v>0</v>
      </c>
      <c r="K47">
        <v>0</v>
      </c>
    </row>
    <row r="48" spans="2:12" x14ac:dyDescent="0.35">
      <c r="B48" t="s">
        <v>214</v>
      </c>
      <c r="C48" t="s">
        <v>215</v>
      </c>
      <c r="D48" s="76">
        <v>0</v>
      </c>
      <c r="E48" s="76">
        <v>0</v>
      </c>
      <c r="F48">
        <v>0</v>
      </c>
      <c r="G48">
        <v>0</v>
      </c>
      <c r="H48">
        <v>0</v>
      </c>
      <c r="I48">
        <v>0</v>
      </c>
      <c r="J48">
        <v>0</v>
      </c>
      <c r="K48">
        <v>0</v>
      </c>
    </row>
    <row r="49" spans="2:12" x14ac:dyDescent="0.35">
      <c r="B49" t="s">
        <v>216</v>
      </c>
      <c r="C49" t="s">
        <v>217</v>
      </c>
      <c r="D49" s="76">
        <v>2.3719999999999999</v>
      </c>
      <c r="E49" s="76">
        <v>2.3719999999999999</v>
      </c>
      <c r="F49">
        <v>2.3719999999999999</v>
      </c>
      <c r="G49">
        <v>2.3719999999999999</v>
      </c>
      <c r="H49">
        <v>0.49</v>
      </c>
      <c r="I49">
        <v>0</v>
      </c>
      <c r="J49">
        <v>0</v>
      </c>
      <c r="K49">
        <v>0</v>
      </c>
    </row>
    <row r="50" spans="2:12" x14ac:dyDescent="0.35">
      <c r="B50" t="s">
        <v>795</v>
      </c>
      <c r="C50" t="s">
        <v>219</v>
      </c>
      <c r="D50" s="76">
        <v>1.63</v>
      </c>
      <c r="E50" s="76">
        <v>1.63</v>
      </c>
      <c r="F50">
        <v>1.63</v>
      </c>
      <c r="G50">
        <v>1.63</v>
      </c>
      <c r="H50">
        <v>1.671</v>
      </c>
      <c r="I50">
        <v>0</v>
      </c>
      <c r="J50">
        <v>0</v>
      </c>
      <c r="K50">
        <v>0</v>
      </c>
    </row>
    <row r="51" spans="2:12" x14ac:dyDescent="0.35">
      <c r="B51" t="s">
        <v>220</v>
      </c>
      <c r="C51" t="s">
        <v>221</v>
      </c>
      <c r="D51" s="76">
        <v>2160.4270000000001</v>
      </c>
      <c r="E51" s="76">
        <v>2201.9922664730002</v>
      </c>
      <c r="F51">
        <v>2208.692266473</v>
      </c>
      <c r="G51">
        <v>2215.3922664730003</v>
      </c>
      <c r="H51">
        <v>2205.8532664730001</v>
      </c>
      <c r="I51">
        <v>2249.6242390748794</v>
      </c>
      <c r="J51">
        <v>2255.5962390748791</v>
      </c>
      <c r="K51">
        <v>2263.2962390748794</v>
      </c>
    </row>
    <row r="52" spans="2:12" x14ac:dyDescent="0.35">
      <c r="B52" t="s">
        <v>222</v>
      </c>
      <c r="C52" t="s">
        <v>223</v>
      </c>
      <c r="D52" s="76">
        <v>224.74365842066501</v>
      </c>
      <c r="E52" s="76">
        <v>228.02904740969223</v>
      </c>
      <c r="F52">
        <v>231.36246347492295</v>
      </c>
      <c r="G52">
        <v>234.7446086945757</v>
      </c>
      <c r="H52">
        <v>238.17619541011769</v>
      </c>
      <c r="I52">
        <v>241.65794637629688</v>
      </c>
      <c r="J52">
        <v>245.19059491336728</v>
      </c>
      <c r="K52">
        <v>248.77488506153966</v>
      </c>
    </row>
    <row r="53" spans="2:12" x14ac:dyDescent="0.35">
      <c r="B53" t="s">
        <v>224</v>
      </c>
      <c r="C53" t="s">
        <v>225</v>
      </c>
      <c r="D53" s="76">
        <v>4514.7467477420578</v>
      </c>
      <c r="E53" s="76">
        <v>4587.8614455166526</v>
      </c>
      <c r="F53">
        <v>4619.5752357044403</v>
      </c>
      <c r="G53">
        <v>4651.5360869575125</v>
      </c>
      <c r="H53">
        <v>4683.7461880210403</v>
      </c>
      <c r="I53">
        <v>4766.139479922811</v>
      </c>
      <c r="J53">
        <v>4799.1025429635465</v>
      </c>
      <c r="K53">
        <v>4832.3227850690155</v>
      </c>
    </row>
    <row r="54" spans="2:12" x14ac:dyDescent="0.35">
      <c r="B54" t="s">
        <v>226</v>
      </c>
      <c r="C54" t="s">
        <v>227</v>
      </c>
      <c r="D54" s="76">
        <v>2515.3523985011648</v>
      </c>
      <c r="E54" s="76">
        <v>2541.3899402951497</v>
      </c>
      <c r="F54">
        <v>2567.3565753812968</v>
      </c>
      <c r="G54">
        <v>2592.3180507242082</v>
      </c>
      <c r="H54">
        <v>2616.9704348121568</v>
      </c>
      <c r="I54">
        <v>2639.0484963827025</v>
      </c>
      <c r="J54">
        <v>2661.984349067006</v>
      </c>
      <c r="K54">
        <v>2685.4294309358852</v>
      </c>
    </row>
    <row r="55" spans="2:12" x14ac:dyDescent="0.35">
      <c r="B55" t="s">
        <v>228</v>
      </c>
      <c r="C55" t="s">
        <v>229</v>
      </c>
      <c r="D55" s="76">
        <v>503.00273841614586</v>
      </c>
      <c r="E55" s="76">
        <v>513.10434973462111</v>
      </c>
      <c r="F55">
        <v>523.40882784374412</v>
      </c>
      <c r="G55">
        <v>533.92024683956265</v>
      </c>
      <c r="H55">
        <v>532.57202480825174</v>
      </c>
      <c r="I55">
        <v>531.22720722293525</v>
      </c>
      <c r="J55">
        <v>529.88578548691908</v>
      </c>
      <c r="K55">
        <v>528.54775102521671</v>
      </c>
    </row>
    <row r="56" spans="2:12" x14ac:dyDescent="0.35">
      <c r="B56" t="s">
        <v>230</v>
      </c>
      <c r="C56" s="56" t="s">
        <v>231</v>
      </c>
      <c r="D56" s="76">
        <v>163.15466849793015</v>
      </c>
      <c r="E56" s="76">
        <v>164.64893931448725</v>
      </c>
      <c r="F56">
        <v>166.13773661156984</v>
      </c>
      <c r="G56">
        <v>167.08465548067014</v>
      </c>
      <c r="H56">
        <v>167.16675827278866</v>
      </c>
      <c r="I56">
        <v>166.4333066631965</v>
      </c>
      <c r="J56">
        <v>166.31288923475603</v>
      </c>
      <c r="K56">
        <v>166.75624431219603</v>
      </c>
    </row>
    <row r="57" spans="2:12" x14ac:dyDescent="0.35">
      <c r="B57" s="56" t="s">
        <v>1380</v>
      </c>
      <c r="C57" s="56" t="s">
        <v>1379</v>
      </c>
      <c r="D57" s="76">
        <v>2.6498349999999999</v>
      </c>
      <c r="E57" s="76">
        <v>2.6454420000000001</v>
      </c>
      <c r="F57">
        <v>2.6696</v>
      </c>
      <c r="G57">
        <v>2.693006</v>
      </c>
      <c r="H57">
        <v>2.7175400000000001</v>
      </c>
      <c r="I57">
        <v>2.7175400000000001</v>
      </c>
      <c r="J57">
        <v>2.7175400000000001</v>
      </c>
      <c r="K57">
        <v>0</v>
      </c>
    </row>
    <row r="58" spans="2:12" x14ac:dyDescent="0.35">
      <c r="B58" s="56"/>
      <c r="C58" s="56"/>
      <c r="D58" s="76"/>
    </row>
    <row r="59" spans="2:12" x14ac:dyDescent="0.35">
      <c r="B59" s="72" t="s">
        <v>1890</v>
      </c>
      <c r="C59" s="56"/>
    </row>
    <row r="60" spans="2:12" x14ac:dyDescent="0.35">
      <c r="B60" s="56" t="s">
        <v>1704</v>
      </c>
      <c r="C60" s="56"/>
      <c r="D60" s="80">
        <v>1.5403536594506217E-2</v>
      </c>
      <c r="E60" s="80">
        <v>2.0985836297992499E-2</v>
      </c>
      <c r="F60" s="77">
        <v>2.089603364592264E-2</v>
      </c>
      <c r="G60" s="77">
        <v>2.0776747995004643E-2</v>
      </c>
      <c r="H60" s="77">
        <v>2.0708760783051394E-2</v>
      </c>
      <c r="I60">
        <v>2.0110814282412459E-2</v>
      </c>
      <c r="J60">
        <v>1.9760549063349009E-2</v>
      </c>
      <c r="K60">
        <v>1.9516602813602013E-2</v>
      </c>
      <c r="L60">
        <v>1.931367329950362E-2</v>
      </c>
    </row>
    <row r="61" spans="2:12" x14ac:dyDescent="0.35">
      <c r="B61" s="56" t="s">
        <v>1705</v>
      </c>
      <c r="C61" s="56"/>
      <c r="D61" s="80">
        <v>2.4481644318991469E-2</v>
      </c>
      <c r="E61" s="80">
        <v>2.5438723088733628E-2</v>
      </c>
      <c r="F61" s="77">
        <v>2.2377163912874476E-2</v>
      </c>
      <c r="G61" s="77">
        <v>2.1576747995004641E-2</v>
      </c>
      <c r="H61" s="77">
        <v>2.0708760783051394E-2</v>
      </c>
      <c r="I61">
        <v>2.0110814282412459E-2</v>
      </c>
      <c r="J61">
        <v>1.9760549063349009E-2</v>
      </c>
      <c r="K61">
        <v>1.9516602813602013E-2</v>
      </c>
      <c r="L61">
        <v>1.931367329950362E-2</v>
      </c>
    </row>
    <row r="62" spans="2:12" x14ac:dyDescent="0.35">
      <c r="B62" s="56" t="s">
        <v>1706</v>
      </c>
      <c r="C62" s="56"/>
      <c r="D62" s="80">
        <v>2.3887845221117976E-2</v>
      </c>
      <c r="E62" s="80">
        <v>2.3533565330379203E-2</v>
      </c>
      <c r="F62" s="77">
        <v>2.3821649071183115E-2</v>
      </c>
      <c r="G62" s="77">
        <v>-8.0000000000000004E-4</v>
      </c>
      <c r="H62" s="77">
        <v>0</v>
      </c>
      <c r="I62">
        <v>0</v>
      </c>
      <c r="J62">
        <v>0</v>
      </c>
      <c r="K62">
        <v>0</v>
      </c>
      <c r="L62">
        <v>0</v>
      </c>
    </row>
    <row r="63" spans="2:12" x14ac:dyDescent="0.35">
      <c r="B63" s="56" t="s">
        <v>1707</v>
      </c>
      <c r="C63" s="56"/>
      <c r="D63" s="80">
        <v>2.1874539845902152E-2</v>
      </c>
      <c r="E63" s="80">
        <v>2.3533565330379203E-2</v>
      </c>
      <c r="F63" s="77">
        <v>2.3821649071183115E-2</v>
      </c>
      <c r="G63" s="77">
        <v>2.1708971853545922E-2</v>
      </c>
      <c r="H63" s="77">
        <v>2.1471980846518912E-2</v>
      </c>
      <c r="I63">
        <v>2.1530345294352937E-2</v>
      </c>
      <c r="J63">
        <v>1.5936865457563565E-2</v>
      </c>
      <c r="K63">
        <v>1.6813069627471089E-2</v>
      </c>
      <c r="L63">
        <v>1.7900488886725352E-2</v>
      </c>
    </row>
    <row r="64" spans="2:12" x14ac:dyDescent="0.35">
      <c r="B64" s="56" t="s">
        <v>1708</v>
      </c>
      <c r="C64" s="56"/>
      <c r="D64" s="80">
        <v>3.2150473499066079E-2</v>
      </c>
      <c r="E64" s="80">
        <v>2.3533565330379203E-2</v>
      </c>
      <c r="F64" s="77">
        <v>2.3821649071183115E-2</v>
      </c>
      <c r="G64" s="77">
        <v>2.3493967451795994E-2</v>
      </c>
      <c r="H64" s="77">
        <v>2.3095343044312822E-2</v>
      </c>
      <c r="I64">
        <v>2.2877364391311605E-2</v>
      </c>
      <c r="J64">
        <v>2.2926764441147718E-2</v>
      </c>
      <c r="K64">
        <v>2.3049272742582838E-2</v>
      </c>
      <c r="L64">
        <v>2.3441602770702952E-2</v>
      </c>
    </row>
    <row r="65" spans="2:12" x14ac:dyDescent="0.35">
      <c r="D65" s="79"/>
      <c r="E65" s="79"/>
    </row>
    <row r="66" spans="2:12" x14ac:dyDescent="0.35">
      <c r="B66" s="1246" t="s">
        <v>232</v>
      </c>
      <c r="C66" s="1246"/>
      <c r="D66" s="1246"/>
      <c r="E66" s="1246"/>
      <c r="F66" s="1246"/>
      <c r="G66" s="1246"/>
      <c r="H66" s="1246"/>
      <c r="I66" s="1246"/>
      <c r="J66" s="1246"/>
      <c r="K66" s="1246"/>
      <c r="L66" s="1246"/>
    </row>
    <row r="67" spans="2:12" x14ac:dyDescent="0.35">
      <c r="B67" t="s">
        <v>178</v>
      </c>
      <c r="C67" t="s">
        <v>179</v>
      </c>
      <c r="D67" t="s">
        <v>176</v>
      </c>
      <c r="E67" t="s">
        <v>177</v>
      </c>
      <c r="F67" t="s">
        <v>763</v>
      </c>
      <c r="G67" t="s">
        <v>764</v>
      </c>
      <c r="H67" t="s">
        <v>765</v>
      </c>
      <c r="I67" t="s">
        <v>1152</v>
      </c>
      <c r="J67" t="s">
        <v>1153</v>
      </c>
      <c r="K67" t="s">
        <v>1154</v>
      </c>
    </row>
    <row r="68" spans="2:12" x14ac:dyDescent="0.35">
      <c r="B68" s="56" t="s">
        <v>192</v>
      </c>
      <c r="C68" s="56" t="s">
        <v>193</v>
      </c>
      <c r="D68" s="76">
        <f>D4-D36</f>
        <v>-3.5457001836867903</v>
      </c>
      <c r="E68" s="76">
        <f t="shared" ref="E68:K68" si="0">E4-E36</f>
        <v>-3.580637409097335</v>
      </c>
      <c r="F68" s="76">
        <f t="shared" si="0"/>
        <v>-3.6159188851935937</v>
      </c>
      <c r="G68" s="76">
        <f t="shared" si="0"/>
        <v>-3.6515480040175134</v>
      </c>
      <c r="H68" s="76">
        <f t="shared" si="0"/>
        <v>-3.6875281910341755</v>
      </c>
      <c r="I68" s="76">
        <f t="shared" si="0"/>
        <v>-3.7238629054612034</v>
      </c>
      <c r="J68" s="76">
        <f t="shared" si="0"/>
        <v>-3.7605556406013534</v>
      </c>
      <c r="K68" s="76">
        <f t="shared" si="0"/>
        <v>-3.7976099241782322</v>
      </c>
    </row>
    <row r="69" spans="2:12" x14ac:dyDescent="0.35">
      <c r="B69" s="56" t="s">
        <v>134</v>
      </c>
      <c r="C69" s="56" t="s">
        <v>194</v>
      </c>
      <c r="D69" s="76">
        <f t="shared" ref="D69:K69" si="1">D5-D37</f>
        <v>0</v>
      </c>
      <c r="E69" s="76">
        <f t="shared" si="1"/>
        <v>0</v>
      </c>
      <c r="F69" s="76">
        <f t="shared" si="1"/>
        <v>0</v>
      </c>
      <c r="G69" s="76">
        <f t="shared" si="1"/>
        <v>0</v>
      </c>
      <c r="H69" s="76">
        <f t="shared" si="1"/>
        <v>0</v>
      </c>
      <c r="I69" s="76">
        <f t="shared" si="1"/>
        <v>0</v>
      </c>
      <c r="J69" s="76">
        <f t="shared" si="1"/>
        <v>0</v>
      </c>
      <c r="K69" s="76">
        <f t="shared" si="1"/>
        <v>0</v>
      </c>
    </row>
    <row r="70" spans="2:12" x14ac:dyDescent="0.35">
      <c r="B70" s="56" t="s">
        <v>195</v>
      </c>
      <c r="C70" s="56" t="s">
        <v>196</v>
      </c>
      <c r="D70" s="76">
        <f t="shared" ref="D70:K70" si="2">D6-D38</f>
        <v>36.906790784663599</v>
      </c>
      <c r="E70" s="76">
        <f t="shared" si="2"/>
        <v>8.4703038101129096</v>
      </c>
      <c r="F70" s="76">
        <f t="shared" si="2"/>
        <v>-14.958601677647493</v>
      </c>
      <c r="G70" s="76">
        <f t="shared" si="2"/>
        <v>-33.113618979275998</v>
      </c>
      <c r="H70" s="76">
        <f t="shared" si="2"/>
        <v>-41.277849644797698</v>
      </c>
      <c r="I70" s="76">
        <f t="shared" si="2"/>
        <v>-43.80975819323794</v>
      </c>
      <c r="J70" s="76">
        <f t="shared" si="2"/>
        <v>-48.324933783459073</v>
      </c>
      <c r="K70" s="76">
        <f t="shared" si="2"/>
        <v>-50.850020861907979</v>
      </c>
    </row>
    <row r="71" spans="2:12" x14ac:dyDescent="0.35">
      <c r="B71" s="56" t="s">
        <v>197</v>
      </c>
      <c r="C71" s="56" t="s">
        <v>198</v>
      </c>
      <c r="D71" s="76">
        <f t="shared" ref="D71:K71" si="3">D7-D39</f>
        <v>4.389061361774111</v>
      </c>
      <c r="E71" s="76">
        <f t="shared" si="3"/>
        <v>6.7985962921757164</v>
      </c>
      <c r="F71" s="76">
        <f t="shared" si="3"/>
        <v>5.2327810071096792</v>
      </c>
      <c r="G71" s="76">
        <f t="shared" si="3"/>
        <v>7.9441547220153552</v>
      </c>
      <c r="H71" s="76">
        <f t="shared" si="3"/>
        <v>11.780919317703592</v>
      </c>
      <c r="I71" s="76">
        <f t="shared" si="3"/>
        <v>15.373042228434315</v>
      </c>
      <c r="J71" s="76">
        <f t="shared" si="3"/>
        <v>17.217466371044338</v>
      </c>
      <c r="K71" s="76">
        <f t="shared" si="3"/>
        <v>19.304882387099042</v>
      </c>
    </row>
    <row r="72" spans="2:12" x14ac:dyDescent="0.35">
      <c r="B72" s="56" t="s">
        <v>199</v>
      </c>
      <c r="C72" s="56" t="s">
        <v>200</v>
      </c>
      <c r="D72" s="76">
        <f t="shared" ref="D72:K72" si="4">D8-D40</f>
        <v>-3.9329999999999927</v>
      </c>
      <c r="E72" s="76">
        <f t="shared" si="4"/>
        <v>-3.9329999999999927</v>
      </c>
      <c r="F72" s="76">
        <f t="shared" si="4"/>
        <v>-3.9329999999999927</v>
      </c>
      <c r="G72" s="76">
        <f t="shared" si="4"/>
        <v>-3.9329999999999927</v>
      </c>
      <c r="H72" s="76">
        <f t="shared" si="4"/>
        <v>-3.9329999999999927</v>
      </c>
      <c r="I72" s="76">
        <f t="shared" si="4"/>
        <v>-3.9329999999999927</v>
      </c>
      <c r="J72" s="76">
        <f t="shared" si="4"/>
        <v>-3.9329999999999927</v>
      </c>
      <c r="K72" s="76">
        <f t="shared" si="4"/>
        <v>-3.9329999999999927</v>
      </c>
    </row>
    <row r="73" spans="2:12" x14ac:dyDescent="0.35">
      <c r="B73" s="56" t="s">
        <v>201</v>
      </c>
      <c r="C73" s="56" t="s">
        <v>202</v>
      </c>
      <c r="D73" s="76">
        <f t="shared" ref="D73:K73" si="5">D9-D41</f>
        <v>0</v>
      </c>
      <c r="E73" s="76">
        <f t="shared" si="5"/>
        <v>0</v>
      </c>
      <c r="F73" s="76">
        <f t="shared" si="5"/>
        <v>0</v>
      </c>
      <c r="G73" s="76">
        <f t="shared" si="5"/>
        <v>0</v>
      </c>
      <c r="H73" s="76">
        <f t="shared" si="5"/>
        <v>0</v>
      </c>
      <c r="I73" s="76">
        <f t="shared" si="5"/>
        <v>0</v>
      </c>
      <c r="J73" s="76">
        <f t="shared" si="5"/>
        <v>0</v>
      </c>
      <c r="K73" s="76">
        <f t="shared" si="5"/>
        <v>0</v>
      </c>
    </row>
    <row r="74" spans="2:12" x14ac:dyDescent="0.35">
      <c r="B74" s="56" t="s">
        <v>203</v>
      </c>
      <c r="C74" s="56" t="s">
        <v>204</v>
      </c>
      <c r="D74" s="76">
        <f t="shared" ref="D74:K74" si="6">D10-D42</f>
        <v>0.39999999999999858</v>
      </c>
      <c r="E74" s="76">
        <f t="shared" si="6"/>
        <v>0</v>
      </c>
      <c r="F74" s="76">
        <f t="shared" si="6"/>
        <v>0</v>
      </c>
      <c r="G74" s="76">
        <f t="shared" si="6"/>
        <v>0</v>
      </c>
      <c r="H74" s="76">
        <f t="shared" si="6"/>
        <v>0</v>
      </c>
      <c r="I74" s="76">
        <f t="shared" si="6"/>
        <v>0</v>
      </c>
      <c r="J74" s="76">
        <f t="shared" si="6"/>
        <v>0</v>
      </c>
      <c r="K74" s="76">
        <f t="shared" si="6"/>
        <v>0</v>
      </c>
    </row>
    <row r="75" spans="2:12" x14ac:dyDescent="0.35">
      <c r="B75" s="56" t="s">
        <v>205</v>
      </c>
      <c r="C75" s="56" t="s">
        <v>206</v>
      </c>
      <c r="D75" s="76">
        <f t="shared" ref="D75:K75" si="7">D11-D43</f>
        <v>0</v>
      </c>
      <c r="E75" s="76">
        <f t="shared" si="7"/>
        <v>0</v>
      </c>
      <c r="F75" s="76">
        <f t="shared" si="7"/>
        <v>0</v>
      </c>
      <c r="G75" s="76">
        <f t="shared" si="7"/>
        <v>0</v>
      </c>
      <c r="H75" s="76">
        <f t="shared" si="7"/>
        <v>0</v>
      </c>
      <c r="I75" s="76">
        <f t="shared" si="7"/>
        <v>0</v>
      </c>
      <c r="J75" s="76">
        <f t="shared" si="7"/>
        <v>0</v>
      </c>
      <c r="K75" s="76">
        <f t="shared" si="7"/>
        <v>0</v>
      </c>
    </row>
    <row r="76" spans="2:12" x14ac:dyDescent="0.35">
      <c r="B76" s="56" t="s">
        <v>207</v>
      </c>
      <c r="C76" s="56" t="s">
        <v>208</v>
      </c>
      <c r="D76" s="76">
        <f t="shared" ref="D76:K76" si="8">D12-D44</f>
        <v>-7.4727596516437416</v>
      </c>
      <c r="E76" s="76">
        <f t="shared" si="8"/>
        <v>0.546419454681768</v>
      </c>
      <c r="F76" s="76">
        <f t="shared" si="8"/>
        <v>9.738857128492441</v>
      </c>
      <c r="G76" s="76">
        <f t="shared" si="8"/>
        <v>18.95313966974561</v>
      </c>
      <c r="H76" s="76">
        <f t="shared" si="8"/>
        <v>19.623461179607261</v>
      </c>
      <c r="I76" s="76">
        <f t="shared" si="8"/>
        <v>25.236310986365652</v>
      </c>
      <c r="J76" s="76">
        <f t="shared" si="8"/>
        <v>31.083215174870247</v>
      </c>
      <c r="K76" s="76">
        <f t="shared" si="8"/>
        <v>37.089994770690055</v>
      </c>
    </row>
    <row r="77" spans="2:12" x14ac:dyDescent="0.35">
      <c r="B77" s="56" t="s">
        <v>209</v>
      </c>
      <c r="C77" s="56" t="s">
        <v>210</v>
      </c>
      <c r="D77" s="76">
        <f t="shared" ref="D77:K77" si="9">D13-D45</f>
        <v>-5.9326269369868214</v>
      </c>
      <c r="E77" s="76">
        <f t="shared" si="9"/>
        <v>6.370734614613184</v>
      </c>
      <c r="F77" s="76">
        <f t="shared" si="9"/>
        <v>19.874162051864232</v>
      </c>
      <c r="G77" s="76">
        <f t="shared" si="9"/>
        <v>31.764739280959702</v>
      </c>
      <c r="H77" s="76">
        <f t="shared" si="9"/>
        <v>33.867228090131789</v>
      </c>
      <c r="I77" s="76">
        <f t="shared" si="9"/>
        <v>42.124126195005147</v>
      </c>
      <c r="J77" s="76">
        <f t="shared" si="9"/>
        <v>50.566112612468601</v>
      </c>
      <c r="K77" s="76">
        <f t="shared" si="9"/>
        <v>59.196179041040978</v>
      </c>
    </row>
    <row r="78" spans="2:12" x14ac:dyDescent="0.35">
      <c r="B78" s="56" t="s">
        <v>55</v>
      </c>
      <c r="C78" s="56" t="s">
        <v>211</v>
      </c>
      <c r="D78" s="76">
        <f t="shared" ref="D78:K78" si="10">D14-D46</f>
        <v>2.4840650851474493</v>
      </c>
      <c r="E78" s="76">
        <f t="shared" si="10"/>
        <v>18.58515383426402</v>
      </c>
      <c r="F78" s="76">
        <f t="shared" si="10"/>
        <v>18.892171387580674</v>
      </c>
      <c r="G78" s="76">
        <f t="shared" si="10"/>
        <v>19.203990167385882</v>
      </c>
      <c r="H78" s="76">
        <f t="shared" si="10"/>
        <v>18.593588531201249</v>
      </c>
      <c r="I78" s="76">
        <f t="shared" si="10"/>
        <v>17.959921364841875</v>
      </c>
      <c r="J78" s="76">
        <f t="shared" si="10"/>
        <v>17.302418085024783</v>
      </c>
      <c r="K78" s="76">
        <f t="shared" si="10"/>
        <v>16.62049606896494</v>
      </c>
    </row>
    <row r="79" spans="2:12" x14ac:dyDescent="0.35">
      <c r="B79" s="56" t="s">
        <v>212</v>
      </c>
      <c r="C79" s="56" t="s">
        <v>213</v>
      </c>
      <c r="D79" s="76">
        <f t="shared" ref="D79:K79" si="11">D15-D47</f>
        <v>0</v>
      </c>
      <c r="E79" s="76">
        <f t="shared" si="11"/>
        <v>0</v>
      </c>
      <c r="F79" s="76">
        <f t="shared" si="11"/>
        <v>0</v>
      </c>
      <c r="G79" s="76">
        <f t="shared" si="11"/>
        <v>0</v>
      </c>
      <c r="H79" s="76">
        <f t="shared" si="11"/>
        <v>0</v>
      </c>
      <c r="I79" s="76">
        <f t="shared" si="11"/>
        <v>0</v>
      </c>
      <c r="J79" s="76">
        <f t="shared" si="11"/>
        <v>0</v>
      </c>
      <c r="K79" s="76">
        <f t="shared" si="11"/>
        <v>0</v>
      </c>
    </row>
    <row r="80" spans="2:12" x14ac:dyDescent="0.35">
      <c r="B80" s="56" t="s">
        <v>214</v>
      </c>
      <c r="C80" s="56" t="s">
        <v>215</v>
      </c>
      <c r="D80" s="76">
        <f t="shared" ref="D80:K80" si="12">D16-D48</f>
        <v>0</v>
      </c>
      <c r="E80" s="76">
        <f t="shared" si="12"/>
        <v>0</v>
      </c>
      <c r="F80" s="76">
        <f t="shared" si="12"/>
        <v>0</v>
      </c>
      <c r="G80" s="76">
        <f t="shared" si="12"/>
        <v>0</v>
      </c>
      <c r="H80" s="76">
        <f t="shared" si="12"/>
        <v>0</v>
      </c>
      <c r="I80" s="76">
        <f t="shared" si="12"/>
        <v>0</v>
      </c>
      <c r="J80" s="76">
        <f t="shared" si="12"/>
        <v>0</v>
      </c>
      <c r="K80" s="76">
        <f t="shared" si="12"/>
        <v>0</v>
      </c>
    </row>
    <row r="81" spans="2:13" x14ac:dyDescent="0.35">
      <c r="B81" s="56" t="s">
        <v>216</v>
      </c>
      <c r="C81" s="56" t="s">
        <v>217</v>
      </c>
      <c r="D81" s="76">
        <f t="shared" ref="D81:K81" si="13">D17-D49</f>
        <v>0</v>
      </c>
      <c r="E81" s="76">
        <f t="shared" si="13"/>
        <v>0</v>
      </c>
      <c r="F81" s="76">
        <f t="shared" si="13"/>
        <v>0</v>
      </c>
      <c r="G81" s="76">
        <f t="shared" si="13"/>
        <v>0</v>
      </c>
      <c r="H81" s="76">
        <f t="shared" si="13"/>
        <v>0</v>
      </c>
      <c r="I81" s="76">
        <f t="shared" si="13"/>
        <v>0</v>
      </c>
      <c r="J81" s="76">
        <f t="shared" si="13"/>
        <v>0</v>
      </c>
      <c r="K81" s="76">
        <f t="shared" si="13"/>
        <v>0</v>
      </c>
    </row>
    <row r="82" spans="2:13" x14ac:dyDescent="0.35">
      <c r="B82" s="56" t="s">
        <v>820</v>
      </c>
      <c r="C82" s="56" t="s">
        <v>219</v>
      </c>
      <c r="D82" s="76">
        <f t="shared" ref="D82:K82" si="14">D18-D50</f>
        <v>0</v>
      </c>
      <c r="E82" s="76">
        <f t="shared" si="14"/>
        <v>0</v>
      </c>
      <c r="F82" s="76">
        <f t="shared" si="14"/>
        <v>0</v>
      </c>
      <c r="G82" s="76">
        <f t="shared" si="14"/>
        <v>0</v>
      </c>
      <c r="H82" s="76">
        <f t="shared" si="14"/>
        <v>0</v>
      </c>
      <c r="I82" s="76">
        <f t="shared" si="14"/>
        <v>0</v>
      </c>
      <c r="J82" s="76">
        <f t="shared" si="14"/>
        <v>0</v>
      </c>
      <c r="K82" s="76">
        <f t="shared" si="14"/>
        <v>0</v>
      </c>
    </row>
    <row r="83" spans="2:13" x14ac:dyDescent="0.35">
      <c r="B83" s="56" t="s">
        <v>220</v>
      </c>
      <c r="C83" s="56" t="s">
        <v>221</v>
      </c>
      <c r="D83" s="76">
        <f t="shared" ref="D83:K83" si="15">D19-D51</f>
        <v>11.071000000000367</v>
      </c>
      <c r="E83" s="76">
        <f t="shared" si="15"/>
        <v>15.009380402000261</v>
      </c>
      <c r="F83" s="76">
        <f t="shared" si="15"/>
        <v>15.009380402000261</v>
      </c>
      <c r="G83" s="76">
        <f t="shared" si="15"/>
        <v>15.009380402000261</v>
      </c>
      <c r="H83" s="76">
        <f t="shared" si="15"/>
        <v>15.009380402000261</v>
      </c>
      <c r="I83" s="76">
        <f t="shared" si="15"/>
        <v>18.345618092996119</v>
      </c>
      <c r="J83" s="76">
        <f t="shared" si="15"/>
        <v>18.345618092996119</v>
      </c>
      <c r="K83" s="76">
        <f t="shared" si="15"/>
        <v>18.345618092996119</v>
      </c>
    </row>
    <row r="84" spans="2:13" x14ac:dyDescent="0.35">
      <c r="B84" s="56" t="s">
        <v>222</v>
      </c>
      <c r="C84" s="56" t="s">
        <v>223</v>
      </c>
      <c r="D84" s="76">
        <f t="shared" ref="D84:K84" si="16">D20-D52</f>
        <v>0</v>
      </c>
      <c r="E84" s="76">
        <f t="shared" si="16"/>
        <v>0</v>
      </c>
      <c r="F84" s="76">
        <f t="shared" si="16"/>
        <v>0</v>
      </c>
      <c r="G84" s="76">
        <f t="shared" si="16"/>
        <v>0</v>
      </c>
      <c r="H84" s="76">
        <f t="shared" si="16"/>
        <v>0</v>
      </c>
      <c r="I84" s="76">
        <f t="shared" si="16"/>
        <v>0</v>
      </c>
      <c r="J84" s="76">
        <f t="shared" si="16"/>
        <v>0</v>
      </c>
      <c r="K84" s="76">
        <f t="shared" si="16"/>
        <v>0</v>
      </c>
    </row>
    <row r="85" spans="2:13" x14ac:dyDescent="0.35">
      <c r="B85" s="56" t="s">
        <v>224</v>
      </c>
      <c r="C85" s="56" t="s">
        <v>225</v>
      </c>
      <c r="D85" s="76">
        <f t="shared" ref="D85:K85" si="17">D21-D53</f>
        <v>11.553252257942404</v>
      </c>
      <c r="E85" s="76">
        <f t="shared" si="17"/>
        <v>11.149115654609886</v>
      </c>
      <c r="F85" s="76">
        <f t="shared" si="17"/>
        <v>2.5772627193673543</v>
      </c>
      <c r="G85" s="76">
        <f t="shared" si="17"/>
        <v>-6.0280959540496042</v>
      </c>
      <c r="H85" s="76">
        <f t="shared" si="17"/>
        <v>-14.669030848739567</v>
      </c>
      <c r="I85" s="76">
        <f t="shared" si="17"/>
        <v>22.151996923926163</v>
      </c>
      <c r="J85" s="76">
        <f t="shared" si="17"/>
        <v>22.046693968420186</v>
      </c>
      <c r="K85" s="76">
        <f t="shared" si="17"/>
        <v>22.056606034205288</v>
      </c>
      <c r="L85" s="71"/>
      <c r="M85" s="71"/>
    </row>
    <row r="86" spans="2:13" x14ac:dyDescent="0.35">
      <c r="B86" s="56" t="s">
        <v>226</v>
      </c>
      <c r="C86" s="56" t="s">
        <v>227</v>
      </c>
      <c r="D86" s="76">
        <f t="shared" ref="D86:K86" si="18">D22-D54</f>
        <v>-0.25239850116486195</v>
      </c>
      <c r="E86" s="76">
        <f t="shared" si="18"/>
        <v>-11.830957369826137</v>
      </c>
      <c r="F86" s="76">
        <f t="shared" si="18"/>
        <v>-6.3481705716881152</v>
      </c>
      <c r="G86" s="76">
        <f t="shared" si="18"/>
        <v>-4.3009238129880032</v>
      </c>
      <c r="H86" s="76">
        <f t="shared" si="18"/>
        <v>-2.3476802906652665</v>
      </c>
      <c r="I86" s="76">
        <f t="shared" si="18"/>
        <v>4.3311286538937566E-2</v>
      </c>
      <c r="J86" s="76">
        <f t="shared" si="18"/>
        <v>2.5605110188289473</v>
      </c>
      <c r="K86" s="76">
        <f t="shared" si="18"/>
        <v>2.3536072045067158</v>
      </c>
    </row>
    <row r="87" spans="2:13" x14ac:dyDescent="0.35">
      <c r="B87" s="56" t="s">
        <v>228</v>
      </c>
      <c r="C87" s="56" t="s">
        <v>229</v>
      </c>
      <c r="D87" s="76">
        <f t="shared" ref="D87:K87" si="19">D23-D55</f>
        <v>6.3300167422074765</v>
      </c>
      <c r="E87" s="76">
        <f t="shared" si="19"/>
        <v>12.995539693890464</v>
      </c>
      <c r="F87" s="76">
        <f t="shared" si="19"/>
        <v>20.010166622142719</v>
      </c>
      <c r="G87" s="76">
        <f t="shared" si="19"/>
        <v>27.387994200169828</v>
      </c>
      <c r="H87" s="76">
        <f t="shared" si="19"/>
        <v>25.267963051883044</v>
      </c>
      <c r="I87" s="76">
        <f t="shared" si="19"/>
        <v>23.165957358747619</v>
      </c>
      <c r="J87" s="76">
        <f t="shared" si="19"/>
        <v>21.081853304787842</v>
      </c>
      <c r="K87" s="76">
        <f t="shared" si="19"/>
        <v>19.015527870481719</v>
      </c>
    </row>
    <row r="88" spans="2:13" x14ac:dyDescent="0.35">
      <c r="B88" s="56" t="s">
        <v>230</v>
      </c>
      <c r="C88" s="56" t="s">
        <v>231</v>
      </c>
      <c r="D88" s="76">
        <f t="shared" ref="D88:K88" si="20">D24-D56</f>
        <v>0.17008115291821468</v>
      </c>
      <c r="E88" s="76">
        <f t="shared" si="20"/>
        <v>-0.88933987312989871</v>
      </c>
      <c r="F88" s="76">
        <f t="shared" si="20"/>
        <v>-2.4457804709583115</v>
      </c>
      <c r="G88" s="76">
        <f t="shared" si="20"/>
        <v>-3.2525810742279475</v>
      </c>
      <c r="H88" s="76">
        <f t="shared" si="20"/>
        <v>-3.4168221601092625</v>
      </c>
      <c r="I88" s="76">
        <f t="shared" si="20"/>
        <v>-2.4852723126185765</v>
      </c>
      <c r="J88" s="76">
        <f t="shared" si="20"/>
        <v>-2.0411333734658399</v>
      </c>
      <c r="K88" s="76">
        <f t="shared" si="20"/>
        <v>-2.6487650384314634</v>
      </c>
    </row>
    <row r="89" spans="2:13" x14ac:dyDescent="0.35">
      <c r="B89" s="56" t="s">
        <v>1380</v>
      </c>
      <c r="C89" s="56" t="s">
        <v>1379</v>
      </c>
      <c r="D89" s="76">
        <f t="shared" ref="D89:K89" si="21">D25-D57</f>
        <v>0</v>
      </c>
      <c r="E89" s="76">
        <f t="shared" si="21"/>
        <v>0</v>
      </c>
      <c r="F89" s="76">
        <f t="shared" si="21"/>
        <v>0</v>
      </c>
      <c r="G89" s="76">
        <f t="shared" si="21"/>
        <v>0</v>
      </c>
      <c r="H89" s="76">
        <f t="shared" si="21"/>
        <v>0</v>
      </c>
      <c r="I89" s="76">
        <f t="shared" si="21"/>
        <v>0</v>
      </c>
      <c r="J89" s="76">
        <f t="shared" si="21"/>
        <v>0</v>
      </c>
      <c r="K89" s="76">
        <f t="shared" si="21"/>
        <v>0</v>
      </c>
    </row>
    <row r="90" spans="2:13" x14ac:dyDescent="0.35">
      <c r="B90" s="56"/>
      <c r="C90" s="56"/>
      <c r="D90" s="76"/>
      <c r="E90" s="76"/>
      <c r="F90" s="76"/>
      <c r="G90" s="76"/>
      <c r="H90" s="76"/>
      <c r="I90" s="76"/>
      <c r="J90" s="76"/>
      <c r="K90" s="76"/>
    </row>
    <row r="91" spans="2:13" x14ac:dyDescent="0.35">
      <c r="B91" s="72" t="s">
        <v>1890</v>
      </c>
      <c r="C91" s="56"/>
      <c r="D91" s="76"/>
      <c r="E91" s="76"/>
      <c r="F91" s="76"/>
      <c r="G91" s="76"/>
      <c r="H91" s="76"/>
      <c r="I91" s="76"/>
      <c r="J91" s="76"/>
      <c r="K91" s="76"/>
    </row>
    <row r="92" spans="2:13" x14ac:dyDescent="0.35">
      <c r="B92" s="56" t="s">
        <v>1704</v>
      </c>
      <c r="C92" s="56" t="s">
        <v>1891</v>
      </c>
      <c r="D92" s="78">
        <f t="shared" ref="D92:K96" si="22">D28-D60</f>
        <v>7.2844929951529913E-3</v>
      </c>
      <c r="E92" s="78">
        <f t="shared" si="22"/>
        <v>1.1725320094083218E-3</v>
      </c>
      <c r="F92" s="78">
        <f t="shared" si="22"/>
        <v>5.8760203499651567E-4</v>
      </c>
      <c r="G92" s="78">
        <f t="shared" si="22"/>
        <v>1.9818401950398579E-4</v>
      </c>
      <c r="H92" s="78">
        <f t="shared" si="22"/>
        <v>4.0263215564596486E-4</v>
      </c>
      <c r="I92" s="78">
        <f t="shared" si="22"/>
        <v>4.5831766222604806E-4</v>
      </c>
      <c r="J92" s="78">
        <f t="shared" si="22"/>
        <v>6.1740871905580086E-4</v>
      </c>
      <c r="K92" s="78">
        <f t="shared" si="22"/>
        <v>7.9659287411759649E-4</v>
      </c>
    </row>
    <row r="93" spans="2:13" x14ac:dyDescent="0.35">
      <c r="B93" s="56" t="s">
        <v>1705</v>
      </c>
      <c r="C93" s="56"/>
      <c r="D93" s="78">
        <f t="shared" si="22"/>
        <v>3.8782582499112817E-3</v>
      </c>
      <c r="E93" s="78">
        <f t="shared" si="22"/>
        <v>-6.7200637147053488E-3</v>
      </c>
      <c r="F93" s="78">
        <f t="shared" si="22"/>
        <v>-8.9352823195532061E-4</v>
      </c>
      <c r="G93" s="78">
        <f t="shared" si="22"/>
        <v>2.9818401950398865E-4</v>
      </c>
      <c r="H93" s="78">
        <f t="shared" si="22"/>
        <v>1.3026321556459663E-3</v>
      </c>
      <c r="I93" s="78">
        <f t="shared" si="22"/>
        <v>1.3583176622260495E-3</v>
      </c>
      <c r="J93" s="78">
        <f t="shared" si="22"/>
        <v>6.1740871905580086E-4</v>
      </c>
      <c r="K93" s="78">
        <f t="shared" si="22"/>
        <v>7.9659287411759649E-4</v>
      </c>
    </row>
    <row r="94" spans="2:13" x14ac:dyDescent="0.35">
      <c r="B94" s="56" t="s">
        <v>1706</v>
      </c>
      <c r="C94" s="56"/>
      <c r="D94" s="78">
        <f t="shared" si="22"/>
        <v>-2.0417051955585741E-3</v>
      </c>
      <c r="E94" s="78">
        <f t="shared" si="22"/>
        <v>7.2126225499544727E-3</v>
      </c>
      <c r="F94" s="78">
        <f t="shared" si="22"/>
        <v>-2.3821649071183115E-2</v>
      </c>
      <c r="G94" s="78">
        <f t="shared" si="22"/>
        <v>-9.9999999999999937E-5</v>
      </c>
      <c r="H94" s="78">
        <f t="shared" si="22"/>
        <v>-8.9999999999999998E-4</v>
      </c>
      <c r="I94" s="78">
        <f t="shared" si="22"/>
        <v>-8.9999999999999998E-4</v>
      </c>
      <c r="J94" s="78">
        <f t="shared" si="22"/>
        <v>0</v>
      </c>
      <c r="K94" s="78">
        <f t="shared" si="22"/>
        <v>0</v>
      </c>
    </row>
    <row r="95" spans="2:13" x14ac:dyDescent="0.35">
      <c r="B95" s="56" t="s">
        <v>1707</v>
      </c>
      <c r="C95" s="56"/>
      <c r="D95" s="78">
        <f t="shared" si="22"/>
        <v>1.5124807740065638E-3</v>
      </c>
      <c r="E95" s="78">
        <f t="shared" si="22"/>
        <v>7.2126225499544727E-3</v>
      </c>
      <c r="F95" s="78">
        <f t="shared" si="22"/>
        <v>-8.5217535082300344E-3</v>
      </c>
      <c r="G95" s="78">
        <f t="shared" si="22"/>
        <v>-6.9793031504501446E-3</v>
      </c>
      <c r="H95" s="78">
        <f t="shared" si="22"/>
        <v>-6.3523772316191884E-3</v>
      </c>
      <c r="I95" s="78">
        <f t="shared" si="22"/>
        <v>-1.4742677059809139E-5</v>
      </c>
      <c r="J95" s="78">
        <f t="shared" si="22"/>
        <v>6.853984549633596E-3</v>
      </c>
      <c r="K95" s="78">
        <f t="shared" si="22"/>
        <v>6.4502255796865526E-3</v>
      </c>
    </row>
    <row r="96" spans="2:13" x14ac:dyDescent="0.35">
      <c r="B96" s="56" t="s">
        <v>1708</v>
      </c>
      <c r="C96" s="56"/>
      <c r="D96" s="78">
        <f t="shared" si="22"/>
        <v>-1.6537058895244927E-2</v>
      </c>
      <c r="E96" s="78">
        <f t="shared" si="22"/>
        <v>7.2126225499544727E-3</v>
      </c>
      <c r="F96" s="78">
        <f t="shared" si="22"/>
        <v>4.7846603000061272E-3</v>
      </c>
      <c r="G96" s="78">
        <f t="shared" si="22"/>
        <v>7.8499009004668885E-3</v>
      </c>
      <c r="H96" s="78">
        <f t="shared" si="22"/>
        <v>9.2990117609175194E-3</v>
      </c>
      <c r="I96" s="78">
        <f t="shared" si="22"/>
        <v>1.028727323850509E-2</v>
      </c>
      <c r="J96" s="78">
        <f t="shared" si="22"/>
        <v>8.4989494574418956E-3</v>
      </c>
      <c r="K96" s="78">
        <f t="shared" si="22"/>
        <v>7.9637806765386898E-3</v>
      </c>
    </row>
    <row r="98" spans="2:12" x14ac:dyDescent="0.35">
      <c r="B98" s="1246" t="s">
        <v>233</v>
      </c>
      <c r="C98" s="1246"/>
      <c r="D98" s="1246"/>
      <c r="E98" s="1246"/>
      <c r="F98" s="1246"/>
      <c r="G98" s="1246"/>
      <c r="H98" s="1246"/>
      <c r="I98" s="1246"/>
      <c r="J98" s="1246"/>
      <c r="K98" s="1246"/>
      <c r="L98" s="1246"/>
    </row>
    <row r="99" spans="2:12" x14ac:dyDescent="0.35">
      <c r="B99" t="s">
        <v>178</v>
      </c>
      <c r="C99" t="s">
        <v>179</v>
      </c>
      <c r="D99" t="s">
        <v>176</v>
      </c>
      <c r="E99" t="s">
        <v>177</v>
      </c>
      <c r="F99" t="s">
        <v>763</v>
      </c>
      <c r="G99" t="s">
        <v>764</v>
      </c>
      <c r="H99" t="s">
        <v>765</v>
      </c>
      <c r="I99" t="s">
        <v>1152</v>
      </c>
      <c r="J99" t="s">
        <v>1153</v>
      </c>
      <c r="K99" t="s">
        <v>1154</v>
      </c>
    </row>
    <row r="100" spans="2:12" x14ac:dyDescent="0.35">
      <c r="B100" t="s">
        <v>192</v>
      </c>
      <c r="C100" t="s">
        <v>193</v>
      </c>
      <c r="D100" s="79" t="e">
        <f>(D4/#REF!-1)</f>
        <v>#REF!</v>
      </c>
      <c r="E100" s="79">
        <f t="shared" ref="E100:K109" si="23">(E4/D36-1)</f>
        <v>-4.281614604183126E-2</v>
      </c>
      <c r="F100" s="79">
        <f t="shared" si="23"/>
        <v>-1.7468498698184565E-2</v>
      </c>
      <c r="G100" s="79">
        <f t="shared" si="23"/>
        <v>-1.5735872825628494E-3</v>
      </c>
      <c r="H100" s="79">
        <f t="shared" si="23"/>
        <v>-1.0225823458116623E-2</v>
      </c>
      <c r="I100" s="79">
        <f t="shared" si="23"/>
        <v>-1.3161650434260208E-3</v>
      </c>
      <c r="J100" s="79">
        <f t="shared" si="23"/>
        <v>-7.5269047709358716E-3</v>
      </c>
      <c r="K100" s="79">
        <f t="shared" si="23"/>
        <v>8.8078958843129662E-4</v>
      </c>
    </row>
    <row r="101" spans="2:12" x14ac:dyDescent="0.35">
      <c r="B101" t="s">
        <v>134</v>
      </c>
      <c r="C101" t="s">
        <v>194</v>
      </c>
      <c r="D101" s="79" t="e">
        <f>(D5/#REF!-1)</f>
        <v>#REF!</v>
      </c>
      <c r="E101" s="79">
        <f t="shared" si="23"/>
        <v>0</v>
      </c>
      <c r="F101" s="79">
        <f t="shared" si="23"/>
        <v>-5.1365499842321083E-2</v>
      </c>
      <c r="G101" s="79">
        <f t="shared" si="23"/>
        <v>0</v>
      </c>
      <c r="H101" s="79">
        <f t="shared" si="23"/>
        <v>0</v>
      </c>
      <c r="I101" s="79">
        <f t="shared" si="23"/>
        <v>0</v>
      </c>
      <c r="J101" s="79">
        <f t="shared" si="23"/>
        <v>0</v>
      </c>
      <c r="K101" s="79">
        <f t="shared" si="23"/>
        <v>0</v>
      </c>
    </row>
    <row r="102" spans="2:12" x14ac:dyDescent="0.35">
      <c r="B102" t="s">
        <v>195</v>
      </c>
      <c r="C102" t="s">
        <v>196</v>
      </c>
      <c r="D102" s="79" t="e">
        <f>(D6/#REF!-1)</f>
        <v>#REF!</v>
      </c>
      <c r="E102" s="79">
        <f t="shared" si="23"/>
        <v>1.6290403811417997E-2</v>
      </c>
      <c r="F102" s="79">
        <f t="shared" si="23"/>
        <v>4.2800862402228024E-3</v>
      </c>
      <c r="G102" s="79">
        <f t="shared" si="23"/>
        <v>-4.8738158104266738E-3</v>
      </c>
      <c r="H102" s="79">
        <f t="shared" si="23"/>
        <v>-1.3982425230150586E-2</v>
      </c>
      <c r="I102" s="79">
        <f t="shared" si="23"/>
        <v>-1.5856544175848364E-2</v>
      </c>
      <c r="J102" s="79">
        <f t="shared" si="23"/>
        <v>-1.6843745350651695E-2</v>
      </c>
      <c r="K102" s="79">
        <f t="shared" si="23"/>
        <v>-1.8603829766177138E-2</v>
      </c>
    </row>
    <row r="103" spans="2:12" x14ac:dyDescent="0.35">
      <c r="B103" t="s">
        <v>197</v>
      </c>
      <c r="C103" t="s">
        <v>198</v>
      </c>
      <c r="D103" s="79" t="e">
        <f>(D7/#REF!-1)</f>
        <v>#REF!</v>
      </c>
      <c r="E103" s="79">
        <f t="shared" si="23"/>
        <v>1.0879342025372107E-2</v>
      </c>
      <c r="F103" s="79">
        <f t="shared" si="23"/>
        <v>1.033704948602443E-2</v>
      </c>
      <c r="G103" s="79">
        <f t="shared" si="23"/>
        <v>1.0775930090969332E-2</v>
      </c>
      <c r="H103" s="79">
        <f t="shared" si="23"/>
        <v>1.1859601456824409E-2</v>
      </c>
      <c r="I103" s="79">
        <f t="shared" si="23"/>
        <v>1.3198437272063268E-2</v>
      </c>
      <c r="J103" s="79">
        <f t="shared" si="23"/>
        <v>1.3528832500042887E-2</v>
      </c>
      <c r="K103" s="79">
        <f t="shared" si="23"/>
        <v>1.4136182069097281E-2</v>
      </c>
    </row>
    <row r="104" spans="2:12" x14ac:dyDescent="0.35">
      <c r="B104" t="s">
        <v>199</v>
      </c>
      <c r="C104" t="s">
        <v>200</v>
      </c>
      <c r="D104" s="79" t="e">
        <f>(D8/#REF!-1)</f>
        <v>#REF!</v>
      </c>
      <c r="E104" s="79">
        <f t="shared" si="23"/>
        <v>-4.0200748206145054E-2</v>
      </c>
      <c r="F104" s="79">
        <f t="shared" si="23"/>
        <v>-0.12219678230472009</v>
      </c>
      <c r="G104" s="79">
        <f t="shared" si="23"/>
        <v>-4.3791475526655632E-2</v>
      </c>
      <c r="H104" s="79">
        <f t="shared" si="23"/>
        <v>4.5205540462298632E-3</v>
      </c>
      <c r="I104" s="79">
        <f t="shared" si="23"/>
        <v>-6.4608979192998461E-2</v>
      </c>
      <c r="J104" s="79">
        <f t="shared" si="23"/>
        <v>-4.2749535331137678E-2</v>
      </c>
      <c r="K104" s="79">
        <f t="shared" si="23"/>
        <v>-4.2749535331137678E-2</v>
      </c>
    </row>
    <row r="105" spans="2:12" x14ac:dyDescent="0.35">
      <c r="B105" t="s">
        <v>201</v>
      </c>
      <c r="C105" t="s">
        <v>202</v>
      </c>
      <c r="D105" s="79" t="e">
        <f>(D9/#REF!-1)</f>
        <v>#REF!</v>
      </c>
      <c r="E105" s="79">
        <f t="shared" si="23"/>
        <v>0</v>
      </c>
      <c r="F105" s="79">
        <f t="shared" si="23"/>
        <v>0</v>
      </c>
      <c r="G105" s="79">
        <f t="shared" si="23"/>
        <v>0</v>
      </c>
      <c r="H105" s="79">
        <f t="shared" si="23"/>
        <v>1.3862375138734735</v>
      </c>
      <c r="I105" s="79">
        <f t="shared" si="23"/>
        <v>-1</v>
      </c>
      <c r="J105" s="79" t="e">
        <f t="shared" si="23"/>
        <v>#DIV/0!</v>
      </c>
      <c r="K105" s="79" t="e">
        <f t="shared" si="23"/>
        <v>#DIV/0!</v>
      </c>
    </row>
    <row r="106" spans="2:12" x14ac:dyDescent="0.35">
      <c r="B106" t="s">
        <v>203</v>
      </c>
      <c r="C106" t="s">
        <v>204</v>
      </c>
      <c r="D106" s="79" t="e">
        <f>(D10/#REF!-1)</f>
        <v>#REF!</v>
      </c>
      <c r="E106" s="79" t="e">
        <f t="shared" si="23"/>
        <v>#DIV/0!</v>
      </c>
      <c r="F106" s="79" t="e">
        <f t="shared" si="23"/>
        <v>#DIV/0!</v>
      </c>
      <c r="G106" s="79" t="e">
        <f t="shared" si="23"/>
        <v>#DIV/0!</v>
      </c>
      <c r="H106" s="79" t="e">
        <f t="shared" si="23"/>
        <v>#DIV/0!</v>
      </c>
      <c r="I106" s="79" t="e">
        <f t="shared" si="23"/>
        <v>#DIV/0!</v>
      </c>
      <c r="J106" s="79" t="e">
        <f t="shared" si="23"/>
        <v>#DIV/0!</v>
      </c>
      <c r="K106" s="79" t="e">
        <f t="shared" si="23"/>
        <v>#DIV/0!</v>
      </c>
    </row>
    <row r="107" spans="2:12" x14ac:dyDescent="0.35">
      <c r="B107" t="s">
        <v>205</v>
      </c>
      <c r="C107" t="s">
        <v>206</v>
      </c>
      <c r="D107" s="79" t="e">
        <f>(D11/#REF!-1)</f>
        <v>#REF!</v>
      </c>
      <c r="E107" s="79">
        <f t="shared" si="23"/>
        <v>0</v>
      </c>
      <c r="F107" s="79">
        <f t="shared" si="23"/>
        <v>0</v>
      </c>
      <c r="G107" s="79">
        <f t="shared" si="23"/>
        <v>0</v>
      </c>
      <c r="H107" s="79">
        <f t="shared" si="23"/>
        <v>0</v>
      </c>
      <c r="I107" s="79">
        <f t="shared" si="23"/>
        <v>0</v>
      </c>
      <c r="J107" s="79">
        <f t="shared" si="23"/>
        <v>0</v>
      </c>
      <c r="K107" s="79">
        <f t="shared" si="23"/>
        <v>0</v>
      </c>
    </row>
    <row r="108" spans="2:12" x14ac:dyDescent="0.35">
      <c r="B108" t="s">
        <v>207</v>
      </c>
      <c r="C108" t="s">
        <v>208</v>
      </c>
      <c r="D108" s="79" t="e">
        <f>(D12/#REF!-1)</f>
        <v>#REF!</v>
      </c>
      <c r="E108" s="79">
        <f t="shared" si="23"/>
        <v>-2.0773930271513752E-3</v>
      </c>
      <c r="F108" s="79">
        <f t="shared" si="23"/>
        <v>2.1190375539954731E-2</v>
      </c>
      <c r="G108" s="79">
        <f t="shared" si="23"/>
        <v>3.6993948790551068E-2</v>
      </c>
      <c r="H108" s="79">
        <f t="shared" si="23"/>
        <v>4.2108336788784895E-2</v>
      </c>
      <c r="I108" s="79">
        <f t="shared" si="23"/>
        <v>4.3821540603737441E-2</v>
      </c>
      <c r="J108" s="79">
        <f t="shared" si="23"/>
        <v>5.2112878921150019E-2</v>
      </c>
      <c r="K108" s="79">
        <f t="shared" si="23"/>
        <v>6.0525658726445553E-2</v>
      </c>
    </row>
    <row r="109" spans="2:12" x14ac:dyDescent="0.35">
      <c r="B109" t="s">
        <v>209</v>
      </c>
      <c r="C109" t="s">
        <v>210</v>
      </c>
      <c r="D109" s="79" t="e">
        <f>(D13/#REF!-1)</f>
        <v>#REF!</v>
      </c>
      <c r="E109" s="79">
        <f t="shared" si="23"/>
        <v>3.7098582724812701E-3</v>
      </c>
      <c r="F109" s="79">
        <f t="shared" si="23"/>
        <v>2.7137099971408229E-2</v>
      </c>
      <c r="G109" s="79">
        <f t="shared" si="23"/>
        <v>4.1343419287812155E-2</v>
      </c>
      <c r="H109" s="79">
        <f t="shared" si="23"/>
        <v>4.7577724120881015E-2</v>
      </c>
      <c r="I109" s="79">
        <f t="shared" si="23"/>
        <v>4.9318195786268726E-2</v>
      </c>
      <c r="J109" s="79">
        <f t="shared" si="23"/>
        <v>5.7512988326340775E-2</v>
      </c>
      <c r="K109" s="79">
        <f t="shared" si="23"/>
        <v>6.578598063239216E-2</v>
      </c>
    </row>
    <row r="110" spans="2:12" x14ac:dyDescent="0.35">
      <c r="B110" t="s">
        <v>55</v>
      </c>
      <c r="C110" t="s">
        <v>211</v>
      </c>
      <c r="D110" s="79" t="e">
        <f>(D14/#REF!-1)</f>
        <v>#REF!</v>
      </c>
      <c r="E110" s="79">
        <f t="shared" ref="E110:K119" si="24">(E14/D46-1)</f>
        <v>2.932597022160377E-2</v>
      </c>
      <c r="F110" s="79">
        <f t="shared" si="24"/>
        <v>2.9389227506204429E-2</v>
      </c>
      <c r="G110" s="79">
        <f t="shared" si="24"/>
        <v>2.9452488678284983E-2</v>
      </c>
      <c r="H110" s="79">
        <f t="shared" si="24"/>
        <v>3.1782621175405312E-2</v>
      </c>
      <c r="I110" s="79">
        <f t="shared" si="24"/>
        <v>3.0995752347729999E-2</v>
      </c>
      <c r="J110" s="79">
        <f t="shared" si="24"/>
        <v>3.0209483610169618E-2</v>
      </c>
      <c r="K110" s="79">
        <f t="shared" si="24"/>
        <v>2.9423814505077583E-2</v>
      </c>
    </row>
    <row r="111" spans="2:12" x14ac:dyDescent="0.35">
      <c r="B111" t="s">
        <v>212</v>
      </c>
      <c r="C111" t="s">
        <v>213</v>
      </c>
      <c r="D111" s="79" t="e">
        <f>(D15/#REF!-1)</f>
        <v>#REF!</v>
      </c>
      <c r="E111" s="79" t="e">
        <f t="shared" si="24"/>
        <v>#DIV/0!</v>
      </c>
      <c r="F111" s="79" t="e">
        <f t="shared" si="24"/>
        <v>#DIV/0!</v>
      </c>
      <c r="G111" s="79" t="e">
        <f t="shared" si="24"/>
        <v>#DIV/0!</v>
      </c>
      <c r="H111" s="79" t="e">
        <f t="shared" si="24"/>
        <v>#DIV/0!</v>
      </c>
      <c r="I111" s="79" t="e">
        <f t="shared" si="24"/>
        <v>#DIV/0!</v>
      </c>
      <c r="J111" s="79" t="e">
        <f t="shared" si="24"/>
        <v>#DIV/0!</v>
      </c>
      <c r="K111" s="79" t="e">
        <f t="shared" si="24"/>
        <v>#DIV/0!</v>
      </c>
    </row>
    <row r="112" spans="2:12" x14ac:dyDescent="0.35">
      <c r="B112" t="s">
        <v>214</v>
      </c>
      <c r="C112" t="s">
        <v>215</v>
      </c>
      <c r="D112" s="79" t="e">
        <f>(D16/#REF!-1)</f>
        <v>#REF!</v>
      </c>
      <c r="E112" s="79" t="e">
        <f t="shared" si="24"/>
        <v>#DIV/0!</v>
      </c>
      <c r="F112" s="79" t="e">
        <f t="shared" si="24"/>
        <v>#DIV/0!</v>
      </c>
      <c r="G112" s="79" t="e">
        <f t="shared" si="24"/>
        <v>#DIV/0!</v>
      </c>
      <c r="H112" s="79" t="e">
        <f t="shared" si="24"/>
        <v>#DIV/0!</v>
      </c>
      <c r="I112" s="79" t="e">
        <f t="shared" si="24"/>
        <v>#DIV/0!</v>
      </c>
      <c r="J112" s="79" t="e">
        <f t="shared" si="24"/>
        <v>#DIV/0!</v>
      </c>
      <c r="K112" s="79" t="e">
        <f t="shared" si="24"/>
        <v>#DIV/0!</v>
      </c>
    </row>
    <row r="113" spans="2:11" x14ac:dyDescent="0.35">
      <c r="B113" t="s">
        <v>216</v>
      </c>
      <c r="C113" t="s">
        <v>217</v>
      </c>
      <c r="D113" s="79" t="e">
        <f>(D17/#REF!-1)</f>
        <v>#REF!</v>
      </c>
      <c r="E113" s="79">
        <f t="shared" si="24"/>
        <v>0</v>
      </c>
      <c r="F113" s="79">
        <f t="shared" si="24"/>
        <v>0</v>
      </c>
      <c r="G113" s="79">
        <f t="shared" si="24"/>
        <v>0</v>
      </c>
      <c r="H113" s="79">
        <f t="shared" si="24"/>
        <v>-0.79342327150084313</v>
      </c>
      <c r="I113" s="79">
        <f t="shared" si="24"/>
        <v>-1</v>
      </c>
      <c r="J113" s="79" t="e">
        <f t="shared" si="24"/>
        <v>#DIV/0!</v>
      </c>
      <c r="K113" s="79" t="e">
        <f t="shared" si="24"/>
        <v>#DIV/0!</v>
      </c>
    </row>
    <row r="114" spans="2:11" x14ac:dyDescent="0.35">
      <c r="B114" t="s">
        <v>218</v>
      </c>
      <c r="C114" t="s">
        <v>219</v>
      </c>
      <c r="D114" s="79" t="e">
        <f>(D18/#REF!-1)</f>
        <v>#REF!</v>
      </c>
      <c r="E114" s="79">
        <f t="shared" si="24"/>
        <v>0</v>
      </c>
      <c r="F114" s="79">
        <f t="shared" si="24"/>
        <v>0</v>
      </c>
      <c r="G114" s="79">
        <f t="shared" si="24"/>
        <v>0</v>
      </c>
      <c r="H114" s="79">
        <f t="shared" si="24"/>
        <v>2.5153374233128911E-2</v>
      </c>
      <c r="I114" s="79">
        <f t="shared" si="24"/>
        <v>-1</v>
      </c>
      <c r="J114" s="79" t="e">
        <f t="shared" si="24"/>
        <v>#DIV/0!</v>
      </c>
      <c r="K114" s="79" t="e">
        <f t="shared" si="24"/>
        <v>#DIV/0!</v>
      </c>
    </row>
    <row r="115" spans="2:11" x14ac:dyDescent="0.35">
      <c r="B115" t="s">
        <v>220</v>
      </c>
      <c r="C115" t="s">
        <v>221</v>
      </c>
      <c r="D115" s="79" t="e">
        <f>(D19/#REF!-1)</f>
        <v>#REF!</v>
      </c>
      <c r="E115" s="79">
        <f t="shared" si="24"/>
        <v>2.618678940552055E-2</v>
      </c>
      <c r="F115" s="79">
        <f t="shared" si="24"/>
        <v>9.8589721374329198E-3</v>
      </c>
      <c r="G115" s="79">
        <f t="shared" si="24"/>
        <v>9.8290652489436692E-3</v>
      </c>
      <c r="H115" s="79">
        <f t="shared" si="24"/>
        <v>2.469260403580309E-3</v>
      </c>
      <c r="I115" s="79">
        <f t="shared" si="24"/>
        <v>2.8159892427566335E-2</v>
      </c>
      <c r="J115" s="79">
        <f t="shared" si="24"/>
        <v>1.0809635525173888E-2</v>
      </c>
      <c r="K115" s="79">
        <f t="shared" si="24"/>
        <v>1.1547110090802004E-2</v>
      </c>
    </row>
    <row r="116" spans="2:11" x14ac:dyDescent="0.35">
      <c r="B116" t="s">
        <v>222</v>
      </c>
      <c r="C116" t="s">
        <v>223</v>
      </c>
      <c r="D116" s="79" t="e">
        <f>(D20/#REF!-1)</f>
        <v>#REF!</v>
      </c>
      <c r="E116" s="79">
        <f t="shared" si="24"/>
        <v>1.4618383504631627E-2</v>
      </c>
      <c r="F116" s="79">
        <f t="shared" si="24"/>
        <v>1.4618383504631627E-2</v>
      </c>
      <c r="G116" s="79">
        <f t="shared" si="24"/>
        <v>1.4618383504631627E-2</v>
      </c>
      <c r="H116" s="79">
        <f t="shared" si="24"/>
        <v>1.4618383504631627E-2</v>
      </c>
      <c r="I116" s="79">
        <f t="shared" si="24"/>
        <v>1.4618383504631627E-2</v>
      </c>
      <c r="J116" s="79">
        <f t="shared" si="24"/>
        <v>1.4618383504631627E-2</v>
      </c>
      <c r="K116" s="79">
        <f t="shared" si="24"/>
        <v>1.4618383504631627E-2</v>
      </c>
    </row>
    <row r="117" spans="2:11" x14ac:dyDescent="0.35">
      <c r="B117" t="s">
        <v>224</v>
      </c>
      <c r="C117" t="s">
        <v>225</v>
      </c>
      <c r="D117" s="79" t="e">
        <f>(D21/#REF!-1)</f>
        <v>#REF!</v>
      </c>
      <c r="E117" s="79">
        <f t="shared" si="24"/>
        <v>1.8664128496542309E-2</v>
      </c>
      <c r="F117" s="79">
        <f t="shared" si="24"/>
        <v>7.4743000228711942E-3</v>
      </c>
      <c r="G117" s="79">
        <f t="shared" si="24"/>
        <v>5.6136666199502194E-3</v>
      </c>
      <c r="H117" s="79">
        <f t="shared" si="24"/>
        <v>3.7710274384352704E-3</v>
      </c>
      <c r="I117" s="79">
        <f t="shared" si="24"/>
        <v>2.2320869797145981E-2</v>
      </c>
      <c r="J117" s="79">
        <f t="shared" si="24"/>
        <v>1.1541784968921442E-2</v>
      </c>
      <c r="K117" s="79">
        <f t="shared" si="24"/>
        <v>1.1518163582630914E-2</v>
      </c>
    </row>
    <row r="118" spans="2:11" x14ac:dyDescent="0.35">
      <c r="B118" t="s">
        <v>226</v>
      </c>
      <c r="C118" t="s">
        <v>227</v>
      </c>
      <c r="D118" s="79" t="e">
        <f>(D22/#REF!-1)</f>
        <v>#REF!</v>
      </c>
      <c r="E118" s="79">
        <f t="shared" si="24"/>
        <v>5.647949938395902E-3</v>
      </c>
      <c r="F118" s="79">
        <f t="shared" si="24"/>
        <v>7.7195806135048617E-3</v>
      </c>
      <c r="G118" s="79">
        <f t="shared" si="24"/>
        <v>8.0474024247507714E-3</v>
      </c>
      <c r="H118" s="79">
        <f t="shared" si="24"/>
        <v>8.604154027725075E-3</v>
      </c>
      <c r="I118" s="79">
        <f t="shared" si="24"/>
        <v>8.4530465315220127E-3</v>
      </c>
      <c r="J118" s="79">
        <f t="shared" si="24"/>
        <v>9.6611955930629989E-3</v>
      </c>
      <c r="K118" s="79">
        <f t="shared" si="24"/>
        <v>9.6915254525926642E-3</v>
      </c>
    </row>
    <row r="119" spans="2:11" x14ac:dyDescent="0.35">
      <c r="B119" t="s">
        <v>228</v>
      </c>
      <c r="C119" t="s">
        <v>229</v>
      </c>
      <c r="D119" s="79" t="e">
        <f>(D23/#REF!-1)</f>
        <v>#REF!</v>
      </c>
      <c r="E119" s="79">
        <f t="shared" si="24"/>
        <v>4.5918539300787931E-2</v>
      </c>
      <c r="F119" s="79">
        <f t="shared" si="24"/>
        <v>5.9080857036087453E-2</v>
      </c>
      <c r="G119" s="79">
        <f t="shared" si="24"/>
        <v>7.2408815403668836E-2</v>
      </c>
      <c r="H119" s="79">
        <f t="shared" si="24"/>
        <v>4.4800213444162074E-2</v>
      </c>
      <c r="I119" s="79">
        <f t="shared" si="24"/>
        <v>4.0973124304243491E-2</v>
      </c>
      <c r="J119" s="79">
        <f t="shared" si="24"/>
        <v>3.7160053740409094E-2</v>
      </c>
      <c r="K119" s="79">
        <f t="shared" si="24"/>
        <v>3.3360950402802958E-2</v>
      </c>
    </row>
    <row r="120" spans="2:11" x14ac:dyDescent="0.35">
      <c r="B120" t="s">
        <v>230</v>
      </c>
      <c r="C120" t="s">
        <v>231</v>
      </c>
      <c r="D120" s="79" t="e">
        <f>(D24/#REF!-1)</f>
        <v>#REF!</v>
      </c>
      <c r="E120" s="79">
        <f t="shared" ref="E120:K121" si="25">(E24/D56-1)</f>
        <v>3.707714581485444E-3</v>
      </c>
      <c r="F120" s="79">
        <f t="shared" si="25"/>
        <v>-5.8122644327993633E-3</v>
      </c>
      <c r="G120" s="79">
        <f t="shared" si="25"/>
        <v>-1.3878016230101209E-2</v>
      </c>
      <c r="H120" s="79">
        <f t="shared" si="25"/>
        <v>-1.9958262225800438E-2</v>
      </c>
      <c r="I120" s="79">
        <f t="shared" si="25"/>
        <v>-1.9254569242518338E-2</v>
      </c>
      <c r="J120" s="79">
        <f t="shared" si="25"/>
        <v>-1.2987489374831407E-2</v>
      </c>
      <c r="K120" s="79">
        <f t="shared" si="25"/>
        <v>-1.3260607588137407E-2</v>
      </c>
    </row>
    <row r="121" spans="2:11" x14ac:dyDescent="0.35">
      <c r="B121" s="56" t="s">
        <v>1380</v>
      </c>
      <c r="C121" s="56" t="s">
        <v>1379</v>
      </c>
      <c r="D121" s="79" t="e">
        <f>(D25/#REF!-1)</f>
        <v>#REF!</v>
      </c>
      <c r="E121" s="79">
        <f t="shared" si="25"/>
        <v>-1.657839072998879E-3</v>
      </c>
      <c r="F121" s="79">
        <f t="shared" si="25"/>
        <v>9.131933340439824E-3</v>
      </c>
      <c r="G121" s="79">
        <f t="shared" si="25"/>
        <v>8.7676056338028552E-3</v>
      </c>
      <c r="H121" s="79">
        <f t="shared" si="25"/>
        <v>9.1102656288177819E-3</v>
      </c>
      <c r="I121" s="79">
        <f t="shared" si="25"/>
        <v>0</v>
      </c>
      <c r="J121" s="79">
        <f t="shared" si="25"/>
        <v>0</v>
      </c>
      <c r="K121" s="79">
        <f t="shared" si="25"/>
        <v>-1</v>
      </c>
    </row>
    <row r="122" spans="2:11" x14ac:dyDescent="0.35">
      <c r="B122" s="56"/>
      <c r="D122" s="79"/>
      <c r="E122" s="79"/>
    </row>
    <row r="123" spans="2:11" x14ac:dyDescent="0.35">
      <c r="B123" s="72" t="s">
        <v>1890</v>
      </c>
      <c r="D123" s="79"/>
      <c r="E123" s="79"/>
    </row>
    <row r="124" spans="2:11" x14ac:dyDescent="0.35">
      <c r="B124" s="56" t="s">
        <v>1704</v>
      </c>
      <c r="D124" s="79">
        <f t="shared" ref="D124:K128" si="26">(D28/D60-1)</f>
        <v>0.47291042225660429</v>
      </c>
      <c r="E124" s="79">
        <f t="shared" si="26"/>
        <v>5.5872541496975625E-2</v>
      </c>
      <c r="F124" s="79">
        <f t="shared" si="26"/>
        <v>2.8120266503838254E-2</v>
      </c>
      <c r="G124" s="79">
        <f t="shared" si="26"/>
        <v>9.5387410749572243E-3</v>
      </c>
      <c r="H124" s="79">
        <f t="shared" si="26"/>
        <v>1.9442600156716727E-2</v>
      </c>
      <c r="I124" s="79">
        <f t="shared" si="26"/>
        <v>2.2789612384161995E-2</v>
      </c>
      <c r="J124" s="79">
        <f t="shared" si="26"/>
        <v>3.124451234004133E-2</v>
      </c>
      <c r="K124" s="79">
        <f t="shared" si="26"/>
        <v>4.081616466378124E-2</v>
      </c>
    </row>
    <row r="125" spans="2:11" x14ac:dyDescent="0.35">
      <c r="B125" s="56" t="s">
        <v>1705</v>
      </c>
      <c r="D125" s="79">
        <f t="shared" si="26"/>
        <v>0.1584149413894862</v>
      </c>
      <c r="E125" s="79">
        <f t="shared" si="26"/>
        <v>-0.26416670723860147</v>
      </c>
      <c r="F125" s="79">
        <f t="shared" si="26"/>
        <v>-3.9930360944500087E-2</v>
      </c>
      <c r="G125" s="79">
        <f t="shared" si="26"/>
        <v>1.3819692363882696E-2</v>
      </c>
      <c r="H125" s="79">
        <f t="shared" si="26"/>
        <v>6.2902467670208129E-2</v>
      </c>
      <c r="I125" s="79">
        <f t="shared" si="26"/>
        <v>6.7541654114619432E-2</v>
      </c>
      <c r="J125" s="79">
        <f t="shared" si="26"/>
        <v>3.124451234004133E-2</v>
      </c>
      <c r="K125" s="79">
        <f t="shared" si="26"/>
        <v>4.081616466378124E-2</v>
      </c>
    </row>
    <row r="126" spans="2:11" x14ac:dyDescent="0.35">
      <c r="B126" s="56" t="s">
        <v>1706</v>
      </c>
      <c r="D126" s="79">
        <f t="shared" si="26"/>
        <v>-8.5470463185754908E-2</v>
      </c>
      <c r="E126" s="79">
        <f t="shared" si="26"/>
        <v>0.30648235610282915</v>
      </c>
      <c r="F126" s="79">
        <f t="shared" si="26"/>
        <v>-1</v>
      </c>
      <c r="G126" s="79">
        <f t="shared" si="26"/>
        <v>0.125</v>
      </c>
      <c r="H126" s="79" t="e">
        <f t="shared" si="26"/>
        <v>#DIV/0!</v>
      </c>
      <c r="I126" s="79" t="e">
        <f t="shared" si="26"/>
        <v>#DIV/0!</v>
      </c>
      <c r="J126" s="79" t="e">
        <f t="shared" si="26"/>
        <v>#DIV/0!</v>
      </c>
      <c r="K126" s="79" t="e">
        <f t="shared" si="26"/>
        <v>#DIV/0!</v>
      </c>
    </row>
    <row r="127" spans="2:11" x14ac:dyDescent="0.35">
      <c r="B127" s="56" t="s">
        <v>1707</v>
      </c>
      <c r="D127" s="79">
        <f t="shared" si="26"/>
        <v>6.9143432714992681E-2</v>
      </c>
      <c r="E127" s="79">
        <f t="shared" si="26"/>
        <v>0.30648235610282915</v>
      </c>
      <c r="F127" s="79">
        <f t="shared" si="26"/>
        <v>-0.35773146866388617</v>
      </c>
      <c r="G127" s="79">
        <f t="shared" si="26"/>
        <v>-0.32149395178796325</v>
      </c>
      <c r="H127" s="79">
        <f t="shared" si="26"/>
        <v>-0.29584495613263606</v>
      </c>
      <c r="I127" s="79">
        <f t="shared" si="26"/>
        <v>-6.8473946229163918E-4</v>
      </c>
      <c r="J127" s="79">
        <f t="shared" si="26"/>
        <v>0.43007105555884118</v>
      </c>
      <c r="K127" s="79">
        <f t="shared" si="26"/>
        <v>0.38364354175679183</v>
      </c>
    </row>
    <row r="128" spans="2:11" x14ac:dyDescent="0.35">
      <c r="B128" s="56" t="s">
        <v>1708</v>
      </c>
      <c r="D128" s="79">
        <f t="shared" si="26"/>
        <v>-0.51436439639762388</v>
      </c>
      <c r="E128" s="79">
        <f t="shared" si="26"/>
        <v>0.30648235610282915</v>
      </c>
      <c r="F128" s="79">
        <f t="shared" si="26"/>
        <v>0.20085344577567876</v>
      </c>
      <c r="G128" s="79">
        <f t="shared" si="26"/>
        <v>0.33412410724467922</v>
      </c>
      <c r="H128" s="79">
        <f t="shared" si="26"/>
        <v>0.40263579298543406</v>
      </c>
      <c r="I128" s="79">
        <f t="shared" si="26"/>
        <v>0.4496703843390284</v>
      </c>
      <c r="J128" s="79">
        <f t="shared" si="26"/>
        <v>0.37069990749276593</v>
      </c>
      <c r="K128" s="79">
        <f t="shared" si="26"/>
        <v>0.34551114759581303</v>
      </c>
    </row>
  </sheetData>
  <mergeCells count="4">
    <mergeCell ref="B2:L2"/>
    <mergeCell ref="B34:L34"/>
    <mergeCell ref="B66:L66"/>
    <mergeCell ref="B98:L98"/>
  </mergeCells>
  <conditionalFormatting sqref="D68:K96 F100:K121 D100:E123 D124:K128">
    <cfRule type="cellIs" dxfId="1" priority="1" operator="lessThan">
      <formula>0</formula>
    </cfRule>
    <cfRule type="cellIs" dxfId="0" priority="2" operator="greaterThan">
      <formula>0</formula>
    </cfRule>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115" zoomScaleNormal="115" workbookViewId="0">
      <selection activeCell="C18" sqref="C18"/>
    </sheetView>
  </sheetViews>
  <sheetFormatPr defaultColWidth="10.90625" defaultRowHeight="14.5" x14ac:dyDescent="0.35"/>
  <cols>
    <col min="1" max="1" width="41.1796875" customWidth="1"/>
    <col min="2" max="2" width="23.453125" customWidth="1"/>
  </cols>
  <sheetData>
    <row r="1" spans="1:11" x14ac:dyDescent="0.35">
      <c r="A1" s="72" t="s">
        <v>178</v>
      </c>
      <c r="B1" s="72" t="s">
        <v>179</v>
      </c>
      <c r="C1" s="82" t="s">
        <v>176</v>
      </c>
      <c r="D1" s="82" t="s">
        <v>177</v>
      </c>
      <c r="E1" s="82" t="s">
        <v>763</v>
      </c>
      <c r="F1" s="82" t="s">
        <v>764</v>
      </c>
      <c r="G1" s="82" t="s">
        <v>765</v>
      </c>
      <c r="H1" s="82" t="s">
        <v>1152</v>
      </c>
      <c r="I1" s="82" t="s">
        <v>1153</v>
      </c>
      <c r="J1" s="82" t="s">
        <v>1154</v>
      </c>
      <c r="K1" s="82" t="s">
        <v>1155</v>
      </c>
    </row>
    <row r="2" spans="1:11" x14ac:dyDescent="0.35">
      <c r="A2" t="s">
        <v>192</v>
      </c>
      <c r="B2" t="s">
        <v>193</v>
      </c>
      <c r="C2" s="76">
        <f>Grants!AB73</f>
        <v>463.54132570000002</v>
      </c>
      <c r="D2" s="76">
        <f>Grants!AC73</f>
        <v>447.08815956920625</v>
      </c>
      <c r="E2" s="76">
        <f>Grants!AD73</f>
        <v>442.7962896849757</v>
      </c>
      <c r="F2" s="76">
        <f>Grants!AE73</f>
        <v>445.70973999598249</v>
      </c>
      <c r="G2" s="76">
        <f>Grants!AF73</f>
        <v>444.7661988000001</v>
      </c>
      <c r="H2" s="76">
        <f>Grants!AG73</f>
        <v>447.86348787197454</v>
      </c>
      <c r="I2" s="76">
        <f>Grants!AH73</f>
        <v>448.18829579237479</v>
      </c>
      <c r="J2" s="76">
        <f>Grants!AI73</f>
        <v>452.34692327582184</v>
      </c>
      <c r="K2" s="76">
        <f>Grants!AJ73</f>
        <v>454.53667400000006</v>
      </c>
    </row>
    <row r="3" spans="1:11" x14ac:dyDescent="0.35">
      <c r="A3" t="s">
        <v>134</v>
      </c>
      <c r="B3" t="s">
        <v>194</v>
      </c>
      <c r="C3" s="76">
        <f>Grants!AB94</f>
        <v>79.275000000000006</v>
      </c>
      <c r="D3" s="76">
        <f>Grants!AC94</f>
        <v>79.275000000000006</v>
      </c>
      <c r="E3" s="76">
        <f>Grants!AD94</f>
        <v>75.203000000000003</v>
      </c>
      <c r="F3" s="76">
        <f>Grants!AE94</f>
        <v>75.203000000000003</v>
      </c>
      <c r="G3" s="76">
        <f>Grants!AF94</f>
        <v>75.203000000000003</v>
      </c>
      <c r="H3" s="76">
        <f>Grants!AG94</f>
        <v>75.203000000000003</v>
      </c>
      <c r="I3" s="76">
        <f>Grants!AH94</f>
        <v>75.203000000000003</v>
      </c>
      <c r="J3" s="76">
        <f>Grants!AI94</f>
        <v>75.203000000000003</v>
      </c>
      <c r="K3" s="76">
        <f>Grants!AJ94</f>
        <v>75.203000000000003</v>
      </c>
    </row>
    <row r="4" spans="1:11" x14ac:dyDescent="0.35">
      <c r="A4" t="s">
        <v>195</v>
      </c>
      <c r="B4" t="s">
        <v>196</v>
      </c>
      <c r="C4" s="76">
        <f>'Federal and State Purchases'!AB11</f>
        <v>1922</v>
      </c>
      <c r="D4" s="76">
        <f>'Federal and State Purchases'!AC11</f>
        <v>1915.802138815616</v>
      </c>
      <c r="E4" s="76">
        <f>'Federal and State Purchases'!AD11</f>
        <v>1915.4953797480491</v>
      </c>
      <c r="F4" s="76">
        <f>'Federal and State Purchases'!AE11</f>
        <v>1921.0453042897229</v>
      </c>
      <c r="G4" s="76">
        <f>'Federal and State Purchases'!AF11</f>
        <v>1926.8350422365586</v>
      </c>
      <c r="H4" s="76">
        <f>'Federal and State Purchases'!AG11</f>
        <v>1936.905422868183</v>
      </c>
      <c r="I4" s="76">
        <f>'Federal and State Purchases'!AH11</f>
        <v>1947.3525189394525</v>
      </c>
      <c r="J4" s="76">
        <f>'Federal and State Purchases'!AI11</f>
        <v>1958.5502091242565</v>
      </c>
      <c r="K4" s="76">
        <f>'Federal and State Purchases'!AJ11</f>
        <v>1968.5501032900847</v>
      </c>
    </row>
    <row r="5" spans="1:11" x14ac:dyDescent="0.35">
      <c r="A5" t="s">
        <v>197</v>
      </c>
      <c r="B5" t="s">
        <v>198</v>
      </c>
      <c r="C5" s="76">
        <f>'Federal and State Purchases'!AB28</f>
        <v>3174.7</v>
      </c>
      <c r="D5" s="76">
        <f>'Federal and State Purchases'!AC28</f>
        <v>3204.8018356664493</v>
      </c>
      <c r="E5" s="76">
        <f>'Federal and State Purchases'!AD28</f>
        <v>3231.0611571161521</v>
      </c>
      <c r="F5" s="76">
        <f>'Federal and State Purchases'!AE28</f>
        <v>3260.5896771754583</v>
      </c>
      <c r="G5" s="76">
        <f>'Federal and State Purchases'!AF28</f>
        <v>3291.220602030065</v>
      </c>
      <c r="H5" s="76">
        <f>'Federal and State Purchases'!AG28</f>
        <v>3322.7231616521558</v>
      </c>
      <c r="I5" s="76">
        <f>'Federal and State Purchases'!AH28</f>
        <v>3352.0947052084016</v>
      </c>
      <c r="J5" s="76">
        <f>'Federal and State Purchases'!AI28</f>
        <v>3382.0196706636507</v>
      </c>
      <c r="K5" s="76">
        <f>'Federal and State Purchases'!AJ28</f>
        <v>3411.2234432123032</v>
      </c>
    </row>
    <row r="6" spans="1:11" x14ac:dyDescent="0.35">
      <c r="A6" t="s">
        <v>199</v>
      </c>
      <c r="B6" t="s">
        <v>200</v>
      </c>
      <c r="C6" s="76">
        <f>Subsidies!AB46</f>
        <v>93.900999999999996</v>
      </c>
      <c r="D6" s="76">
        <f>Subsidies!AC46</f>
        <v>93.900999999999996</v>
      </c>
      <c r="E6" s="76">
        <f>Subsidies!AD46</f>
        <v>85.879000000000005</v>
      </c>
      <c r="F6" s="76">
        <f>Subsidies!AE46</f>
        <v>85.879000000000005</v>
      </c>
      <c r="G6" s="76">
        <f>Subsidies!AF46</f>
        <v>90.218000000000004</v>
      </c>
      <c r="H6" s="76">
        <f>Subsidies!AG46</f>
        <v>88.067999999999998</v>
      </c>
      <c r="I6" s="76">
        <f>Subsidies!AH46</f>
        <v>88.067999999999998</v>
      </c>
      <c r="J6" s="76">
        <f>Subsidies!AI46</f>
        <v>88.067999999999998</v>
      </c>
      <c r="K6" s="76">
        <f>Subsidies!AJ46</f>
        <v>88.067999999999998</v>
      </c>
    </row>
    <row r="7" spans="1:11" x14ac:dyDescent="0.35">
      <c r="A7" t="s">
        <v>201</v>
      </c>
      <c r="B7" t="s">
        <v>202</v>
      </c>
      <c r="C7" s="76">
        <f>Subsidies!AB45</f>
        <v>-0.90100000000000025</v>
      </c>
      <c r="D7" s="76">
        <f>Subsidies!AC45</f>
        <v>-0.90100000000000025</v>
      </c>
      <c r="E7" s="76">
        <f>Subsidies!AD45</f>
        <v>-0.90100000000000025</v>
      </c>
      <c r="F7" s="76">
        <f>Subsidies!AE45</f>
        <v>-0.90100000000000025</v>
      </c>
      <c r="G7" s="76">
        <f>Subsidies!AF45</f>
        <v>-2.1500000000000004</v>
      </c>
      <c r="H7" s="76">
        <f>Subsidies!AG45</f>
        <v>0</v>
      </c>
      <c r="I7" s="76">
        <f>Subsidies!AH45</f>
        <v>0</v>
      </c>
      <c r="J7" s="76">
        <f>Subsidies!AI45</f>
        <v>0</v>
      </c>
      <c r="K7" s="76">
        <f>Subsidies!AJ45</f>
        <v>0</v>
      </c>
    </row>
    <row r="8" spans="1:11" x14ac:dyDescent="0.35">
      <c r="A8" t="s">
        <v>203</v>
      </c>
      <c r="B8" t="s">
        <v>204</v>
      </c>
      <c r="C8" s="76">
        <f>'Unemployment Insurance'!AB20</f>
        <v>0.39999999999999858</v>
      </c>
      <c r="D8" s="76">
        <f>'Unemployment Insurance'!AC20</f>
        <v>0</v>
      </c>
      <c r="E8" s="76">
        <f>'Unemployment Insurance'!AD20</f>
        <v>0</v>
      </c>
      <c r="F8" s="76">
        <f>'Unemployment Insurance'!AE20</f>
        <v>0</v>
      </c>
      <c r="G8" s="76">
        <f>'Unemployment Insurance'!AF20</f>
        <v>0</v>
      </c>
      <c r="H8" s="76">
        <f>'Unemployment Insurance'!AG20</f>
        <v>0</v>
      </c>
      <c r="I8" s="76">
        <f>'Unemployment Insurance'!AH20</f>
        <v>0</v>
      </c>
      <c r="J8" s="76">
        <f>'Unemployment Insurance'!AI20</f>
        <v>0</v>
      </c>
      <c r="K8" s="76">
        <f>'Unemployment Insurance'!AJ20</f>
        <v>0</v>
      </c>
    </row>
    <row r="9" spans="1:11" x14ac:dyDescent="0.35">
      <c r="A9" t="s">
        <v>205</v>
      </c>
      <c r="B9" t="s">
        <v>206</v>
      </c>
      <c r="C9" s="76">
        <f>'Unemployment Insurance'!AB21</f>
        <v>35.700000000000003</v>
      </c>
      <c r="D9" s="76">
        <f>'Unemployment Insurance'!AC21</f>
        <v>35.700000000000003</v>
      </c>
      <c r="E9" s="76">
        <f>'Unemployment Insurance'!AD21</f>
        <v>35.700000000000003</v>
      </c>
      <c r="F9" s="76">
        <f>'Unemployment Insurance'!AE21</f>
        <v>35.700000000000003</v>
      </c>
      <c r="G9" s="76">
        <f>'Unemployment Insurance'!AF21</f>
        <v>35.700000000000003</v>
      </c>
      <c r="H9" s="76">
        <f>'Unemployment Insurance'!AG21</f>
        <v>35.700000000000003</v>
      </c>
      <c r="I9" s="76">
        <f>'Unemployment Insurance'!AH21</f>
        <v>35.700000000000003</v>
      </c>
      <c r="J9" s="76">
        <f>'Unemployment Insurance'!AI21</f>
        <v>35.700000000000003</v>
      </c>
      <c r="K9" s="76">
        <f>'Unemployment Insurance'!AJ21</f>
        <v>35.700000000000003</v>
      </c>
    </row>
    <row r="10" spans="1:11" x14ac:dyDescent="0.35">
      <c r="A10" s="56" t="s">
        <v>207</v>
      </c>
      <c r="B10" s="56" t="s">
        <v>208</v>
      </c>
      <c r="C10" s="76">
        <f>Medicaid!AB29</f>
        <v>655.17499999999995</v>
      </c>
      <c r="D10" s="76">
        <f>Medicaid!AC29</f>
        <v>661.27117981628589</v>
      </c>
      <c r="E10" s="76">
        <f>Medicaid!AD29</f>
        <v>674.72576616221306</v>
      </c>
      <c r="F10" s="76">
        <f>Medicaid!AE29</f>
        <v>689.58740069290093</v>
      </c>
      <c r="G10" s="76">
        <f>Medicaid!AF29</f>
        <v>698.87355434841629</v>
      </c>
      <c r="H10" s="76">
        <f>Medicaid!AG29</f>
        <v>709.01587870669846</v>
      </c>
      <c r="I10" s="76">
        <f>Medicaid!AH29</f>
        <v>719.41328954169887</v>
      </c>
      <c r="J10" s="76">
        <f>Medicaid!AI29</f>
        <v>729.99170553910426</v>
      </c>
      <c r="K10" s="76">
        <f>Medicaid!AJ29</f>
        <v>740.62183191583563</v>
      </c>
    </row>
    <row r="11" spans="1:11" x14ac:dyDescent="0.35">
      <c r="A11" s="56" t="s">
        <v>209</v>
      </c>
      <c r="B11" s="56" t="s">
        <v>210</v>
      </c>
      <c r="C11" s="76">
        <f>Medicaid!AB27</f>
        <v>957.6</v>
      </c>
      <c r="D11" s="76">
        <f>Medicaid!AC27</f>
        <v>967.10719642383469</v>
      </c>
      <c r="E11" s="76">
        <f>Medicaid!AD27</f>
        <v>986.80806321951536</v>
      </c>
      <c r="F11" s="76">
        <f>Medicaid!AE27</f>
        <v>1006.9102548672251</v>
      </c>
      <c r="G11" s="76">
        <f>Medicaid!AF27</f>
        <v>1021.540719904543</v>
      </c>
      <c r="H11" s="76">
        <f>Medicaid!AG27</f>
        <v>1036.383766456622</v>
      </c>
      <c r="I11" s="76">
        <f>Medicaid!AH27</f>
        <v>1051.4424833453349</v>
      </c>
      <c r="J11" s="76">
        <f>Medicaid!AI27</f>
        <v>1066.7200042733177</v>
      </c>
      <c r="K11" s="76">
        <f>Medicaid!AJ27</f>
        <v>1082.4599340037141</v>
      </c>
    </row>
    <row r="12" spans="1:11" x14ac:dyDescent="0.35">
      <c r="A12" t="s">
        <v>55</v>
      </c>
      <c r="B12" t="s">
        <v>211</v>
      </c>
      <c r="C12" s="76">
        <f>Medicare!AB10</f>
        <v>1118.5</v>
      </c>
      <c r="D12" s="76">
        <f>Medicare!AC10</f>
        <v>1148.7441849890008</v>
      </c>
      <c r="E12" s="76">
        <f>Medicare!AD10</f>
        <v>1163.3735320395349</v>
      </c>
      <c r="F12" s="76">
        <f>Medicare!AE10</f>
        <v>1178.1891849690642</v>
      </c>
      <c r="G12" s="76">
        <f>Medicare!AF10</f>
        <v>1195.8207821959634</v>
      </c>
      <c r="H12" s="76">
        <f>Medicare!AG10</f>
        <v>1213.7162362166082</v>
      </c>
      <c r="I12" s="76">
        <f>Medicare!AH10</f>
        <v>1231.8794956470376</v>
      </c>
      <c r="J12" s="76">
        <f>Medicare!AI10</f>
        <v>1250.3145681943167</v>
      </c>
      <c r="K12" s="76">
        <f>Medicare!AJ10</f>
        <v>1269.1869229993349</v>
      </c>
    </row>
    <row r="13" spans="1:11" x14ac:dyDescent="0.35">
      <c r="A13" t="s">
        <v>212</v>
      </c>
      <c r="B13" t="s">
        <v>213</v>
      </c>
      <c r="C13" s="76">
        <f>'Rebate Checks (expired)'!AB11</f>
        <v>0</v>
      </c>
      <c r="D13" s="76">
        <f>'Rebate Checks (expired)'!AC11</f>
        <v>0</v>
      </c>
      <c r="E13" s="76">
        <f>'Rebate Checks (expired)'!AD11</f>
        <v>0</v>
      </c>
      <c r="F13" s="76">
        <f>'Rebate Checks (expired)'!AE11</f>
        <v>0</v>
      </c>
      <c r="G13" s="76">
        <f>'Rebate Checks (expired)'!AF11</f>
        <v>0</v>
      </c>
      <c r="H13" s="76">
        <f>'Rebate Checks (expired)'!AG11</f>
        <v>0</v>
      </c>
      <c r="I13" s="76">
        <f>'Rebate Checks (expired)'!AH11</f>
        <v>0</v>
      </c>
      <c r="J13" s="76">
        <f>'Rebate Checks (expired)'!AI11</f>
        <v>0</v>
      </c>
      <c r="K13" s="76">
        <f>'Rebate Checks (expired)'!AJ11</f>
        <v>0</v>
      </c>
    </row>
    <row r="14" spans="1:11" x14ac:dyDescent="0.35">
      <c r="A14" t="s">
        <v>214</v>
      </c>
      <c r="B14" t="s">
        <v>215</v>
      </c>
      <c r="C14" s="76">
        <f>'Rebate Checks (expired)'!AB10</f>
        <v>0</v>
      </c>
      <c r="D14" s="76">
        <f>'Rebate Checks (expired)'!AC10</f>
        <v>0</v>
      </c>
      <c r="E14" s="76">
        <f>'Rebate Checks (expired)'!AD10</f>
        <v>0</v>
      </c>
      <c r="F14" s="76">
        <f>'Rebate Checks (expired)'!AE10</f>
        <v>0</v>
      </c>
      <c r="G14" s="76">
        <f>'Rebate Checks (expired)'!AF10</f>
        <v>0</v>
      </c>
      <c r="H14" s="76">
        <f>'Rebate Checks (expired)'!AG10</f>
        <v>0</v>
      </c>
      <c r="I14" s="76">
        <f>'Rebate Checks (expired)'!AH10</f>
        <v>0</v>
      </c>
      <c r="J14" s="76">
        <f>'Rebate Checks (expired)'!AI10</f>
        <v>0</v>
      </c>
      <c r="K14" s="76">
        <f>'Rebate Checks (expired)'!AJ10</f>
        <v>0</v>
      </c>
    </row>
    <row r="15" spans="1:11" x14ac:dyDescent="0.35">
      <c r="A15" t="s">
        <v>216</v>
      </c>
      <c r="B15" t="s">
        <v>217</v>
      </c>
      <c r="C15" s="76">
        <f>'Social Benefits'!AB24</f>
        <v>2.3719999999999999</v>
      </c>
      <c r="D15" s="76">
        <f>'Social Benefits'!AC24</f>
        <v>2.3719999999999999</v>
      </c>
      <c r="E15" s="76">
        <f>'Social Benefits'!AD24</f>
        <v>2.3719999999999999</v>
      </c>
      <c r="F15" s="76">
        <f>'Social Benefits'!AE24</f>
        <v>2.3719999999999999</v>
      </c>
      <c r="G15" s="76">
        <f>'Social Benefits'!AF24</f>
        <v>0.49</v>
      </c>
      <c r="H15" s="76">
        <f>'Social Benefits'!AG24</f>
        <v>0</v>
      </c>
      <c r="I15" s="76">
        <f>'Social Benefits'!AH24</f>
        <v>0</v>
      </c>
      <c r="J15" s="76">
        <f>'Social Benefits'!AI24</f>
        <v>0</v>
      </c>
      <c r="K15" s="76">
        <f>'Social Benefits'!AJ24</f>
        <v>0</v>
      </c>
    </row>
    <row r="16" spans="1:11" x14ac:dyDescent="0.35">
      <c r="A16" t="s">
        <v>795</v>
      </c>
      <c r="B16" t="s">
        <v>219</v>
      </c>
      <c r="C16" s="76">
        <f>'Social Benefits'!AB30</f>
        <v>1.63</v>
      </c>
      <c r="D16" s="76">
        <f>'Social Benefits'!AC30</f>
        <v>1.63</v>
      </c>
      <c r="E16" s="76">
        <f>'Social Benefits'!AD30</f>
        <v>1.63</v>
      </c>
      <c r="F16" s="76">
        <f>'Social Benefits'!AE30</f>
        <v>1.63</v>
      </c>
      <c r="G16" s="76">
        <f>'Social Benefits'!AF30</f>
        <v>1.671</v>
      </c>
      <c r="H16" s="76">
        <f>'Social Benefits'!AG30</f>
        <v>0</v>
      </c>
      <c r="I16" s="76">
        <f>'Social Benefits'!AH30</f>
        <v>0</v>
      </c>
      <c r="J16" s="76">
        <f>'Social Benefits'!AI30</f>
        <v>0</v>
      </c>
      <c r="K16" s="76">
        <f>'Social Benefits'!AJ30</f>
        <v>0</v>
      </c>
    </row>
    <row r="17" spans="1:11" x14ac:dyDescent="0.35">
      <c r="A17" t="s">
        <v>220</v>
      </c>
      <c r="B17" t="s">
        <v>221</v>
      </c>
      <c r="C17" s="76">
        <f>'Social Benefits'!AB33</f>
        <v>2171.4980000000005</v>
      </c>
      <c r="D17" s="76">
        <f>'Social Benefits'!AC33</f>
        <v>2217.0016468750005</v>
      </c>
      <c r="E17" s="76">
        <f>'Social Benefits'!AD33</f>
        <v>2223.7016468750003</v>
      </c>
      <c r="F17" s="76">
        <f>'Social Benefits'!AE33</f>
        <v>2230.4016468750006</v>
      </c>
      <c r="G17" s="76">
        <f>'Social Benefits'!AF33</f>
        <v>2220.8626468750003</v>
      </c>
      <c r="H17" s="76">
        <f>'Social Benefits'!AG33</f>
        <v>2267.9698571678755</v>
      </c>
      <c r="I17" s="76">
        <f>'Social Benefits'!AH33</f>
        <v>2273.9418571678752</v>
      </c>
      <c r="J17" s="76">
        <f>'Social Benefits'!AI33</f>
        <v>2281.6418571678755</v>
      </c>
      <c r="K17" s="76">
        <f>'Social Benefits'!AJ33</f>
        <v>2289.3418571678753</v>
      </c>
    </row>
    <row r="18" spans="1:11" x14ac:dyDescent="0.35">
      <c r="A18" t="s">
        <v>222</v>
      </c>
      <c r="B18" t="s">
        <v>223</v>
      </c>
      <c r="C18" s="76">
        <f>'Social Benefits'!AB38</f>
        <v>224.74365842066501</v>
      </c>
      <c r="D18" s="76">
        <f>'Social Benefits'!AC38</f>
        <v>228.02904740969223</v>
      </c>
      <c r="E18" s="76">
        <f>'Social Benefits'!AD38</f>
        <v>231.36246347492295</v>
      </c>
      <c r="F18" s="76">
        <f>'Social Benefits'!AE38</f>
        <v>234.7446086945757</v>
      </c>
      <c r="G18" s="76">
        <f>'Social Benefits'!AF38</f>
        <v>238.17619541011769</v>
      </c>
      <c r="H18" s="76">
        <f>'Social Benefits'!AG38</f>
        <v>241.65794637629688</v>
      </c>
      <c r="I18" s="76">
        <f>'Social Benefits'!AH38</f>
        <v>245.19059491336728</v>
      </c>
      <c r="J18" s="76">
        <f>'Social Benefits'!AI38</f>
        <v>248.77488506153966</v>
      </c>
      <c r="K18" s="76">
        <f>'Social Benefits'!AJ38</f>
        <v>252.41157173768991</v>
      </c>
    </row>
    <row r="19" spans="1:11" x14ac:dyDescent="0.35">
      <c r="A19" t="s">
        <v>224</v>
      </c>
      <c r="B19" t="s">
        <v>225</v>
      </c>
      <c r="C19" s="76">
        <f>Taxes!AB9</f>
        <v>4526.3</v>
      </c>
      <c r="D19" s="76">
        <f>Taxes!AC9</f>
        <v>4599.0105611712625</v>
      </c>
      <c r="E19" s="76">
        <f>Taxes!AD9</f>
        <v>4622.1524984238076</v>
      </c>
      <c r="F19" s="76">
        <f>Taxes!AE9</f>
        <v>4645.5079910034628</v>
      </c>
      <c r="G19" s="76">
        <f>Taxes!AF9</f>
        <v>4669.0771571723008</v>
      </c>
      <c r="H19" s="76">
        <f>Taxes!AG9</f>
        <v>4788.2914768467372</v>
      </c>
      <c r="I19" s="76">
        <f>Taxes!AH9</f>
        <v>4821.1492369319667</v>
      </c>
      <c r="J19" s="76">
        <f>Taxes!AI9</f>
        <v>4854.3793911032208</v>
      </c>
      <c r="K19" s="76">
        <f>Taxes!AJ9</f>
        <v>4887.9843671003364</v>
      </c>
    </row>
    <row r="20" spans="1:11" x14ac:dyDescent="0.35">
      <c r="A20" t="s">
        <v>226</v>
      </c>
      <c r="B20" t="s">
        <v>227</v>
      </c>
      <c r="C20" s="76">
        <f>Taxes!AB19</f>
        <v>2515.1</v>
      </c>
      <c r="D20" s="76">
        <f>Taxes!AC19</f>
        <v>2529.5589829253236</v>
      </c>
      <c r="E20" s="76">
        <f>Taxes!AD19</f>
        <v>2561.0084048096087</v>
      </c>
      <c r="F20" s="76">
        <f>Taxes!AE19</f>
        <v>2588.0171269112202</v>
      </c>
      <c r="G20" s="76">
        <f>Taxes!AF19</f>
        <v>2614.6227545214915</v>
      </c>
      <c r="H20" s="76">
        <f>Taxes!AG19</f>
        <v>2639.0918076692415</v>
      </c>
      <c r="I20" s="76">
        <f>Taxes!AH19</f>
        <v>2664.5448600858349</v>
      </c>
      <c r="J20" s="76">
        <f>Taxes!AI19</f>
        <v>2687.7830381403919</v>
      </c>
      <c r="K20" s="76">
        <f>Taxes!AJ19</f>
        <v>2712.9491476976059</v>
      </c>
    </row>
    <row r="21" spans="1:11" x14ac:dyDescent="0.35">
      <c r="A21" t="s">
        <v>228</v>
      </c>
      <c r="B21" t="s">
        <v>229</v>
      </c>
      <c r="C21" s="76">
        <f>Taxes!AB16</f>
        <v>509.33275515835334</v>
      </c>
      <c r="D21" s="76">
        <f>Taxes!AC16</f>
        <v>526.09988942851157</v>
      </c>
      <c r="E21" s="76">
        <f>Taxes!AD16</f>
        <v>543.41899446588684</v>
      </c>
      <c r="F21" s="76">
        <f>Taxes!AE16</f>
        <v>561.30824103973248</v>
      </c>
      <c r="G21" s="76">
        <f>Taxes!AF16</f>
        <v>557.83998786013478</v>
      </c>
      <c r="H21" s="76">
        <f>Taxes!AG16</f>
        <v>554.39316458168287</v>
      </c>
      <c r="I21" s="76">
        <f>Taxes!AH16</f>
        <v>550.96763879170692</v>
      </c>
      <c r="J21" s="76">
        <f>Taxes!AI16</f>
        <v>547.56327889569843</v>
      </c>
      <c r="K21" s="76">
        <f>Taxes!AJ16</f>
        <v>544.17995411225468</v>
      </c>
    </row>
    <row r="22" spans="1:11" x14ac:dyDescent="0.35">
      <c r="A22" t="s">
        <v>230</v>
      </c>
      <c r="B22" t="s">
        <v>231</v>
      </c>
      <c r="C22" s="76">
        <f>Taxes!AB25</f>
        <v>163.32474965084836</v>
      </c>
      <c r="D22" s="76">
        <f>Taxes!AC25</f>
        <v>163.75959944135735</v>
      </c>
      <c r="E22" s="76">
        <f>Taxes!AD25</f>
        <v>163.69195614061152</v>
      </c>
      <c r="F22" s="76">
        <f>Taxes!AE25</f>
        <v>163.83207440644219</v>
      </c>
      <c r="G22" s="76">
        <f>Taxes!AF25</f>
        <v>163.74993611267939</v>
      </c>
      <c r="H22" s="76">
        <f>Taxes!AG25</f>
        <v>163.94803435057793</v>
      </c>
      <c r="I22" s="76">
        <f>Taxes!AH25</f>
        <v>164.27175586129019</v>
      </c>
      <c r="J22" s="76">
        <f>Taxes!AI25</f>
        <v>164.10747927376457</v>
      </c>
      <c r="K22" s="76">
        <f>Taxes!AJ25</f>
        <v>164.30557751166313</v>
      </c>
    </row>
    <row r="23" spans="1:11" x14ac:dyDescent="0.35">
      <c r="A23" s="56" t="s">
        <v>1380</v>
      </c>
      <c r="B23" t="s">
        <v>1379</v>
      </c>
      <c r="C23" s="76">
        <f>'Student loans'!AB11</f>
        <v>2.6498349999999999</v>
      </c>
      <c r="D23" s="76">
        <f>'Student loans'!AC11</f>
        <v>2.6454420000000001</v>
      </c>
      <c r="E23" s="76">
        <f>'Student loans'!AD11</f>
        <v>2.6696</v>
      </c>
      <c r="F23" s="76">
        <f>'Student loans'!AE11</f>
        <v>2.693006</v>
      </c>
      <c r="G23" s="76">
        <f>'Student loans'!AF11</f>
        <v>2.7175400000000001</v>
      </c>
      <c r="H23" s="76">
        <f>'Student loans'!AG11</f>
        <v>2.7175400000000001</v>
      </c>
      <c r="I23" s="76">
        <f>'Student loans'!AH11</f>
        <v>2.7175400000000001</v>
      </c>
      <c r="J23" s="76">
        <f>'Student loans'!AI11</f>
        <v>0</v>
      </c>
      <c r="K23" s="76">
        <f>'Student loans'!AJ11</f>
        <v>0</v>
      </c>
    </row>
    <row r="24" spans="1:11" x14ac:dyDescent="0.35">
      <c r="A24" s="81" t="s">
        <v>1932</v>
      </c>
      <c r="B24" t="s">
        <v>1879</v>
      </c>
      <c r="C24" s="76">
        <f>'Supply Side IRA'!AB14</f>
        <v>71.179167218325318</v>
      </c>
      <c r="D24" s="76">
        <f>'Supply Side IRA'!AC14</f>
        <v>73.980636292422588</v>
      </c>
      <c r="E24" s="76">
        <f>'Supply Side IRA'!AD14</f>
        <v>88.394442804062294</v>
      </c>
      <c r="F24" s="76">
        <f>'Supply Side IRA'!AE14</f>
        <v>103.08351069330931</v>
      </c>
      <c r="G24" s="76">
        <f>'Supply Side IRA'!AF14</f>
        <v>109.65876198766387</v>
      </c>
      <c r="H24" s="76">
        <f>'Supply Side IRA'!AG14</f>
        <v>134.70903635555658</v>
      </c>
      <c r="I24" s="76">
        <f>'Supply Side IRA'!AH14</f>
        <v>155.20684462483894</v>
      </c>
      <c r="J24" s="76">
        <f>'Supply Side IRA'!AI14</f>
        <v>162.82034425593883</v>
      </c>
      <c r="K24" s="76">
        <f>'Supply Side IRA'!AJ14</f>
        <v>160.44502735686868</v>
      </c>
    </row>
    <row r="25" spans="1:11" x14ac:dyDescent="0.35">
      <c r="A25" s="67"/>
      <c r="C25" s="78"/>
      <c r="D25" s="78"/>
    </row>
    <row r="26" spans="1:11" x14ac:dyDescent="0.35">
      <c r="A26" s="67"/>
      <c r="C26" s="78"/>
      <c r="D26" s="78"/>
    </row>
    <row r="27" spans="1:11" x14ac:dyDescent="0.35">
      <c r="A27" s="67"/>
      <c r="C27" s="78"/>
      <c r="D27" s="78"/>
    </row>
    <row r="28" spans="1:11" x14ac:dyDescent="0.35">
      <c r="A28" s="56"/>
      <c r="C28" s="78"/>
      <c r="D28" s="78"/>
    </row>
  </sheetData>
  <pageMargins left="0.7" right="0.7" top="0.75" bottom="0.75" header="0.3" footer="0.3"/>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H90"/>
  <sheetViews>
    <sheetView zoomScaleNormal="100" workbookViewId="0">
      <pane xSplit="2" ySplit="7" topLeftCell="T25" activePane="bottomRight" state="frozen"/>
      <selection pane="topRight" activeCell="C1" sqref="C1"/>
      <selection pane="bottomLeft" activeCell="A8" sqref="A8"/>
      <selection pane="bottomRight" activeCell="AH31" sqref="AH31"/>
    </sheetView>
  </sheetViews>
  <sheetFormatPr defaultColWidth="10.90625" defaultRowHeight="14.5" x14ac:dyDescent="0.35"/>
  <cols>
    <col min="1" max="1" width="9" customWidth="1"/>
    <col min="2" max="2" width="65" customWidth="1"/>
    <col min="3" max="31" width="11.54296875" customWidth="1"/>
  </cols>
  <sheetData>
    <row r="2" spans="1:32" ht="21" customHeight="1" x14ac:dyDescent="0.5">
      <c r="A2" s="1248" t="s">
        <v>1806</v>
      </c>
      <c r="B2" s="1248"/>
      <c r="C2" s="1248"/>
      <c r="D2" s="1248"/>
      <c r="E2" s="1248"/>
      <c r="F2" s="1248"/>
      <c r="G2" s="1248"/>
      <c r="H2" s="1248"/>
      <c r="I2" s="1248"/>
      <c r="J2" s="1248"/>
      <c r="K2" s="107"/>
      <c r="L2" s="157"/>
      <c r="M2" s="168"/>
      <c r="N2" s="146"/>
      <c r="O2" s="157"/>
      <c r="P2" s="168"/>
      <c r="Q2" s="146"/>
      <c r="R2" s="157"/>
      <c r="S2" s="168"/>
      <c r="T2" s="146"/>
      <c r="U2" s="157"/>
      <c r="V2" s="168"/>
      <c r="W2" s="146"/>
      <c r="X2" s="157"/>
      <c r="Y2" s="168"/>
      <c r="Z2" s="146"/>
      <c r="AA2" s="157"/>
      <c r="AB2" s="168"/>
      <c r="AC2" s="146"/>
      <c r="AD2" s="157"/>
      <c r="AE2" s="168"/>
      <c r="AF2" s="136"/>
    </row>
    <row r="3" spans="1:32" x14ac:dyDescent="0.35">
      <c r="A3" s="72" t="s">
        <v>879</v>
      </c>
      <c r="B3" s="72"/>
      <c r="C3" s="72"/>
      <c r="D3" s="72"/>
      <c r="E3" s="72"/>
      <c r="F3" s="72"/>
      <c r="G3" s="72"/>
      <c r="H3" s="72"/>
      <c r="I3" s="72"/>
      <c r="J3" s="72"/>
      <c r="K3" s="72"/>
      <c r="L3" s="158"/>
      <c r="M3" s="169"/>
      <c r="N3" s="136"/>
      <c r="O3" s="158"/>
      <c r="P3" s="169"/>
      <c r="Q3" s="136"/>
      <c r="R3" s="158"/>
      <c r="S3" s="169"/>
      <c r="T3" s="136"/>
      <c r="U3" s="158"/>
      <c r="V3" s="169"/>
      <c r="W3" s="136"/>
      <c r="X3" s="158"/>
      <c r="Y3" s="169"/>
      <c r="Z3" s="136"/>
      <c r="AA3" s="158"/>
      <c r="AB3" s="169"/>
      <c r="AC3" s="136"/>
      <c r="AD3" s="158"/>
      <c r="AE3" s="169"/>
      <c r="AF3" s="136"/>
    </row>
    <row r="4" spans="1:32" ht="15" customHeight="1" x14ac:dyDescent="0.35">
      <c r="A4" s="1249"/>
      <c r="B4" s="1249"/>
      <c r="C4" s="1249"/>
      <c r="D4" s="73"/>
      <c r="E4" s="73"/>
      <c r="F4" s="73"/>
      <c r="G4" s="73"/>
      <c r="H4" s="73"/>
      <c r="I4" s="73"/>
      <c r="J4" s="73"/>
      <c r="K4" s="73"/>
      <c r="L4" s="159"/>
      <c r="M4" s="172"/>
      <c r="N4" s="148"/>
      <c r="O4" s="159"/>
      <c r="P4" s="172"/>
      <c r="Q4" s="148"/>
      <c r="R4" s="159"/>
      <c r="S4" s="172"/>
      <c r="T4" s="148"/>
      <c r="U4" s="159"/>
      <c r="V4" s="172"/>
      <c r="W4" s="148"/>
      <c r="X4" s="159"/>
      <c r="Y4" s="172"/>
      <c r="Z4" s="148"/>
      <c r="AA4" s="159"/>
      <c r="AB4" s="172"/>
      <c r="AC4" s="148"/>
      <c r="AD4" s="159"/>
      <c r="AE4" s="172"/>
      <c r="AF4" s="132"/>
    </row>
    <row r="5" spans="1:32" x14ac:dyDescent="0.35">
      <c r="A5" s="1250" t="s">
        <v>813</v>
      </c>
      <c r="B5" s="1253"/>
      <c r="C5" s="1256" t="s">
        <v>891</v>
      </c>
      <c r="D5" s="1256" t="s">
        <v>891</v>
      </c>
      <c r="E5" s="1256" t="s">
        <v>891</v>
      </c>
      <c r="F5" s="1256" t="s">
        <v>891</v>
      </c>
      <c r="G5" s="1256" t="s">
        <v>891</v>
      </c>
      <c r="H5" s="1256" t="s">
        <v>891</v>
      </c>
      <c r="I5" s="1256" t="s">
        <v>891</v>
      </c>
      <c r="J5" s="1257" t="s">
        <v>891</v>
      </c>
      <c r="K5" s="99"/>
      <c r="L5" s="160"/>
      <c r="M5" s="178"/>
      <c r="N5" s="149"/>
      <c r="O5" s="160"/>
      <c r="P5" s="178"/>
      <c r="Q5" s="149"/>
      <c r="R5" s="160"/>
      <c r="S5" s="178"/>
      <c r="T5" s="149"/>
      <c r="U5" s="160"/>
      <c r="V5" s="178"/>
      <c r="W5" s="149"/>
      <c r="X5" s="160"/>
      <c r="Y5" s="178"/>
      <c r="Z5" s="149"/>
      <c r="AA5" s="160"/>
      <c r="AB5" s="178"/>
      <c r="AC5" s="149"/>
      <c r="AD5" s="160"/>
      <c r="AE5" s="178"/>
      <c r="AF5" s="132"/>
    </row>
    <row r="6" spans="1:32" x14ac:dyDescent="0.35">
      <c r="A6" s="1251" t="s">
        <v>813</v>
      </c>
      <c r="B6" s="1254"/>
      <c r="C6" s="1258">
        <v>2022</v>
      </c>
      <c r="D6" s="1259"/>
      <c r="E6" s="1259"/>
      <c r="F6" s="1259"/>
      <c r="G6" s="1259"/>
      <c r="H6" s="1260"/>
      <c r="I6" s="1258">
        <v>2023</v>
      </c>
      <c r="J6" s="1259">
        <v>2023</v>
      </c>
      <c r="K6" s="1260">
        <v>2023</v>
      </c>
      <c r="L6" s="161"/>
      <c r="M6" s="182"/>
      <c r="N6" s="150"/>
      <c r="O6" s="161"/>
      <c r="P6" s="182"/>
      <c r="Q6" s="150"/>
      <c r="R6" s="161"/>
      <c r="S6" s="182"/>
      <c r="T6" s="150"/>
      <c r="U6" s="161"/>
      <c r="V6" s="182"/>
      <c r="W6" s="150"/>
      <c r="X6" s="161"/>
      <c r="Y6" s="182"/>
      <c r="Z6" s="150"/>
      <c r="AA6" s="161"/>
      <c r="AB6" s="182"/>
      <c r="AC6" s="150"/>
      <c r="AD6" s="161"/>
      <c r="AE6" s="182"/>
      <c r="AF6" s="132"/>
    </row>
    <row r="7" spans="1:32" ht="32.5" customHeight="1" x14ac:dyDescent="0.35">
      <c r="A7" s="1252" t="s">
        <v>813</v>
      </c>
      <c r="B7" s="1255"/>
      <c r="C7" s="102" t="s">
        <v>1748</v>
      </c>
      <c r="D7" s="102" t="s">
        <v>1825</v>
      </c>
      <c r="E7" s="102" t="s">
        <v>1826</v>
      </c>
      <c r="F7" s="102" t="s">
        <v>1830</v>
      </c>
      <c r="G7" s="102" t="s">
        <v>1831</v>
      </c>
      <c r="H7" s="102" t="s">
        <v>1832</v>
      </c>
      <c r="I7" s="102" t="s">
        <v>234</v>
      </c>
      <c r="J7" s="102" t="s">
        <v>235</v>
      </c>
      <c r="K7" s="102" t="s">
        <v>1880</v>
      </c>
      <c r="L7" s="189" t="s">
        <v>1888</v>
      </c>
      <c r="M7" s="195" t="s">
        <v>1889</v>
      </c>
      <c r="N7" s="85" t="s">
        <v>1894</v>
      </c>
      <c r="O7" s="189" t="s">
        <v>1895</v>
      </c>
      <c r="P7" s="195" t="s">
        <v>1825</v>
      </c>
      <c r="Q7" s="85" t="s">
        <v>1826</v>
      </c>
      <c r="R7" s="189" t="s">
        <v>1830</v>
      </c>
      <c r="S7" s="195" t="s">
        <v>1929</v>
      </c>
      <c r="T7" s="85" t="s">
        <v>1923</v>
      </c>
      <c r="U7" s="189" t="s">
        <v>234</v>
      </c>
      <c r="V7" s="195" t="s">
        <v>235</v>
      </c>
      <c r="W7" s="85" t="s">
        <v>1880</v>
      </c>
      <c r="X7" s="189" t="s">
        <v>1964</v>
      </c>
      <c r="Y7" s="195" t="s">
        <v>908</v>
      </c>
      <c r="Z7" s="85" t="s">
        <v>1894</v>
      </c>
      <c r="AA7" s="189" t="s">
        <v>1958</v>
      </c>
      <c r="AB7" s="195" t="s">
        <v>1825</v>
      </c>
      <c r="AC7" s="85" t="s">
        <v>1826</v>
      </c>
      <c r="AD7" s="160" t="s">
        <v>1965</v>
      </c>
      <c r="AE7" s="178" t="s">
        <v>1982</v>
      </c>
      <c r="AF7" s="132" t="s">
        <v>1983</v>
      </c>
    </row>
    <row r="8" spans="1:32" x14ac:dyDescent="0.35">
      <c r="A8" s="95">
        <v>1</v>
      </c>
      <c r="B8" s="47" t="s">
        <v>239</v>
      </c>
      <c r="C8" s="103">
        <v>21852.3</v>
      </c>
      <c r="D8" s="103">
        <v>21975.8</v>
      </c>
      <c r="E8" s="104">
        <v>22080.400000000001</v>
      </c>
      <c r="F8" s="104">
        <v>22201.9</v>
      </c>
      <c r="G8" s="104">
        <v>22240.1</v>
      </c>
      <c r="H8" s="104">
        <v>22281.9</v>
      </c>
      <c r="I8" s="103">
        <v>22525.3</v>
      </c>
      <c r="J8" s="104">
        <v>22648.400000000001</v>
      </c>
      <c r="K8" s="103">
        <v>22757.9</v>
      </c>
      <c r="L8" s="190">
        <v>22806.1</v>
      </c>
      <c r="M8" s="196">
        <v>22876.6</v>
      </c>
      <c r="N8" s="124">
        <v>22921.4</v>
      </c>
      <c r="O8" s="179">
        <v>22986.400000000001</v>
      </c>
      <c r="P8" s="196">
        <v>23094.5</v>
      </c>
      <c r="Q8" s="124">
        <v>23176.2</v>
      </c>
      <c r="R8" s="190">
        <v>23189.4</v>
      </c>
      <c r="S8" s="196">
        <v>23241.5</v>
      </c>
      <c r="T8" s="170">
        <v>23311.599999999999</v>
      </c>
      <c r="U8" s="179">
        <v>24226.7</v>
      </c>
      <c r="V8" s="196">
        <v>24330.9</v>
      </c>
      <c r="W8" s="170">
        <v>24474.9</v>
      </c>
      <c r="X8" s="190">
        <v>24511.1</v>
      </c>
      <c r="Y8" s="196">
        <v>24584.2</v>
      </c>
      <c r="Z8" s="170">
        <v>24626.7</v>
      </c>
      <c r="AA8" s="190">
        <v>24700.400000000001</v>
      </c>
      <c r="AB8" s="196">
        <v>24754.3</v>
      </c>
      <c r="AC8" s="86">
        <v>24842.5</v>
      </c>
      <c r="AD8" s="191">
        <v>25007</v>
      </c>
      <c r="AE8" s="197">
        <v>25078.5</v>
      </c>
      <c r="AF8" s="136">
        <v>25170.5</v>
      </c>
    </row>
    <row r="9" spans="1:32" x14ac:dyDescent="0.35">
      <c r="A9" s="96">
        <v>2</v>
      </c>
      <c r="B9" s="142" t="s">
        <v>1749</v>
      </c>
      <c r="C9" s="105">
        <v>13654.1</v>
      </c>
      <c r="D9" s="105">
        <v>13754.9</v>
      </c>
      <c r="E9" s="108">
        <v>13856.1</v>
      </c>
      <c r="F9" s="108">
        <v>13828.8</v>
      </c>
      <c r="G9" s="108">
        <v>13822.8</v>
      </c>
      <c r="H9" s="108">
        <v>13832.7</v>
      </c>
      <c r="I9" s="105">
        <v>13885.2</v>
      </c>
      <c r="J9" s="108">
        <v>13968.7</v>
      </c>
      <c r="K9" s="105">
        <v>14041.7</v>
      </c>
      <c r="L9" s="191">
        <v>14092.7</v>
      </c>
      <c r="M9" s="197">
        <v>14151.1</v>
      </c>
      <c r="N9" s="126">
        <v>14218.6</v>
      </c>
      <c r="O9" s="180">
        <v>14296.4</v>
      </c>
      <c r="P9" s="197">
        <v>14372.7</v>
      </c>
      <c r="Q9" s="126">
        <v>14437.1</v>
      </c>
      <c r="R9" s="191">
        <v>14416.2</v>
      </c>
      <c r="S9" s="197">
        <v>14436.6</v>
      </c>
      <c r="T9" s="171">
        <v>14491.6</v>
      </c>
      <c r="U9" s="180">
        <v>14686.6</v>
      </c>
      <c r="V9" s="197">
        <v>14836.5</v>
      </c>
      <c r="W9" s="171">
        <v>14948.1</v>
      </c>
      <c r="X9" s="191">
        <v>14914.1</v>
      </c>
      <c r="Y9" s="197">
        <v>14955.1</v>
      </c>
      <c r="Z9" s="171">
        <v>14967.6</v>
      </c>
      <c r="AA9" s="191">
        <v>15022.6</v>
      </c>
      <c r="AB9" s="197">
        <v>15099.1</v>
      </c>
      <c r="AC9" s="87">
        <v>15154.7</v>
      </c>
      <c r="AD9" s="191">
        <v>15232.7</v>
      </c>
      <c r="AE9" s="197">
        <v>15310.6</v>
      </c>
      <c r="AF9" s="136">
        <v>15375</v>
      </c>
    </row>
    <row r="10" spans="1:32" x14ac:dyDescent="0.35">
      <c r="A10" s="96">
        <v>3</v>
      </c>
      <c r="B10" s="143" t="s">
        <v>1750</v>
      </c>
      <c r="C10" s="105">
        <v>11271.8</v>
      </c>
      <c r="D10" s="105">
        <v>11360.7</v>
      </c>
      <c r="E10" s="108">
        <v>11450.6</v>
      </c>
      <c r="F10" s="108">
        <v>11420.4</v>
      </c>
      <c r="G10" s="108">
        <v>11408.7</v>
      </c>
      <c r="H10" s="108">
        <v>11412.7</v>
      </c>
      <c r="I10" s="105">
        <v>11494.7</v>
      </c>
      <c r="J10" s="108">
        <v>11568.5</v>
      </c>
      <c r="K10" s="105">
        <v>11633.1</v>
      </c>
      <c r="L10" s="191">
        <v>11680.1</v>
      </c>
      <c r="M10" s="197">
        <v>11730.8</v>
      </c>
      <c r="N10" s="126">
        <v>11788.9</v>
      </c>
      <c r="O10" s="180">
        <v>11855.6</v>
      </c>
      <c r="P10" s="197">
        <v>11921.2</v>
      </c>
      <c r="Q10" s="126">
        <v>11975.7</v>
      </c>
      <c r="R10" s="191">
        <v>11950.9</v>
      </c>
      <c r="S10" s="197">
        <v>11965.4</v>
      </c>
      <c r="T10" s="171">
        <v>12011.8</v>
      </c>
      <c r="U10" s="180">
        <v>12129</v>
      </c>
      <c r="V10" s="197">
        <v>12263.3</v>
      </c>
      <c r="W10" s="171">
        <v>12360.5</v>
      </c>
      <c r="X10" s="191">
        <v>12321.5</v>
      </c>
      <c r="Y10" s="197">
        <v>12352.2</v>
      </c>
      <c r="Z10" s="171">
        <v>12355.3</v>
      </c>
      <c r="AA10" s="191">
        <v>12398.8</v>
      </c>
      <c r="AB10" s="197">
        <v>12462.8</v>
      </c>
      <c r="AC10" s="87">
        <v>12507.8</v>
      </c>
      <c r="AD10" s="191">
        <v>12573.6</v>
      </c>
      <c r="AE10" s="197">
        <v>12639.9</v>
      </c>
      <c r="AF10" s="136">
        <v>12694.3</v>
      </c>
    </row>
    <row r="11" spans="1:32" x14ac:dyDescent="0.35">
      <c r="A11" s="96">
        <v>4</v>
      </c>
      <c r="B11" s="147" t="s">
        <v>1751</v>
      </c>
      <c r="C11" s="110">
        <v>9656.4</v>
      </c>
      <c r="D11" s="110">
        <v>9735.9</v>
      </c>
      <c r="E11" s="113">
        <v>9819.5</v>
      </c>
      <c r="F11" s="113">
        <v>9785.7999999999993</v>
      </c>
      <c r="G11" s="113">
        <v>9763.9</v>
      </c>
      <c r="H11" s="113">
        <v>9762.2999999999993</v>
      </c>
      <c r="I11" s="110">
        <v>9818.2999999999993</v>
      </c>
      <c r="J11" s="113">
        <v>9882.7999999999993</v>
      </c>
      <c r="K11" s="110">
        <v>9937.7000000000007</v>
      </c>
      <c r="L11" s="192">
        <v>9976.9</v>
      </c>
      <c r="M11" s="198">
        <v>10019.799999999999</v>
      </c>
      <c r="N11" s="127">
        <v>10070.4</v>
      </c>
      <c r="O11" s="181">
        <v>10117.4</v>
      </c>
      <c r="P11" s="198">
        <v>10167.9</v>
      </c>
      <c r="Q11" s="127">
        <v>10207.1</v>
      </c>
      <c r="R11" s="192">
        <v>10171.700000000001</v>
      </c>
      <c r="S11" s="198">
        <v>10179.4</v>
      </c>
      <c r="T11" s="173">
        <v>10214.799999999999</v>
      </c>
      <c r="U11" s="181">
        <v>10325.4</v>
      </c>
      <c r="V11" s="198">
        <v>10447.5</v>
      </c>
      <c r="W11" s="173">
        <v>10531.2</v>
      </c>
      <c r="X11" s="192">
        <v>10485.8</v>
      </c>
      <c r="Y11" s="198">
        <v>10509.4</v>
      </c>
      <c r="Z11" s="173">
        <v>10504</v>
      </c>
      <c r="AA11" s="192">
        <v>10539.8</v>
      </c>
      <c r="AB11" s="198">
        <v>10596.2</v>
      </c>
      <c r="AC11" s="88">
        <v>10633.7</v>
      </c>
      <c r="AD11" s="192">
        <v>10688.1</v>
      </c>
      <c r="AE11" s="198">
        <v>10743.9</v>
      </c>
      <c r="AF11" s="132">
        <v>10787.7</v>
      </c>
    </row>
    <row r="12" spans="1:32" x14ac:dyDescent="0.35">
      <c r="A12" s="96">
        <v>5</v>
      </c>
      <c r="B12" s="144" t="s">
        <v>1752</v>
      </c>
      <c r="C12" s="110">
        <v>1767.7</v>
      </c>
      <c r="D12" s="110">
        <v>1780.1</v>
      </c>
      <c r="E12" s="113">
        <v>1797.4</v>
      </c>
      <c r="F12" s="113">
        <v>1795.8</v>
      </c>
      <c r="G12" s="113">
        <v>1793.7</v>
      </c>
      <c r="H12" s="113">
        <v>1789.6</v>
      </c>
      <c r="I12" s="110">
        <v>1804.5</v>
      </c>
      <c r="J12" s="113">
        <v>1806.7</v>
      </c>
      <c r="K12" s="110">
        <v>1818.5</v>
      </c>
      <c r="L12" s="192">
        <v>1828.4</v>
      </c>
      <c r="M12" s="198">
        <v>1836.7</v>
      </c>
      <c r="N12" s="127">
        <v>1847.2</v>
      </c>
      <c r="O12" s="181">
        <v>1859</v>
      </c>
      <c r="P12" s="198">
        <v>1867.1</v>
      </c>
      <c r="Q12" s="127">
        <v>1876.1</v>
      </c>
      <c r="R12" s="192">
        <v>1875.9</v>
      </c>
      <c r="S12" s="198">
        <v>1879.8</v>
      </c>
      <c r="T12" s="173">
        <v>1881.1</v>
      </c>
      <c r="U12" s="181">
        <v>1904</v>
      </c>
      <c r="V12" s="198">
        <v>1929.1</v>
      </c>
      <c r="W12" s="173">
        <v>1951.7</v>
      </c>
      <c r="X12" s="192">
        <v>1920.1</v>
      </c>
      <c r="Y12" s="198">
        <v>1907.4</v>
      </c>
      <c r="Z12" s="173">
        <v>1904.4</v>
      </c>
      <c r="AA12" s="192">
        <v>1906.9</v>
      </c>
      <c r="AB12" s="198">
        <v>1915.2</v>
      </c>
      <c r="AC12" s="88">
        <v>1920.8</v>
      </c>
      <c r="AD12" s="192">
        <v>1921.3</v>
      </c>
      <c r="AE12" s="198">
        <v>1936.2</v>
      </c>
      <c r="AF12" s="132">
        <v>1938.5</v>
      </c>
    </row>
    <row r="13" spans="1:32" x14ac:dyDescent="0.35">
      <c r="A13" s="96">
        <v>6</v>
      </c>
      <c r="B13" s="156" t="s">
        <v>1753</v>
      </c>
      <c r="C13" s="110">
        <v>1046.3</v>
      </c>
      <c r="D13" s="110">
        <v>1054.4000000000001</v>
      </c>
      <c r="E13" s="113">
        <v>1064.8</v>
      </c>
      <c r="F13" s="113">
        <v>1061.4000000000001</v>
      </c>
      <c r="G13" s="113">
        <v>1055.5</v>
      </c>
      <c r="H13" s="113">
        <v>1046.9000000000001</v>
      </c>
      <c r="I13" s="110">
        <v>1066</v>
      </c>
      <c r="J13" s="113">
        <v>1064.3</v>
      </c>
      <c r="K13" s="110">
        <v>1071.2</v>
      </c>
      <c r="L13" s="192">
        <v>1077.3</v>
      </c>
      <c r="M13" s="198">
        <v>1079.5</v>
      </c>
      <c r="N13" s="127">
        <v>1088.5999999999999</v>
      </c>
      <c r="O13" s="181">
        <v>1096.9000000000001</v>
      </c>
      <c r="P13" s="198">
        <v>1102.2</v>
      </c>
      <c r="Q13" s="127">
        <v>1108.5999999999999</v>
      </c>
      <c r="R13" s="192">
        <v>1103.3</v>
      </c>
      <c r="S13" s="198">
        <v>1103.3</v>
      </c>
      <c r="T13" s="173">
        <v>1101</v>
      </c>
      <c r="U13" s="181">
        <v>1108.9000000000001</v>
      </c>
      <c r="V13" s="198">
        <v>1124</v>
      </c>
      <c r="W13" s="173">
        <v>1136.7</v>
      </c>
      <c r="X13" s="192">
        <v>1112.5</v>
      </c>
      <c r="Y13" s="198">
        <v>1106.2</v>
      </c>
      <c r="Z13" s="173">
        <v>1102.7</v>
      </c>
      <c r="AA13" s="192">
        <v>1104.7</v>
      </c>
      <c r="AB13" s="198">
        <v>1107.2</v>
      </c>
      <c r="AC13" s="88">
        <v>1106.7</v>
      </c>
      <c r="AD13" s="192">
        <v>1104.5</v>
      </c>
      <c r="AE13" s="198">
        <v>1117</v>
      </c>
      <c r="AF13" s="132">
        <v>1116.2</v>
      </c>
    </row>
    <row r="14" spans="1:32" x14ac:dyDescent="0.35">
      <c r="A14" s="96">
        <v>7</v>
      </c>
      <c r="B14" s="144" t="s">
        <v>1754</v>
      </c>
      <c r="C14" s="110">
        <v>7888.7</v>
      </c>
      <c r="D14" s="110">
        <v>7955.8</v>
      </c>
      <c r="E14" s="113">
        <v>8022.1</v>
      </c>
      <c r="F14" s="113">
        <v>7990</v>
      </c>
      <c r="G14" s="113">
        <v>7970.1</v>
      </c>
      <c r="H14" s="113">
        <v>7972.7</v>
      </c>
      <c r="I14" s="110">
        <v>8013.8</v>
      </c>
      <c r="J14" s="113">
        <v>8076.2</v>
      </c>
      <c r="K14" s="110">
        <v>8119.2</v>
      </c>
      <c r="L14" s="192">
        <v>8148.5</v>
      </c>
      <c r="M14" s="198">
        <v>8183.1</v>
      </c>
      <c r="N14" s="127">
        <v>8223.2000000000007</v>
      </c>
      <c r="O14" s="181">
        <v>8258.4</v>
      </c>
      <c r="P14" s="198">
        <v>8300.7999999999993</v>
      </c>
      <c r="Q14" s="127">
        <v>8331</v>
      </c>
      <c r="R14" s="192">
        <v>8295.7000000000007</v>
      </c>
      <c r="S14" s="198">
        <v>8299.6</v>
      </c>
      <c r="T14" s="173">
        <v>8333.7000000000007</v>
      </c>
      <c r="U14" s="181">
        <v>8421.4</v>
      </c>
      <c r="V14" s="198">
        <v>8518.5</v>
      </c>
      <c r="W14" s="173">
        <v>8579.5</v>
      </c>
      <c r="X14" s="192">
        <v>8565.7000000000007</v>
      </c>
      <c r="Y14" s="198">
        <v>8601.9</v>
      </c>
      <c r="Z14" s="173">
        <v>8599.6</v>
      </c>
      <c r="AA14" s="192">
        <v>8633</v>
      </c>
      <c r="AB14" s="198">
        <v>8681</v>
      </c>
      <c r="AC14" s="88">
        <v>8712.9</v>
      </c>
      <c r="AD14" s="192">
        <v>8766.7999999999993</v>
      </c>
      <c r="AE14" s="198">
        <v>8807.7000000000007</v>
      </c>
      <c r="AF14" s="132">
        <v>8849.2000000000007</v>
      </c>
    </row>
    <row r="15" spans="1:32" x14ac:dyDescent="0.35">
      <c r="A15" s="96">
        <v>8</v>
      </c>
      <c r="B15" s="162" t="s">
        <v>1755</v>
      </c>
      <c r="C15" s="110">
        <v>1734</v>
      </c>
      <c r="D15" s="110">
        <v>1748.4</v>
      </c>
      <c r="E15" s="113">
        <v>1762.3</v>
      </c>
      <c r="F15" s="113">
        <v>1757.7</v>
      </c>
      <c r="G15" s="113">
        <v>1749.7</v>
      </c>
      <c r="H15" s="113">
        <v>1745.6</v>
      </c>
      <c r="I15" s="110">
        <v>1778.8</v>
      </c>
      <c r="J15" s="113">
        <v>1795.8</v>
      </c>
      <c r="K15" s="110">
        <v>1796</v>
      </c>
      <c r="L15" s="192">
        <v>1797.8</v>
      </c>
      <c r="M15" s="198">
        <v>1793.1</v>
      </c>
      <c r="N15" s="127">
        <v>1804.5</v>
      </c>
      <c r="O15" s="181">
        <v>1816.7</v>
      </c>
      <c r="P15" s="198">
        <v>1828</v>
      </c>
      <c r="Q15" s="127">
        <v>1837.3</v>
      </c>
      <c r="R15" s="192">
        <v>1825.7</v>
      </c>
      <c r="S15" s="198">
        <v>1822.5</v>
      </c>
      <c r="T15" s="173">
        <v>1833.5</v>
      </c>
      <c r="U15" s="181">
        <v>1842.8</v>
      </c>
      <c r="V15" s="198">
        <v>1865</v>
      </c>
      <c r="W15" s="173">
        <v>1867.7</v>
      </c>
      <c r="X15" s="192">
        <v>1863.4</v>
      </c>
      <c r="Y15" s="198">
        <v>1873.4</v>
      </c>
      <c r="Z15" s="173">
        <v>1874.4</v>
      </c>
      <c r="AA15" s="192">
        <v>1878.4</v>
      </c>
      <c r="AB15" s="198">
        <v>1891</v>
      </c>
      <c r="AC15" s="88">
        <v>1892.5</v>
      </c>
      <c r="AD15" s="192">
        <v>1910.3</v>
      </c>
      <c r="AE15" s="198">
        <v>1908.9</v>
      </c>
      <c r="AF15" s="132">
        <v>1917.5</v>
      </c>
    </row>
    <row r="16" spans="1:32" x14ac:dyDescent="0.35">
      <c r="A16" s="96">
        <v>9</v>
      </c>
      <c r="B16" s="162" t="s">
        <v>1756</v>
      </c>
      <c r="C16" s="110">
        <v>6154.8</v>
      </c>
      <c r="D16" s="110">
        <v>6207.4</v>
      </c>
      <c r="E16" s="113">
        <v>6259.8</v>
      </c>
      <c r="F16" s="113">
        <v>6232.2</v>
      </c>
      <c r="G16" s="113">
        <v>6220.4</v>
      </c>
      <c r="H16" s="113">
        <v>6227.2</v>
      </c>
      <c r="I16" s="110">
        <v>6235</v>
      </c>
      <c r="J16" s="113">
        <v>6280.4</v>
      </c>
      <c r="K16" s="110">
        <v>6323.1</v>
      </c>
      <c r="L16" s="192">
        <v>6350.7</v>
      </c>
      <c r="M16" s="198">
        <v>6390</v>
      </c>
      <c r="N16" s="127">
        <v>6418.7</v>
      </c>
      <c r="O16" s="181">
        <v>6441.7</v>
      </c>
      <c r="P16" s="198">
        <v>6472.8</v>
      </c>
      <c r="Q16" s="127">
        <v>6493.8</v>
      </c>
      <c r="R16" s="192">
        <v>6470.1</v>
      </c>
      <c r="S16" s="198">
        <v>6477.1</v>
      </c>
      <c r="T16" s="173">
        <v>6500.2</v>
      </c>
      <c r="U16" s="181">
        <v>6578.6</v>
      </c>
      <c r="V16" s="198">
        <v>6653.4</v>
      </c>
      <c r="W16" s="173">
        <v>6711.8</v>
      </c>
      <c r="X16" s="192">
        <v>6702.3</v>
      </c>
      <c r="Y16" s="198">
        <v>6728.5</v>
      </c>
      <c r="Z16" s="173">
        <v>6725.2</v>
      </c>
      <c r="AA16" s="192">
        <v>6754.6</v>
      </c>
      <c r="AB16" s="198">
        <v>6790</v>
      </c>
      <c r="AC16" s="88">
        <v>6820.4</v>
      </c>
      <c r="AD16" s="192">
        <v>6856.5</v>
      </c>
      <c r="AE16" s="198">
        <v>6898.8</v>
      </c>
      <c r="AF16" s="132">
        <v>6931.7</v>
      </c>
    </row>
    <row r="17" spans="1:34" ht="16.399999999999999" customHeight="1" x14ac:dyDescent="0.35">
      <c r="A17" s="96">
        <v>10</v>
      </c>
      <c r="B17" s="147" t="s">
        <v>1757</v>
      </c>
      <c r="C17" s="110">
        <v>1615.4</v>
      </c>
      <c r="D17" s="110">
        <v>1624.8</v>
      </c>
      <c r="E17" s="113">
        <v>1631.1</v>
      </c>
      <c r="F17" s="113">
        <v>1634.6</v>
      </c>
      <c r="G17" s="113">
        <v>1644.8</v>
      </c>
      <c r="H17" s="113">
        <v>1650.4</v>
      </c>
      <c r="I17" s="110">
        <v>1676.4</v>
      </c>
      <c r="J17" s="113">
        <v>1685.7</v>
      </c>
      <c r="K17" s="110">
        <v>1695.5</v>
      </c>
      <c r="L17" s="192">
        <v>1703.2</v>
      </c>
      <c r="M17" s="198">
        <v>1711</v>
      </c>
      <c r="N17" s="127">
        <v>1718.6</v>
      </c>
      <c r="O17" s="181">
        <v>1738.2</v>
      </c>
      <c r="P17" s="198">
        <v>1753.3</v>
      </c>
      <c r="Q17" s="127">
        <v>1768.6</v>
      </c>
      <c r="R17" s="192">
        <v>1779.3</v>
      </c>
      <c r="S17" s="198">
        <v>1786</v>
      </c>
      <c r="T17" s="173">
        <v>1797</v>
      </c>
      <c r="U17" s="181">
        <v>1803.6</v>
      </c>
      <c r="V17" s="198">
        <v>1815.8</v>
      </c>
      <c r="W17" s="173">
        <v>1829.3</v>
      </c>
      <c r="X17" s="192">
        <v>1835.7</v>
      </c>
      <c r="Y17" s="198">
        <v>1842.9</v>
      </c>
      <c r="Z17" s="173">
        <v>1851.3</v>
      </c>
      <c r="AA17" s="192">
        <v>1859</v>
      </c>
      <c r="AB17" s="198">
        <v>1866.6</v>
      </c>
      <c r="AC17" s="88">
        <v>1874.1</v>
      </c>
      <c r="AD17" s="192">
        <v>1885.6</v>
      </c>
      <c r="AE17" s="198">
        <v>1896.1</v>
      </c>
      <c r="AF17" s="132">
        <v>1906.6</v>
      </c>
    </row>
    <row r="18" spans="1:34" ht="16.399999999999999" customHeight="1" x14ac:dyDescent="0.35">
      <c r="A18" s="96">
        <v>11</v>
      </c>
      <c r="B18" s="143" t="s">
        <v>1758</v>
      </c>
      <c r="C18" s="105">
        <v>2382.3000000000002</v>
      </c>
      <c r="D18" s="105">
        <v>2394.1</v>
      </c>
      <c r="E18" s="108">
        <v>2405.5</v>
      </c>
      <c r="F18" s="108">
        <v>2408.5</v>
      </c>
      <c r="G18" s="108">
        <v>2414.1</v>
      </c>
      <c r="H18" s="108">
        <v>2420</v>
      </c>
      <c r="I18" s="105">
        <v>2390.6</v>
      </c>
      <c r="J18" s="108">
        <v>2400.1999999999998</v>
      </c>
      <c r="K18" s="105">
        <v>2408.6</v>
      </c>
      <c r="L18" s="191">
        <v>2412.6</v>
      </c>
      <c r="M18" s="197">
        <v>2420.3000000000002</v>
      </c>
      <c r="N18" s="126">
        <v>2429.6</v>
      </c>
      <c r="O18" s="180">
        <v>2440.8000000000002</v>
      </c>
      <c r="P18" s="197">
        <v>2451.5</v>
      </c>
      <c r="Q18" s="126">
        <v>2461.4</v>
      </c>
      <c r="R18" s="191">
        <v>2465.3000000000002</v>
      </c>
      <c r="S18" s="197">
        <v>2471.1999999999998</v>
      </c>
      <c r="T18" s="171">
        <v>2479.8000000000002</v>
      </c>
      <c r="U18" s="180">
        <v>2557.6</v>
      </c>
      <c r="V18" s="197">
        <v>2573.1999999999998</v>
      </c>
      <c r="W18" s="171">
        <v>2587.6</v>
      </c>
      <c r="X18" s="191">
        <v>2592.6</v>
      </c>
      <c r="Y18" s="197">
        <v>2602.9</v>
      </c>
      <c r="Z18" s="171">
        <v>2612.3000000000002</v>
      </c>
      <c r="AA18" s="191">
        <v>2623.8</v>
      </c>
      <c r="AB18" s="197">
        <v>2636.3</v>
      </c>
      <c r="AC18" s="87">
        <v>2646.9</v>
      </c>
      <c r="AD18" s="191">
        <v>2659.1</v>
      </c>
      <c r="AE18" s="197">
        <v>2670.7</v>
      </c>
      <c r="AF18" s="136">
        <v>2680.7</v>
      </c>
    </row>
    <row r="19" spans="1:34" ht="16.5" customHeight="1" x14ac:dyDescent="0.35">
      <c r="A19" s="97">
        <v>12</v>
      </c>
      <c r="B19" s="188" t="s">
        <v>1759</v>
      </c>
      <c r="C19" s="110">
        <v>1614.2</v>
      </c>
      <c r="D19" s="110">
        <v>1620.2</v>
      </c>
      <c r="E19" s="113">
        <v>1625.6</v>
      </c>
      <c r="F19" s="113">
        <v>1630.6</v>
      </c>
      <c r="G19" s="113">
        <v>1637.1</v>
      </c>
      <c r="H19" s="113">
        <v>1642.9</v>
      </c>
      <c r="I19" s="110">
        <v>1594</v>
      </c>
      <c r="J19" s="113">
        <v>1599</v>
      </c>
      <c r="K19" s="110">
        <v>1603.5</v>
      </c>
      <c r="L19" s="192">
        <v>1604.7</v>
      </c>
      <c r="M19" s="198">
        <v>1609.4</v>
      </c>
      <c r="N19" s="127">
        <v>1615</v>
      </c>
      <c r="O19" s="181">
        <v>1622</v>
      </c>
      <c r="P19" s="198">
        <v>1628.6</v>
      </c>
      <c r="Q19" s="127">
        <v>1635</v>
      </c>
      <c r="R19" s="192">
        <v>1640.6</v>
      </c>
      <c r="S19" s="198">
        <v>1645.5</v>
      </c>
      <c r="T19" s="173">
        <v>1650.9</v>
      </c>
      <c r="U19" s="181">
        <v>1712.3</v>
      </c>
      <c r="V19" s="198">
        <v>1722.8</v>
      </c>
      <c r="W19" s="173">
        <v>1733</v>
      </c>
      <c r="X19" s="192">
        <v>1741.4</v>
      </c>
      <c r="Y19" s="198">
        <v>1749.9</v>
      </c>
      <c r="Z19" s="173">
        <v>1759.5</v>
      </c>
      <c r="AA19" s="192">
        <v>1768.4</v>
      </c>
      <c r="AB19" s="198">
        <v>1776.8</v>
      </c>
      <c r="AC19" s="88">
        <v>1784.6</v>
      </c>
      <c r="AD19" s="192">
        <v>1792.5</v>
      </c>
      <c r="AE19" s="198">
        <v>1799.7</v>
      </c>
      <c r="AF19" s="132">
        <v>1806.2</v>
      </c>
    </row>
    <row r="20" spans="1:34" x14ac:dyDescent="0.35">
      <c r="A20" s="97">
        <v>13</v>
      </c>
      <c r="B20" s="188" t="s">
        <v>1760</v>
      </c>
      <c r="C20" s="110">
        <v>768.1</v>
      </c>
      <c r="D20" s="110">
        <v>774</v>
      </c>
      <c r="E20" s="113">
        <v>779.9</v>
      </c>
      <c r="F20" s="113">
        <v>777.9</v>
      </c>
      <c r="G20" s="113">
        <v>777</v>
      </c>
      <c r="H20" s="113">
        <v>777.1</v>
      </c>
      <c r="I20" s="110">
        <v>796.6</v>
      </c>
      <c r="J20" s="113">
        <v>801.1</v>
      </c>
      <c r="K20" s="110">
        <v>805.1</v>
      </c>
      <c r="L20" s="192">
        <v>807.9</v>
      </c>
      <c r="M20" s="198">
        <v>811</v>
      </c>
      <c r="N20" s="127">
        <v>814.6</v>
      </c>
      <c r="O20" s="181">
        <v>818.7</v>
      </c>
      <c r="P20" s="198">
        <v>822.9</v>
      </c>
      <c r="Q20" s="127">
        <v>826.4</v>
      </c>
      <c r="R20" s="192">
        <v>824.7</v>
      </c>
      <c r="S20" s="198">
        <v>825.7</v>
      </c>
      <c r="T20" s="173">
        <v>828.9</v>
      </c>
      <c r="U20" s="181">
        <v>845.2</v>
      </c>
      <c r="V20" s="198">
        <v>850.4</v>
      </c>
      <c r="W20" s="173">
        <v>854.6</v>
      </c>
      <c r="X20" s="192">
        <v>851.3</v>
      </c>
      <c r="Y20" s="198">
        <v>853</v>
      </c>
      <c r="Z20" s="173">
        <v>852.7</v>
      </c>
      <c r="AA20" s="192">
        <v>855.4</v>
      </c>
      <c r="AB20" s="198">
        <v>859.5</v>
      </c>
      <c r="AC20" s="88">
        <v>862.3</v>
      </c>
      <c r="AD20" s="192">
        <v>866.6</v>
      </c>
      <c r="AE20" s="198">
        <v>871</v>
      </c>
      <c r="AF20" s="132">
        <v>874.5</v>
      </c>
    </row>
    <row r="21" spans="1:34" ht="16.399999999999999" customHeight="1" x14ac:dyDescent="0.35">
      <c r="A21" s="97">
        <v>14</v>
      </c>
      <c r="B21" s="177" t="s">
        <v>1761</v>
      </c>
      <c r="C21" s="105">
        <v>1846.5</v>
      </c>
      <c r="D21" s="105">
        <v>1869.7</v>
      </c>
      <c r="E21" s="108">
        <v>1874.4</v>
      </c>
      <c r="F21" s="108">
        <v>1877.2</v>
      </c>
      <c r="G21" s="108">
        <v>1882.7</v>
      </c>
      <c r="H21" s="108">
        <v>1888.6</v>
      </c>
      <c r="I21" s="105">
        <v>1832.2</v>
      </c>
      <c r="J21" s="108">
        <v>1828.6</v>
      </c>
      <c r="K21" s="105">
        <v>1821.5</v>
      </c>
      <c r="L21" s="191">
        <v>1821.1</v>
      </c>
      <c r="M21" s="197">
        <v>1821.3</v>
      </c>
      <c r="N21" s="126">
        <v>1829.9</v>
      </c>
      <c r="O21" s="180">
        <v>1839.7</v>
      </c>
      <c r="P21" s="197">
        <v>1861.1</v>
      </c>
      <c r="Q21" s="126">
        <v>1877.8</v>
      </c>
      <c r="R21" s="191">
        <v>1880.2</v>
      </c>
      <c r="S21" s="197">
        <v>1886.2</v>
      </c>
      <c r="T21" s="171">
        <v>1881.5</v>
      </c>
      <c r="U21" s="180">
        <v>1969.7</v>
      </c>
      <c r="V21" s="197">
        <v>1971.2</v>
      </c>
      <c r="W21" s="171">
        <v>1975.6</v>
      </c>
      <c r="X21" s="191">
        <v>1995.2</v>
      </c>
      <c r="Y21" s="197">
        <v>2003</v>
      </c>
      <c r="Z21" s="171">
        <v>2008.7</v>
      </c>
      <c r="AA21" s="191">
        <v>2014.2</v>
      </c>
      <c r="AB21" s="197">
        <v>2014.9</v>
      </c>
      <c r="AC21" s="87">
        <v>2011.4</v>
      </c>
      <c r="AD21" s="191">
        <v>2021.2</v>
      </c>
      <c r="AE21" s="197">
        <v>2024.8</v>
      </c>
      <c r="AF21" s="136">
        <v>2035.8</v>
      </c>
    </row>
    <row r="22" spans="1:34" x14ac:dyDescent="0.35">
      <c r="A22" s="96">
        <v>15</v>
      </c>
      <c r="B22" s="45" t="s">
        <v>1762</v>
      </c>
      <c r="C22" s="110">
        <v>94.8</v>
      </c>
      <c r="D22" s="110">
        <v>95.9</v>
      </c>
      <c r="E22" s="113">
        <v>97.1</v>
      </c>
      <c r="F22" s="113">
        <v>99</v>
      </c>
      <c r="G22" s="113">
        <v>100.9</v>
      </c>
      <c r="H22" s="113">
        <v>102.8</v>
      </c>
      <c r="I22" s="110">
        <v>78.7</v>
      </c>
      <c r="J22" s="113">
        <v>71.2</v>
      </c>
      <c r="K22" s="110">
        <v>63.8</v>
      </c>
      <c r="L22" s="192">
        <v>61</v>
      </c>
      <c r="M22" s="198">
        <v>58.2</v>
      </c>
      <c r="N22" s="127">
        <v>55.5</v>
      </c>
      <c r="O22" s="181">
        <v>52.7</v>
      </c>
      <c r="P22" s="198">
        <v>49.9</v>
      </c>
      <c r="Q22" s="127">
        <v>47.2</v>
      </c>
      <c r="R22" s="192">
        <v>42.6</v>
      </c>
      <c r="S22" s="198">
        <v>38</v>
      </c>
      <c r="T22" s="173">
        <v>33.4</v>
      </c>
      <c r="U22" s="181">
        <v>39.5</v>
      </c>
      <c r="V22" s="198">
        <v>38.1</v>
      </c>
      <c r="W22" s="173">
        <v>37.9</v>
      </c>
      <c r="X22" s="192">
        <v>39.5</v>
      </c>
      <c r="Y22" s="198">
        <v>41.1</v>
      </c>
      <c r="Z22" s="173">
        <v>42.6</v>
      </c>
      <c r="AA22" s="192">
        <v>45.9</v>
      </c>
      <c r="AB22" s="198">
        <v>49.2</v>
      </c>
      <c r="AC22" s="88">
        <v>44.1</v>
      </c>
      <c r="AD22" s="192">
        <v>47.5</v>
      </c>
      <c r="AE22" s="198">
        <v>50.9</v>
      </c>
      <c r="AF22" s="132">
        <v>54.2</v>
      </c>
    </row>
    <row r="23" spans="1:34" x14ac:dyDescent="0.35">
      <c r="A23" s="96">
        <v>16</v>
      </c>
      <c r="B23" s="45" t="s">
        <v>1763</v>
      </c>
      <c r="C23" s="110">
        <v>1751.7</v>
      </c>
      <c r="D23" s="110">
        <v>1773.7</v>
      </c>
      <c r="E23" s="113">
        <v>1777.4</v>
      </c>
      <c r="F23" s="113">
        <v>1778.3</v>
      </c>
      <c r="G23" s="113">
        <v>1781.9</v>
      </c>
      <c r="H23" s="113">
        <v>1785.8</v>
      </c>
      <c r="I23" s="110">
        <v>1753.5</v>
      </c>
      <c r="J23" s="113">
        <v>1757.4</v>
      </c>
      <c r="K23" s="110">
        <v>1757.7</v>
      </c>
      <c r="L23" s="192">
        <v>1760.1</v>
      </c>
      <c r="M23" s="198">
        <v>1763.1</v>
      </c>
      <c r="N23" s="127">
        <v>1774.4</v>
      </c>
      <c r="O23" s="181">
        <v>1787</v>
      </c>
      <c r="P23" s="198">
        <v>1811.2</v>
      </c>
      <c r="Q23" s="127">
        <v>1830.6</v>
      </c>
      <c r="R23" s="192">
        <v>1837.6</v>
      </c>
      <c r="S23" s="198">
        <v>1848.2</v>
      </c>
      <c r="T23" s="173">
        <v>1848.1</v>
      </c>
      <c r="U23" s="181">
        <v>1930.1</v>
      </c>
      <c r="V23" s="198">
        <v>1933</v>
      </c>
      <c r="W23" s="173">
        <v>1937.7</v>
      </c>
      <c r="X23" s="192">
        <v>1955.7</v>
      </c>
      <c r="Y23" s="198">
        <v>1961.9</v>
      </c>
      <c r="Z23" s="173">
        <v>1966.1</v>
      </c>
      <c r="AA23" s="192">
        <v>1968.3</v>
      </c>
      <c r="AB23" s="198">
        <v>1965.7</v>
      </c>
      <c r="AC23" s="88">
        <v>1967.3</v>
      </c>
      <c r="AD23" s="192">
        <v>1973.7</v>
      </c>
      <c r="AE23" s="198">
        <v>1974</v>
      </c>
      <c r="AF23" s="132">
        <v>1981.5</v>
      </c>
    </row>
    <row r="24" spans="1:34" x14ac:dyDescent="0.35">
      <c r="A24" s="97">
        <v>17</v>
      </c>
      <c r="B24" s="177" t="s">
        <v>1764</v>
      </c>
      <c r="C24" s="105">
        <v>792.9</v>
      </c>
      <c r="D24" s="105">
        <v>794.9</v>
      </c>
      <c r="E24" s="108">
        <v>797</v>
      </c>
      <c r="F24" s="108">
        <v>804.7</v>
      </c>
      <c r="G24" s="108">
        <v>810.6</v>
      </c>
      <c r="H24" s="108">
        <v>820</v>
      </c>
      <c r="I24" s="105">
        <v>930.9</v>
      </c>
      <c r="J24" s="108">
        <v>945.7</v>
      </c>
      <c r="K24" s="105">
        <v>960.7</v>
      </c>
      <c r="L24" s="191">
        <v>960.6</v>
      </c>
      <c r="M24" s="197">
        <v>960.8</v>
      </c>
      <c r="N24" s="126">
        <v>961.8</v>
      </c>
      <c r="O24" s="180">
        <v>967.2</v>
      </c>
      <c r="P24" s="197">
        <v>974.5</v>
      </c>
      <c r="Q24" s="126">
        <v>981.5</v>
      </c>
      <c r="R24" s="191">
        <v>985.3</v>
      </c>
      <c r="S24" s="197">
        <v>988.1</v>
      </c>
      <c r="T24" s="171">
        <v>991</v>
      </c>
      <c r="U24" s="180">
        <v>1032</v>
      </c>
      <c r="V24" s="197">
        <v>1046.4000000000001</v>
      </c>
      <c r="W24" s="171">
        <v>1059.9000000000001</v>
      </c>
      <c r="X24" s="191">
        <v>1060.7</v>
      </c>
      <c r="Y24" s="197">
        <v>1053.5</v>
      </c>
      <c r="Z24" s="171">
        <v>1046</v>
      </c>
      <c r="AA24" s="191">
        <v>1051</v>
      </c>
      <c r="AB24" s="197">
        <v>1055.7</v>
      </c>
      <c r="AC24" s="87">
        <v>1060.3</v>
      </c>
      <c r="AD24" s="191">
        <v>1070.0999999999999</v>
      </c>
      <c r="AE24" s="197">
        <v>1072.5999999999999</v>
      </c>
      <c r="AF24" s="136">
        <v>1078.8</v>
      </c>
    </row>
    <row r="25" spans="1:34" x14ac:dyDescent="0.35">
      <c r="A25" s="96">
        <v>18</v>
      </c>
      <c r="B25" s="142" t="s">
        <v>1765</v>
      </c>
      <c r="C25" s="105">
        <v>3350.6</v>
      </c>
      <c r="D25" s="105">
        <v>3358.1</v>
      </c>
      <c r="E25" s="108">
        <v>3367.7</v>
      </c>
      <c r="F25" s="108">
        <v>3413.8</v>
      </c>
      <c r="G25" s="108">
        <v>3424.7</v>
      </c>
      <c r="H25" s="108">
        <v>3433.5</v>
      </c>
      <c r="I25" s="105">
        <v>3559.3</v>
      </c>
      <c r="J25" s="108">
        <v>3570.9</v>
      </c>
      <c r="K25" s="105">
        <v>3600.9</v>
      </c>
      <c r="L25" s="191">
        <v>3606.8</v>
      </c>
      <c r="M25" s="197">
        <v>3610.2</v>
      </c>
      <c r="N25" s="126">
        <v>3590.7</v>
      </c>
      <c r="O25" s="180">
        <v>3594.4</v>
      </c>
      <c r="P25" s="197">
        <v>3607.3</v>
      </c>
      <c r="Q25" s="126">
        <v>3617.9</v>
      </c>
      <c r="R25" s="191">
        <v>3645.6</v>
      </c>
      <c r="S25" s="197">
        <v>3672.7</v>
      </c>
      <c r="T25" s="171">
        <v>3683.6</v>
      </c>
      <c r="U25" s="180">
        <v>3999.7</v>
      </c>
      <c r="V25" s="197">
        <v>3912.2</v>
      </c>
      <c r="W25" s="171">
        <v>3904.9</v>
      </c>
      <c r="X25" s="191">
        <v>3929.6</v>
      </c>
      <c r="Y25" s="197">
        <v>3953.7</v>
      </c>
      <c r="Z25" s="171">
        <v>3967.4</v>
      </c>
      <c r="AA25" s="191">
        <v>3958.7</v>
      </c>
      <c r="AB25" s="197">
        <v>3929.7</v>
      </c>
      <c r="AC25" s="87">
        <v>3927.9</v>
      </c>
      <c r="AD25" s="191">
        <v>3967.2</v>
      </c>
      <c r="AE25" s="197">
        <v>3960.2</v>
      </c>
      <c r="AF25" s="136">
        <v>3969.1</v>
      </c>
    </row>
    <row r="26" spans="1:34" x14ac:dyDescent="0.35">
      <c r="A26" s="96">
        <v>19</v>
      </c>
      <c r="B26" s="45" t="s">
        <v>1766</v>
      </c>
      <c r="C26" s="110">
        <v>1731.1</v>
      </c>
      <c r="D26" s="110">
        <v>1738</v>
      </c>
      <c r="E26" s="113">
        <v>1745.2</v>
      </c>
      <c r="F26" s="113">
        <v>1766.6</v>
      </c>
      <c r="G26" s="113">
        <v>1788.7</v>
      </c>
      <c r="H26" s="113">
        <v>1811.6</v>
      </c>
      <c r="I26" s="110">
        <v>1736.2</v>
      </c>
      <c r="J26" s="113">
        <v>1744.3</v>
      </c>
      <c r="K26" s="110">
        <v>1752.6</v>
      </c>
      <c r="L26" s="192">
        <v>1753.6</v>
      </c>
      <c r="M26" s="198">
        <v>1754.7</v>
      </c>
      <c r="N26" s="127">
        <v>1756.1</v>
      </c>
      <c r="O26" s="181">
        <v>1766.1</v>
      </c>
      <c r="P26" s="198">
        <v>1776.3</v>
      </c>
      <c r="Q26" s="127">
        <v>1786.7</v>
      </c>
      <c r="R26" s="192">
        <v>1801</v>
      </c>
      <c r="S26" s="198">
        <v>1815.5</v>
      </c>
      <c r="T26" s="173">
        <v>1830.2</v>
      </c>
      <c r="U26" s="181">
        <v>1967.6</v>
      </c>
      <c r="V26" s="198">
        <v>1951</v>
      </c>
      <c r="W26" s="173">
        <v>1934.3</v>
      </c>
      <c r="X26" s="192">
        <v>1950.4</v>
      </c>
      <c r="Y26" s="198">
        <v>1966.3</v>
      </c>
      <c r="Z26" s="173">
        <v>1982</v>
      </c>
      <c r="AA26" s="192">
        <v>1974.3</v>
      </c>
      <c r="AB26" s="198">
        <v>1966.4</v>
      </c>
      <c r="AC26" s="88">
        <v>1958.4</v>
      </c>
      <c r="AD26" s="192">
        <v>1970.3</v>
      </c>
      <c r="AE26" s="198">
        <v>1982.2</v>
      </c>
      <c r="AF26" s="132">
        <v>1994</v>
      </c>
    </row>
    <row r="27" spans="1:34" x14ac:dyDescent="0.35">
      <c r="A27" s="96">
        <v>20</v>
      </c>
      <c r="B27" s="45" t="s">
        <v>1767</v>
      </c>
      <c r="C27" s="110">
        <v>1619.5</v>
      </c>
      <c r="D27" s="110">
        <v>1620.1</v>
      </c>
      <c r="E27" s="113">
        <v>1622.6</v>
      </c>
      <c r="F27" s="113">
        <v>1647.2</v>
      </c>
      <c r="G27" s="113">
        <v>1636</v>
      </c>
      <c r="H27" s="113">
        <v>1622</v>
      </c>
      <c r="I27" s="110">
        <v>1823.1</v>
      </c>
      <c r="J27" s="113">
        <v>1826.6</v>
      </c>
      <c r="K27" s="110">
        <v>1848.3</v>
      </c>
      <c r="L27" s="192">
        <v>1853.3</v>
      </c>
      <c r="M27" s="198">
        <v>1855.5</v>
      </c>
      <c r="N27" s="127">
        <v>1834.7</v>
      </c>
      <c r="O27" s="181">
        <v>1828.3</v>
      </c>
      <c r="P27" s="198">
        <v>1831</v>
      </c>
      <c r="Q27" s="127">
        <v>1831.2</v>
      </c>
      <c r="R27" s="192">
        <v>1844.6</v>
      </c>
      <c r="S27" s="198">
        <v>1857.2</v>
      </c>
      <c r="T27" s="173">
        <v>1853.4</v>
      </c>
      <c r="U27" s="181">
        <v>2032.1</v>
      </c>
      <c r="V27" s="198">
        <v>1961.2</v>
      </c>
      <c r="W27" s="173">
        <v>1970.6</v>
      </c>
      <c r="X27" s="192">
        <v>1979.2</v>
      </c>
      <c r="Y27" s="198">
        <v>1987.5</v>
      </c>
      <c r="Z27" s="173">
        <v>1985.3</v>
      </c>
      <c r="AA27" s="192">
        <v>1984.5</v>
      </c>
      <c r="AB27" s="198">
        <v>1963.3</v>
      </c>
      <c r="AC27" s="88">
        <v>1969.5</v>
      </c>
      <c r="AD27" s="192">
        <v>1996.9</v>
      </c>
      <c r="AE27" s="198">
        <v>1978</v>
      </c>
      <c r="AF27" s="132">
        <v>1975.2</v>
      </c>
    </row>
    <row r="28" spans="1:34" x14ac:dyDescent="0.35">
      <c r="A28" s="96">
        <v>21</v>
      </c>
      <c r="B28" s="142" t="s">
        <v>1768</v>
      </c>
      <c r="C28" s="105">
        <v>3891.7</v>
      </c>
      <c r="D28" s="105">
        <v>3893.9</v>
      </c>
      <c r="E28" s="108">
        <v>3892.9</v>
      </c>
      <c r="F28" s="108">
        <v>3981.6</v>
      </c>
      <c r="G28" s="108">
        <v>4002.2</v>
      </c>
      <c r="H28" s="108">
        <v>4010.8</v>
      </c>
      <c r="I28" s="105">
        <v>4083.3</v>
      </c>
      <c r="J28" s="108">
        <v>4108.8</v>
      </c>
      <c r="K28" s="105">
        <v>4115.1000000000004</v>
      </c>
      <c r="L28" s="191">
        <v>4112.3</v>
      </c>
      <c r="M28" s="197">
        <v>4126.8</v>
      </c>
      <c r="N28" s="126">
        <v>4121.3</v>
      </c>
      <c r="O28" s="180">
        <v>4097.8999999999996</v>
      </c>
      <c r="P28" s="197">
        <v>4096.5</v>
      </c>
      <c r="Q28" s="126">
        <v>4086.6</v>
      </c>
      <c r="R28" s="191">
        <v>4083.8</v>
      </c>
      <c r="S28" s="197">
        <v>4082</v>
      </c>
      <c r="T28" s="171">
        <v>4094.6</v>
      </c>
      <c r="U28" s="180">
        <v>4411.3</v>
      </c>
      <c r="V28" s="197">
        <v>4448.1000000000004</v>
      </c>
      <c r="W28" s="171">
        <v>4478.8999999999996</v>
      </c>
      <c r="X28" s="191">
        <v>4498.6000000000004</v>
      </c>
      <c r="Y28" s="197">
        <v>4510.1000000000004</v>
      </c>
      <c r="Z28" s="171">
        <v>4528.3999999999996</v>
      </c>
      <c r="AA28" s="191">
        <v>4551</v>
      </c>
      <c r="AB28" s="197">
        <v>4560.5</v>
      </c>
      <c r="AC28" s="87">
        <v>4599.7</v>
      </c>
      <c r="AD28" s="191">
        <v>4636</v>
      </c>
      <c r="AE28" s="197">
        <v>4639.3</v>
      </c>
      <c r="AF28" s="136">
        <v>4647.8999999999996</v>
      </c>
    </row>
    <row r="29" spans="1:34" x14ac:dyDescent="0.35">
      <c r="A29" s="96">
        <v>22</v>
      </c>
      <c r="B29" s="45" t="s">
        <v>1769</v>
      </c>
      <c r="C29" s="110">
        <v>3821.1</v>
      </c>
      <c r="D29" s="110">
        <v>3824.5</v>
      </c>
      <c r="E29" s="113">
        <v>3823.5</v>
      </c>
      <c r="F29" s="113">
        <v>3912.2</v>
      </c>
      <c r="G29" s="113">
        <v>3932.8</v>
      </c>
      <c r="H29" s="113">
        <v>3941.2</v>
      </c>
      <c r="I29" s="110">
        <v>3983.1</v>
      </c>
      <c r="J29" s="113">
        <v>4007.9</v>
      </c>
      <c r="K29" s="110">
        <v>4013.6</v>
      </c>
      <c r="L29" s="192">
        <v>4010.1</v>
      </c>
      <c r="M29" s="198">
        <v>4024</v>
      </c>
      <c r="N29" s="127">
        <v>4017.8</v>
      </c>
      <c r="O29" s="181">
        <v>3993.8</v>
      </c>
      <c r="P29" s="198">
        <v>3991.8</v>
      </c>
      <c r="Q29" s="127">
        <v>3977.7</v>
      </c>
      <c r="R29" s="192">
        <v>3977.9</v>
      </c>
      <c r="S29" s="198">
        <v>3972.1</v>
      </c>
      <c r="T29" s="173">
        <v>3987.7</v>
      </c>
      <c r="U29" s="181">
        <v>4271.8</v>
      </c>
      <c r="V29" s="198">
        <v>4321</v>
      </c>
      <c r="W29" s="173">
        <v>4350.8999999999996</v>
      </c>
      <c r="X29" s="192">
        <v>4362.3</v>
      </c>
      <c r="Y29" s="198">
        <v>4380.3</v>
      </c>
      <c r="Z29" s="173">
        <v>4397.6000000000004</v>
      </c>
      <c r="AA29" s="192">
        <v>4419.3</v>
      </c>
      <c r="AB29" s="198">
        <v>4427.8999999999996</v>
      </c>
      <c r="AC29" s="88">
        <v>4466.1000000000004</v>
      </c>
      <c r="AD29" s="192">
        <v>4501.5</v>
      </c>
      <c r="AE29" s="198">
        <v>4503.8</v>
      </c>
      <c r="AF29" s="133">
        <v>4511.3999999999996</v>
      </c>
    </row>
    <row r="30" spans="1:34" ht="16.5" customHeight="1" x14ac:dyDescent="0.35">
      <c r="A30" s="118">
        <v>23</v>
      </c>
      <c r="B30" s="120" t="s">
        <v>1770</v>
      </c>
      <c r="C30" s="121">
        <v>1211.0999999999999</v>
      </c>
      <c r="D30" s="121">
        <v>1215.9000000000001</v>
      </c>
      <c r="E30" s="122">
        <v>1216.9000000000001</v>
      </c>
      <c r="F30" s="113">
        <v>1229.0999999999999</v>
      </c>
      <c r="G30" s="113">
        <v>1224.3</v>
      </c>
      <c r="H30" s="113">
        <v>1223.5999999999999</v>
      </c>
      <c r="I30" s="110">
        <v>1335.4</v>
      </c>
      <c r="J30" s="113">
        <v>1340.1</v>
      </c>
      <c r="K30" s="110">
        <v>1344.5</v>
      </c>
      <c r="L30" s="192">
        <v>1349.9</v>
      </c>
      <c r="M30" s="198">
        <v>1354.7</v>
      </c>
      <c r="N30" s="127">
        <v>1356.7</v>
      </c>
      <c r="O30" s="181">
        <v>1358.3</v>
      </c>
      <c r="P30" s="198">
        <v>1362.1</v>
      </c>
      <c r="Q30" s="127">
        <v>1363.4</v>
      </c>
      <c r="R30" s="192">
        <v>1378.6</v>
      </c>
      <c r="S30" s="198">
        <v>1370.3</v>
      </c>
      <c r="T30" s="173">
        <v>1373.8</v>
      </c>
      <c r="U30" s="181">
        <v>1421.9</v>
      </c>
      <c r="V30" s="198">
        <v>1425</v>
      </c>
      <c r="W30" s="173">
        <v>1432.7</v>
      </c>
      <c r="X30" s="192">
        <v>1435.9</v>
      </c>
      <c r="Y30" s="198">
        <v>1438.7</v>
      </c>
      <c r="Z30" s="173">
        <v>1444.6</v>
      </c>
      <c r="AA30" s="192">
        <v>1448.8</v>
      </c>
      <c r="AB30" s="198">
        <v>1452.8</v>
      </c>
      <c r="AC30" s="88">
        <v>1457.8</v>
      </c>
      <c r="AD30" s="192">
        <v>1471</v>
      </c>
      <c r="AE30" s="198">
        <v>1466.8</v>
      </c>
      <c r="AF30" s="134">
        <v>1467.5</v>
      </c>
      <c r="AG30" s="123">
        <f>'Social Benefits'!AC70</f>
        <v>1552.1458749999999</v>
      </c>
      <c r="AH30">
        <f>AG30/AF30</f>
        <v>1.0576803236797274</v>
      </c>
    </row>
    <row r="31" spans="1:34" ht="16.399999999999999" customHeight="1" x14ac:dyDescent="0.35">
      <c r="A31" s="118">
        <v>24</v>
      </c>
      <c r="B31" s="120" t="s">
        <v>1771</v>
      </c>
      <c r="C31" s="121">
        <v>914.1</v>
      </c>
      <c r="D31" s="121">
        <v>920.1</v>
      </c>
      <c r="E31" s="122">
        <v>926.7</v>
      </c>
      <c r="F31" s="113">
        <v>933.8</v>
      </c>
      <c r="G31" s="113">
        <v>941.5</v>
      </c>
      <c r="H31" s="113">
        <v>949.7</v>
      </c>
      <c r="I31" s="110">
        <v>936.9</v>
      </c>
      <c r="J31" s="113">
        <v>938.1</v>
      </c>
      <c r="K31" s="110">
        <v>939.3</v>
      </c>
      <c r="L31" s="192">
        <v>940.6</v>
      </c>
      <c r="M31" s="198">
        <v>941.9</v>
      </c>
      <c r="N31" s="127">
        <v>943.3</v>
      </c>
      <c r="O31" s="181">
        <v>944.8</v>
      </c>
      <c r="P31" s="198">
        <v>946.3</v>
      </c>
      <c r="Q31" s="127">
        <v>947.9</v>
      </c>
      <c r="R31" s="192">
        <v>949.6</v>
      </c>
      <c r="S31" s="198">
        <v>951.3</v>
      </c>
      <c r="T31" s="173">
        <v>953.1</v>
      </c>
      <c r="U31" s="181">
        <v>1044.2</v>
      </c>
      <c r="V31" s="198">
        <v>1049</v>
      </c>
      <c r="W31" s="173">
        <v>1054.4000000000001</v>
      </c>
      <c r="X31" s="192">
        <v>1060.4000000000001</v>
      </c>
      <c r="Y31" s="198">
        <v>1066.9000000000001</v>
      </c>
      <c r="Z31" s="173">
        <v>1074.0999999999999</v>
      </c>
      <c r="AA31" s="192">
        <v>1081.8</v>
      </c>
      <c r="AB31" s="198">
        <v>1090</v>
      </c>
      <c r="AC31" s="88">
        <v>1098.9000000000001</v>
      </c>
      <c r="AD31" s="192">
        <v>1108.3</v>
      </c>
      <c r="AE31" s="198">
        <v>1118.3</v>
      </c>
      <c r="AF31" s="135">
        <v>1128.9000000000001</v>
      </c>
      <c r="AG31" s="125">
        <f>Medicare!AC10</f>
        <v>1148.7441849890008</v>
      </c>
      <c r="AH31" t="s">
        <v>2297</v>
      </c>
    </row>
    <row r="32" spans="1:34" x14ac:dyDescent="0.35">
      <c r="A32" s="118">
        <v>25</v>
      </c>
      <c r="B32" s="120" t="s">
        <v>54</v>
      </c>
      <c r="C32" s="121">
        <v>790.3</v>
      </c>
      <c r="D32" s="121">
        <v>785.3</v>
      </c>
      <c r="E32" s="122">
        <v>782.8</v>
      </c>
      <c r="F32" s="113">
        <v>791.2</v>
      </c>
      <c r="G32" s="113">
        <v>796.9</v>
      </c>
      <c r="H32" s="113">
        <v>800.6</v>
      </c>
      <c r="I32" s="110">
        <v>856.7</v>
      </c>
      <c r="J32" s="113">
        <v>871.5</v>
      </c>
      <c r="K32" s="110">
        <v>886.1</v>
      </c>
      <c r="L32" s="192">
        <v>908.2</v>
      </c>
      <c r="M32" s="198">
        <v>916.2</v>
      </c>
      <c r="N32" s="127">
        <v>909.8</v>
      </c>
      <c r="O32" s="181">
        <v>893.4</v>
      </c>
      <c r="P32" s="198">
        <v>879.5</v>
      </c>
      <c r="Q32" s="127">
        <v>868.8</v>
      </c>
      <c r="R32" s="192">
        <v>863.5</v>
      </c>
      <c r="S32" s="198">
        <v>865.8</v>
      </c>
      <c r="T32" s="173">
        <v>875.6</v>
      </c>
      <c r="U32" s="181">
        <v>889.7</v>
      </c>
      <c r="V32" s="198">
        <v>906.4</v>
      </c>
      <c r="W32" s="173">
        <v>918.4</v>
      </c>
      <c r="X32" s="192">
        <v>922.3</v>
      </c>
      <c r="Y32" s="198">
        <v>925.2</v>
      </c>
      <c r="Z32" s="173">
        <v>926.4</v>
      </c>
      <c r="AA32" s="192">
        <v>926.2</v>
      </c>
      <c r="AB32" s="198">
        <v>930.8</v>
      </c>
      <c r="AC32" s="88">
        <v>940.2</v>
      </c>
      <c r="AD32" s="192">
        <v>951.4</v>
      </c>
      <c r="AE32" s="198">
        <v>958.8</v>
      </c>
      <c r="AF32" s="135">
        <v>962.7</v>
      </c>
      <c r="AG32" s="125">
        <f>forecast!D11</f>
        <v>967.10719642383469</v>
      </c>
      <c r="AH32" t="s">
        <v>2296</v>
      </c>
    </row>
    <row r="33" spans="1:33" x14ac:dyDescent="0.35">
      <c r="A33" s="118">
        <v>26</v>
      </c>
      <c r="B33" s="120" t="s">
        <v>262</v>
      </c>
      <c r="C33" s="121">
        <v>18.7</v>
      </c>
      <c r="D33" s="121">
        <v>18.899999999999999</v>
      </c>
      <c r="E33" s="122">
        <v>18</v>
      </c>
      <c r="F33" s="113">
        <v>18.899999999999999</v>
      </c>
      <c r="G33" s="113">
        <v>20.6</v>
      </c>
      <c r="H33" s="113">
        <v>21.6</v>
      </c>
      <c r="I33" s="110">
        <v>21.1</v>
      </c>
      <c r="J33" s="113">
        <v>22</v>
      </c>
      <c r="K33" s="110">
        <v>22.8</v>
      </c>
      <c r="L33" s="192">
        <v>22.8</v>
      </c>
      <c r="M33" s="198">
        <v>22.3</v>
      </c>
      <c r="N33" s="127">
        <v>21.6</v>
      </c>
      <c r="O33" s="181">
        <v>21.1</v>
      </c>
      <c r="P33" s="198">
        <v>21.1</v>
      </c>
      <c r="Q33" s="127">
        <v>20.8</v>
      </c>
      <c r="R33" s="192">
        <v>22.1</v>
      </c>
      <c r="S33" s="198">
        <v>23.1</v>
      </c>
      <c r="T33" s="173">
        <v>22.9</v>
      </c>
      <c r="U33" s="181">
        <v>34.799999999999997</v>
      </c>
      <c r="V33" s="198">
        <v>35</v>
      </c>
      <c r="W33" s="173">
        <v>35</v>
      </c>
      <c r="X33" s="192">
        <v>34.5</v>
      </c>
      <c r="Y33" s="198">
        <v>34.799999999999997</v>
      </c>
      <c r="Z33" s="173">
        <v>35.6</v>
      </c>
      <c r="AA33" s="192">
        <v>35.9</v>
      </c>
      <c r="AB33" s="198">
        <v>35.700000000000003</v>
      </c>
      <c r="AC33" s="88">
        <v>35.4</v>
      </c>
      <c r="AD33" s="192">
        <v>36</v>
      </c>
      <c r="AE33" s="198">
        <v>36.299999999999997</v>
      </c>
      <c r="AF33" s="135">
        <v>35.799999999999997</v>
      </c>
      <c r="AG33" s="125">
        <f>forecast!D9+forecast!D8</f>
        <v>35.700000000000003</v>
      </c>
    </row>
    <row r="34" spans="1:33" ht="16.399999999999999" customHeight="1" x14ac:dyDescent="0.35">
      <c r="A34" s="96">
        <v>27</v>
      </c>
      <c r="B34" s="147" t="s">
        <v>1772</v>
      </c>
      <c r="C34" s="110">
        <v>161.1</v>
      </c>
      <c r="D34" s="110">
        <v>161.6</v>
      </c>
      <c r="E34" s="113">
        <v>162.5</v>
      </c>
      <c r="F34" s="113">
        <v>163.19999999999999</v>
      </c>
      <c r="G34" s="113">
        <v>164</v>
      </c>
      <c r="H34" s="113">
        <v>164.8</v>
      </c>
      <c r="I34" s="110">
        <v>173.1</v>
      </c>
      <c r="J34" s="113">
        <v>172.9</v>
      </c>
      <c r="K34" s="110">
        <v>172.7</v>
      </c>
      <c r="L34" s="192">
        <v>172.7</v>
      </c>
      <c r="M34" s="198">
        <v>172.4</v>
      </c>
      <c r="N34" s="127">
        <v>172.5</v>
      </c>
      <c r="O34" s="181">
        <v>172.7</v>
      </c>
      <c r="P34" s="198">
        <v>172.9</v>
      </c>
      <c r="Q34" s="127">
        <v>173</v>
      </c>
      <c r="R34" s="192">
        <v>173.3</v>
      </c>
      <c r="S34" s="198">
        <v>173.6</v>
      </c>
      <c r="T34" s="173">
        <v>173.9</v>
      </c>
      <c r="U34" s="181">
        <v>210.1</v>
      </c>
      <c r="V34" s="198">
        <v>211.7</v>
      </c>
      <c r="W34" s="173">
        <v>213.4</v>
      </c>
      <c r="X34" s="192">
        <v>215.1</v>
      </c>
      <c r="Y34" s="198">
        <v>216.8</v>
      </c>
      <c r="Z34" s="173">
        <v>218.4</v>
      </c>
      <c r="AA34" s="192">
        <v>219.9</v>
      </c>
      <c r="AB34" s="198">
        <v>221.6</v>
      </c>
      <c r="AC34" s="88">
        <v>223.1</v>
      </c>
      <c r="AD34" s="192">
        <v>224.7</v>
      </c>
      <c r="AE34" s="198">
        <v>226.3</v>
      </c>
      <c r="AF34" s="132">
        <v>227.8</v>
      </c>
    </row>
    <row r="35" spans="1:33" x14ac:dyDescent="0.35">
      <c r="A35" s="96">
        <v>28</v>
      </c>
      <c r="B35" s="147" t="s">
        <v>530</v>
      </c>
      <c r="C35" s="110">
        <v>725.8</v>
      </c>
      <c r="D35" s="110">
        <v>722.7</v>
      </c>
      <c r="E35" s="113">
        <v>716.6</v>
      </c>
      <c r="F35" s="113">
        <v>776</v>
      </c>
      <c r="G35" s="113">
        <v>785.4</v>
      </c>
      <c r="H35" s="113">
        <v>780.9</v>
      </c>
      <c r="I35" s="110">
        <v>659.8</v>
      </c>
      <c r="J35" s="113">
        <v>663.3</v>
      </c>
      <c r="K35" s="110">
        <v>648.20000000000005</v>
      </c>
      <c r="L35" s="192">
        <v>615.9</v>
      </c>
      <c r="M35" s="198">
        <v>616.4</v>
      </c>
      <c r="N35" s="127">
        <v>613.79999999999995</v>
      </c>
      <c r="O35" s="181">
        <v>603.5</v>
      </c>
      <c r="P35" s="198">
        <v>610</v>
      </c>
      <c r="Q35" s="127">
        <v>603.79999999999995</v>
      </c>
      <c r="R35" s="192">
        <v>590.79999999999995</v>
      </c>
      <c r="S35" s="198">
        <v>588.1</v>
      </c>
      <c r="T35" s="173">
        <v>588.29999999999995</v>
      </c>
      <c r="U35" s="181">
        <v>671.2</v>
      </c>
      <c r="V35" s="198">
        <v>693.9</v>
      </c>
      <c r="W35" s="173">
        <v>697.1</v>
      </c>
      <c r="X35" s="192">
        <v>694.1</v>
      </c>
      <c r="Y35" s="198">
        <v>697.8</v>
      </c>
      <c r="Z35" s="173">
        <v>698.6</v>
      </c>
      <c r="AA35" s="192">
        <v>706.7</v>
      </c>
      <c r="AB35" s="198">
        <v>696.9</v>
      </c>
      <c r="AC35" s="88">
        <v>710.7</v>
      </c>
      <c r="AD35" s="192">
        <v>710</v>
      </c>
      <c r="AE35" s="198">
        <v>697.4</v>
      </c>
      <c r="AF35" s="132">
        <v>688.6</v>
      </c>
    </row>
    <row r="36" spans="1:33" x14ac:dyDescent="0.35">
      <c r="A36" s="96">
        <v>29</v>
      </c>
      <c r="B36" s="145" t="s">
        <v>1773</v>
      </c>
      <c r="C36" s="110">
        <v>70.7</v>
      </c>
      <c r="D36" s="110">
        <v>69.400000000000006</v>
      </c>
      <c r="E36" s="113">
        <v>69.400000000000006</v>
      </c>
      <c r="F36" s="113">
        <v>69.400000000000006</v>
      </c>
      <c r="G36" s="113">
        <v>69.5</v>
      </c>
      <c r="H36" s="113">
        <v>69.599999999999994</v>
      </c>
      <c r="I36" s="110">
        <v>100.2</v>
      </c>
      <c r="J36" s="113">
        <v>100.9</v>
      </c>
      <c r="K36" s="110">
        <v>101.6</v>
      </c>
      <c r="L36" s="192">
        <v>102.2</v>
      </c>
      <c r="M36" s="198">
        <v>102.8</v>
      </c>
      <c r="N36" s="127">
        <v>103.5</v>
      </c>
      <c r="O36" s="181">
        <v>104.1</v>
      </c>
      <c r="P36" s="198">
        <v>104.7</v>
      </c>
      <c r="Q36" s="127">
        <v>108.9</v>
      </c>
      <c r="R36" s="192">
        <v>105.8</v>
      </c>
      <c r="S36" s="198">
        <v>109.9</v>
      </c>
      <c r="T36" s="173">
        <v>106.9</v>
      </c>
      <c r="U36" s="181">
        <v>139.5</v>
      </c>
      <c r="V36" s="198">
        <v>127.1</v>
      </c>
      <c r="W36" s="173">
        <v>128</v>
      </c>
      <c r="X36" s="192">
        <v>136.30000000000001</v>
      </c>
      <c r="Y36" s="198">
        <v>129.80000000000001</v>
      </c>
      <c r="Z36" s="173">
        <v>130.80000000000001</v>
      </c>
      <c r="AA36" s="192">
        <v>131.69999999999999</v>
      </c>
      <c r="AB36" s="198">
        <v>132.6</v>
      </c>
      <c r="AC36" s="88">
        <v>133.6</v>
      </c>
      <c r="AD36" s="192">
        <v>134.5</v>
      </c>
      <c r="AE36" s="198">
        <v>135.5</v>
      </c>
      <c r="AF36" s="132">
        <v>136.5</v>
      </c>
    </row>
    <row r="37" spans="1:33" ht="42" customHeight="1" x14ac:dyDescent="0.35">
      <c r="A37" s="118">
        <v>30</v>
      </c>
      <c r="B37" s="130" t="s">
        <v>1774</v>
      </c>
      <c r="C37" s="138">
        <v>1683.6</v>
      </c>
      <c r="D37" s="138">
        <v>1695.6</v>
      </c>
      <c r="E37" s="139">
        <v>1707.7</v>
      </c>
      <c r="F37" s="108">
        <v>1704.3</v>
      </c>
      <c r="G37" s="108">
        <v>1703.1</v>
      </c>
      <c r="H37" s="108">
        <v>1703.8</v>
      </c>
      <c r="I37" s="105">
        <v>1765.5</v>
      </c>
      <c r="J37" s="108">
        <v>1774.3</v>
      </c>
      <c r="K37" s="105">
        <v>1782</v>
      </c>
      <c r="L37" s="191">
        <v>1787.4</v>
      </c>
      <c r="M37" s="197">
        <v>1793.6</v>
      </c>
      <c r="N37" s="126">
        <v>1800.9</v>
      </c>
      <c r="O37" s="180">
        <v>1809.2</v>
      </c>
      <c r="P37" s="197">
        <v>1817.6</v>
      </c>
      <c r="Q37" s="126">
        <v>1824.6</v>
      </c>
      <c r="R37" s="191">
        <v>1821.7</v>
      </c>
      <c r="S37" s="197">
        <v>1824.1</v>
      </c>
      <c r="T37" s="171">
        <v>1830.7</v>
      </c>
      <c r="U37" s="180">
        <v>1872.5</v>
      </c>
      <c r="V37" s="197">
        <v>1883.5</v>
      </c>
      <c r="W37" s="171">
        <v>1892.5</v>
      </c>
      <c r="X37" s="191">
        <v>1887</v>
      </c>
      <c r="Y37" s="197">
        <v>1891.2</v>
      </c>
      <c r="Z37" s="171">
        <v>1891.4</v>
      </c>
      <c r="AA37" s="191">
        <v>1897.1</v>
      </c>
      <c r="AB37" s="197">
        <v>1905.6</v>
      </c>
      <c r="AC37" s="87">
        <v>1911.6</v>
      </c>
      <c r="AD37" s="191">
        <v>1920.3</v>
      </c>
      <c r="AE37" s="197">
        <v>1929</v>
      </c>
      <c r="AF37" s="137">
        <v>1936.1</v>
      </c>
      <c r="AG37" s="123">
        <f>Taxes!AC12+Taxes!AC23</f>
        <v>1948.8391949723116</v>
      </c>
    </row>
    <row r="38" spans="1:33" x14ac:dyDescent="0.35">
      <c r="A38" s="118">
        <v>31</v>
      </c>
      <c r="B38" s="140" t="s">
        <v>242</v>
      </c>
      <c r="C38" s="138">
        <v>3224.2</v>
      </c>
      <c r="D38" s="138">
        <v>3236.7</v>
      </c>
      <c r="E38" s="139">
        <v>3248.6</v>
      </c>
      <c r="F38" s="108">
        <v>3232.7</v>
      </c>
      <c r="G38" s="108">
        <v>3213.6</v>
      </c>
      <c r="H38" s="108">
        <v>3202.1</v>
      </c>
      <c r="I38" s="105">
        <v>2767.2</v>
      </c>
      <c r="J38" s="108">
        <v>2763.4</v>
      </c>
      <c r="K38" s="105">
        <v>2760.4</v>
      </c>
      <c r="L38" s="191">
        <v>2707.4</v>
      </c>
      <c r="M38" s="197">
        <v>2691.2</v>
      </c>
      <c r="N38" s="126">
        <v>2712.9</v>
      </c>
      <c r="O38" s="180">
        <v>2744.1</v>
      </c>
      <c r="P38" s="197">
        <v>2768.2</v>
      </c>
      <c r="Q38" s="126">
        <v>2783.7</v>
      </c>
      <c r="R38" s="191">
        <v>2785.6</v>
      </c>
      <c r="S38" s="197">
        <v>2791.7</v>
      </c>
      <c r="T38" s="171">
        <v>2800.1</v>
      </c>
      <c r="U38" s="180">
        <v>2947.9</v>
      </c>
      <c r="V38" s="197">
        <v>2966.4</v>
      </c>
      <c r="W38" s="171">
        <v>2982.6</v>
      </c>
      <c r="X38" s="191">
        <v>2989.7</v>
      </c>
      <c r="Y38" s="197">
        <v>3007.5</v>
      </c>
      <c r="Z38" s="171">
        <v>3019</v>
      </c>
      <c r="AA38" s="191">
        <v>3040.2</v>
      </c>
      <c r="AB38" s="197">
        <v>3058.8</v>
      </c>
      <c r="AC38" s="87">
        <v>3067.9</v>
      </c>
      <c r="AD38" s="191">
        <v>3085.5</v>
      </c>
      <c r="AE38" s="197">
        <v>3101.9</v>
      </c>
      <c r="AF38" s="137">
        <v>3114.2</v>
      </c>
      <c r="AG38" s="123">
        <f>Taxes!AC10+Taxes!AC21</f>
        <v>3163.7331513575787</v>
      </c>
    </row>
    <row r="39" spans="1:33" x14ac:dyDescent="0.35">
      <c r="A39" s="96">
        <v>32</v>
      </c>
      <c r="B39" s="47" t="s">
        <v>1775</v>
      </c>
      <c r="C39" s="105">
        <v>18628.099999999999</v>
      </c>
      <c r="D39" s="105">
        <v>18739.099999999999</v>
      </c>
      <c r="E39" s="108">
        <v>18831.7</v>
      </c>
      <c r="F39" s="108">
        <v>18969.2</v>
      </c>
      <c r="G39" s="108">
        <v>19026.5</v>
      </c>
      <c r="H39" s="108">
        <v>19079.7</v>
      </c>
      <c r="I39" s="105">
        <v>19758.099999999999</v>
      </c>
      <c r="J39" s="108">
        <v>19885</v>
      </c>
      <c r="K39" s="105">
        <v>19997.5</v>
      </c>
      <c r="L39" s="191">
        <v>20098.7</v>
      </c>
      <c r="M39" s="197">
        <v>20185.400000000001</v>
      </c>
      <c r="N39" s="126">
        <v>20208.400000000001</v>
      </c>
      <c r="O39" s="180">
        <v>20242.2</v>
      </c>
      <c r="P39" s="197">
        <v>20326.400000000001</v>
      </c>
      <c r="Q39" s="126">
        <v>20392.5</v>
      </c>
      <c r="R39" s="191">
        <v>20403.8</v>
      </c>
      <c r="S39" s="197">
        <v>20449.8</v>
      </c>
      <c r="T39" s="171">
        <v>20511.5</v>
      </c>
      <c r="U39" s="180">
        <v>21278.799999999999</v>
      </c>
      <c r="V39" s="197">
        <v>21364.6</v>
      </c>
      <c r="W39" s="171">
        <v>21492.3</v>
      </c>
      <c r="X39" s="191">
        <v>21521.4</v>
      </c>
      <c r="Y39" s="197">
        <v>21576.7</v>
      </c>
      <c r="Z39" s="171">
        <v>21607.7</v>
      </c>
      <c r="AA39" s="191">
        <v>21660.3</v>
      </c>
      <c r="AB39" s="197">
        <v>21695.599999999999</v>
      </c>
      <c r="AC39" s="87">
        <v>21774.6</v>
      </c>
      <c r="AD39" s="191">
        <v>21921.5</v>
      </c>
      <c r="AE39" s="197">
        <v>21976.6</v>
      </c>
      <c r="AF39" s="136">
        <v>22056.3</v>
      </c>
    </row>
    <row r="40" spans="1:33" x14ac:dyDescent="0.35">
      <c r="A40" s="96">
        <v>33</v>
      </c>
      <c r="B40" s="47" t="s">
        <v>243</v>
      </c>
      <c r="C40" s="105">
        <v>17983.400000000001</v>
      </c>
      <c r="D40" s="105">
        <v>18132.7</v>
      </c>
      <c r="E40" s="108">
        <v>18257.400000000001</v>
      </c>
      <c r="F40" s="108">
        <v>18391.8</v>
      </c>
      <c r="G40" s="108">
        <v>18362.3</v>
      </c>
      <c r="H40" s="108">
        <v>18377.400000000001</v>
      </c>
      <c r="I40" s="105">
        <v>18887</v>
      </c>
      <c r="J40" s="108">
        <v>18959</v>
      </c>
      <c r="K40" s="105">
        <v>18950</v>
      </c>
      <c r="L40" s="191">
        <v>19056.2</v>
      </c>
      <c r="M40" s="197">
        <v>19125.400000000001</v>
      </c>
      <c r="N40" s="126">
        <v>19228.3</v>
      </c>
      <c r="O40" s="180">
        <v>19351.5</v>
      </c>
      <c r="P40" s="197">
        <v>19417</v>
      </c>
      <c r="Q40" s="126">
        <v>19600.900000000001</v>
      </c>
      <c r="R40" s="191">
        <v>19622.8</v>
      </c>
      <c r="S40" s="197">
        <v>19683.8</v>
      </c>
      <c r="T40" s="171">
        <v>19779.3</v>
      </c>
      <c r="U40" s="180">
        <v>20105.3</v>
      </c>
      <c r="V40" s="197">
        <v>20218.400000000001</v>
      </c>
      <c r="W40" s="171">
        <v>20367.8</v>
      </c>
      <c r="X40" s="191">
        <v>20423.3</v>
      </c>
      <c r="Y40" s="197">
        <v>20522.099999999999</v>
      </c>
      <c r="Z40" s="171">
        <v>20577.099999999999</v>
      </c>
      <c r="AA40" s="191">
        <v>20698.8</v>
      </c>
      <c r="AB40" s="197">
        <v>20740.099999999999</v>
      </c>
      <c r="AC40" s="87">
        <v>20881.8</v>
      </c>
      <c r="AD40" s="191">
        <v>20968.5</v>
      </c>
      <c r="AE40" s="197">
        <v>21083.599999999999</v>
      </c>
      <c r="AF40" s="136">
        <v>21213.1</v>
      </c>
    </row>
    <row r="41" spans="1:33" x14ac:dyDescent="0.35">
      <c r="A41" s="96">
        <v>34</v>
      </c>
      <c r="B41" s="112" t="s">
        <v>1709</v>
      </c>
      <c r="C41" s="110">
        <v>17420.3</v>
      </c>
      <c r="D41" s="110">
        <v>17550.900000000001</v>
      </c>
      <c r="E41" s="113">
        <v>17656.8</v>
      </c>
      <c r="F41" s="113">
        <v>17778.2</v>
      </c>
      <c r="G41" s="113">
        <v>17735</v>
      </c>
      <c r="H41" s="113">
        <v>17736.5</v>
      </c>
      <c r="I41" s="110">
        <v>18229.599999999999</v>
      </c>
      <c r="J41" s="113">
        <v>18296.5</v>
      </c>
      <c r="K41" s="110">
        <v>18282.599999999999</v>
      </c>
      <c r="L41" s="192">
        <v>18363.8</v>
      </c>
      <c r="M41" s="198">
        <v>18407.8</v>
      </c>
      <c r="N41" s="127">
        <v>18485.400000000001</v>
      </c>
      <c r="O41" s="181">
        <v>18595.400000000001</v>
      </c>
      <c r="P41" s="198">
        <v>18651.599999999999</v>
      </c>
      <c r="Q41" s="127">
        <v>18791.5</v>
      </c>
      <c r="R41" s="192">
        <v>18826.8</v>
      </c>
      <c r="S41" s="198">
        <v>18903</v>
      </c>
      <c r="T41" s="173">
        <v>19013.7</v>
      </c>
      <c r="U41" s="181">
        <v>19308.5</v>
      </c>
      <c r="V41" s="198">
        <v>19412.7</v>
      </c>
      <c r="W41" s="173">
        <v>19553.2</v>
      </c>
      <c r="X41" s="192">
        <v>19603.3</v>
      </c>
      <c r="Y41" s="198">
        <v>19697.3</v>
      </c>
      <c r="Z41" s="173">
        <v>19747.5</v>
      </c>
      <c r="AA41" s="192">
        <v>19866.3</v>
      </c>
      <c r="AB41" s="198">
        <v>19905</v>
      </c>
      <c r="AC41" s="88">
        <v>20044.099999999999</v>
      </c>
      <c r="AD41" s="192">
        <v>20134.5</v>
      </c>
      <c r="AE41" s="198">
        <v>20253.599999999999</v>
      </c>
      <c r="AF41" s="132">
        <v>20387.2</v>
      </c>
    </row>
    <row r="42" spans="1:33" ht="16.399999999999999" customHeight="1" x14ac:dyDescent="0.35">
      <c r="A42" s="96">
        <v>35</v>
      </c>
      <c r="B42" s="45" t="s">
        <v>1732</v>
      </c>
      <c r="C42" s="110">
        <v>5988.2</v>
      </c>
      <c r="D42" s="110">
        <v>5981.9</v>
      </c>
      <c r="E42" s="113">
        <v>5995.6</v>
      </c>
      <c r="F42" s="113">
        <v>6064.4</v>
      </c>
      <c r="G42" s="113">
        <v>5974.1</v>
      </c>
      <c r="H42" s="113">
        <v>5901.5</v>
      </c>
      <c r="I42" s="110">
        <v>6148.2</v>
      </c>
      <c r="J42" s="113">
        <v>6164.2</v>
      </c>
      <c r="K42" s="110">
        <v>6089.2</v>
      </c>
      <c r="L42" s="192">
        <v>6139.1</v>
      </c>
      <c r="M42" s="198">
        <v>6144.7</v>
      </c>
      <c r="N42" s="127">
        <v>6150.1</v>
      </c>
      <c r="O42" s="181">
        <v>6188.2</v>
      </c>
      <c r="P42" s="198">
        <v>6228.7</v>
      </c>
      <c r="Q42" s="127">
        <v>6278.4</v>
      </c>
      <c r="R42" s="192">
        <v>6250.7</v>
      </c>
      <c r="S42" s="198">
        <v>6242.4</v>
      </c>
      <c r="T42" s="173">
        <v>6273.8</v>
      </c>
      <c r="U42" s="181">
        <v>6115.8</v>
      </c>
      <c r="V42" s="198">
        <v>6134.2</v>
      </c>
      <c r="W42" s="173">
        <v>6196.5</v>
      </c>
      <c r="X42" s="192">
        <v>6186</v>
      </c>
      <c r="Y42" s="198">
        <v>6218.9</v>
      </c>
      <c r="Z42" s="173">
        <v>6209</v>
      </c>
      <c r="AA42" s="192">
        <v>6267.2</v>
      </c>
      <c r="AB42" s="198">
        <v>6229.2</v>
      </c>
      <c r="AC42" s="88">
        <v>6298.9</v>
      </c>
      <c r="AD42" s="192">
        <v>6293.6</v>
      </c>
      <c r="AE42" s="198">
        <v>6363.2</v>
      </c>
      <c r="AF42" s="132">
        <v>6418.6</v>
      </c>
    </row>
    <row r="43" spans="1:33" ht="16.399999999999999" customHeight="1" x14ac:dyDescent="0.35">
      <c r="A43" s="96">
        <v>36</v>
      </c>
      <c r="B43" s="147" t="s">
        <v>1776</v>
      </c>
      <c r="C43" s="110">
        <v>2189.5</v>
      </c>
      <c r="D43" s="110">
        <v>2197.8000000000002</v>
      </c>
      <c r="E43" s="113">
        <v>2200.1999999999998</v>
      </c>
      <c r="F43" s="113">
        <v>2238.9</v>
      </c>
      <c r="G43" s="113">
        <v>2167.3000000000002</v>
      </c>
      <c r="H43" s="113">
        <v>2134.9</v>
      </c>
      <c r="I43" s="110">
        <v>2213.6999999999998</v>
      </c>
      <c r="J43" s="113">
        <v>2203.6</v>
      </c>
      <c r="K43" s="110">
        <v>2167.3000000000002</v>
      </c>
      <c r="L43" s="192">
        <v>2183.6999999999998</v>
      </c>
      <c r="M43" s="198">
        <v>2202.8000000000002</v>
      </c>
      <c r="N43" s="127">
        <v>2194.1999999999998</v>
      </c>
      <c r="O43" s="181">
        <v>2206.9</v>
      </c>
      <c r="P43" s="198">
        <v>2193.1</v>
      </c>
      <c r="Q43" s="127">
        <v>2213.4</v>
      </c>
      <c r="R43" s="192">
        <v>2191.1</v>
      </c>
      <c r="S43" s="198">
        <v>2195.6999999999998</v>
      </c>
      <c r="T43" s="173">
        <v>2219.8000000000002</v>
      </c>
      <c r="U43" s="181">
        <v>2113</v>
      </c>
      <c r="V43" s="198">
        <v>2128.6</v>
      </c>
      <c r="W43" s="173">
        <v>2140.3000000000002</v>
      </c>
      <c r="X43" s="192">
        <v>2129.3000000000002</v>
      </c>
      <c r="Y43" s="198">
        <v>2151.6999999999998</v>
      </c>
      <c r="Z43" s="173">
        <v>2144.5</v>
      </c>
      <c r="AA43" s="192">
        <v>2170.9</v>
      </c>
      <c r="AB43" s="198">
        <v>2148.8000000000002</v>
      </c>
      <c r="AC43" s="88">
        <v>2185.6</v>
      </c>
      <c r="AD43" s="192">
        <v>2189.1999999999998</v>
      </c>
      <c r="AE43" s="198">
        <v>2247.6</v>
      </c>
      <c r="AF43" s="132">
        <v>2262</v>
      </c>
    </row>
    <row r="44" spans="1:33" ht="16.399999999999999" customHeight="1" x14ac:dyDescent="0.35">
      <c r="A44" s="96">
        <v>37</v>
      </c>
      <c r="B44" s="147" t="s">
        <v>1777</v>
      </c>
      <c r="C44" s="110">
        <v>3798.7</v>
      </c>
      <c r="D44" s="110">
        <v>3784.1</v>
      </c>
      <c r="E44" s="113">
        <v>3795.4</v>
      </c>
      <c r="F44" s="113">
        <v>3825.6</v>
      </c>
      <c r="G44" s="113">
        <v>3806.8</v>
      </c>
      <c r="H44" s="113">
        <v>3766.5</v>
      </c>
      <c r="I44" s="110">
        <v>3934.5</v>
      </c>
      <c r="J44" s="113">
        <v>3960.6</v>
      </c>
      <c r="K44" s="110">
        <v>3921.9</v>
      </c>
      <c r="L44" s="192">
        <v>3955.4</v>
      </c>
      <c r="M44" s="198">
        <v>3941.9</v>
      </c>
      <c r="N44" s="127">
        <v>3955.9</v>
      </c>
      <c r="O44" s="181">
        <v>3981.3</v>
      </c>
      <c r="P44" s="198">
        <v>4035.5</v>
      </c>
      <c r="Q44" s="127">
        <v>4065</v>
      </c>
      <c r="R44" s="192">
        <v>4059.7</v>
      </c>
      <c r="S44" s="198">
        <v>4046.7</v>
      </c>
      <c r="T44" s="173">
        <v>4054</v>
      </c>
      <c r="U44" s="181">
        <v>4002.8</v>
      </c>
      <c r="V44" s="198">
        <v>4005.6</v>
      </c>
      <c r="W44" s="173">
        <v>4056.2</v>
      </c>
      <c r="X44" s="192">
        <v>4056.7</v>
      </c>
      <c r="Y44" s="198">
        <v>4067.2</v>
      </c>
      <c r="Z44" s="173">
        <v>4064.5</v>
      </c>
      <c r="AA44" s="192">
        <v>4096.3</v>
      </c>
      <c r="AB44" s="198">
        <v>4080.4</v>
      </c>
      <c r="AC44" s="88">
        <v>4113.3</v>
      </c>
      <c r="AD44" s="192">
        <v>4104.3999999999996</v>
      </c>
      <c r="AE44" s="198">
        <v>4115.6000000000004</v>
      </c>
      <c r="AF44" s="133">
        <v>4156.6000000000004</v>
      </c>
    </row>
    <row r="45" spans="1:33" ht="16.399999999999999" customHeight="1" x14ac:dyDescent="0.35">
      <c r="A45" s="96">
        <v>38</v>
      </c>
      <c r="B45" s="45" t="s">
        <v>1733</v>
      </c>
      <c r="C45" s="110">
        <v>11432.1</v>
      </c>
      <c r="D45" s="110">
        <v>11568.9</v>
      </c>
      <c r="E45" s="113">
        <v>11661.2</v>
      </c>
      <c r="F45" s="113">
        <v>11713.7</v>
      </c>
      <c r="G45" s="113">
        <v>11760.9</v>
      </c>
      <c r="H45" s="113">
        <v>11835</v>
      </c>
      <c r="I45" s="110">
        <v>12081.4</v>
      </c>
      <c r="J45" s="113">
        <v>12132.4</v>
      </c>
      <c r="K45" s="110">
        <v>12193.4</v>
      </c>
      <c r="L45" s="192">
        <v>12224.7</v>
      </c>
      <c r="M45" s="198">
        <v>12263</v>
      </c>
      <c r="N45" s="127">
        <v>12335.3</v>
      </c>
      <c r="O45" s="181">
        <v>12407.2</v>
      </c>
      <c r="P45" s="198">
        <v>12422.9</v>
      </c>
      <c r="Q45" s="127">
        <v>12513</v>
      </c>
      <c r="R45" s="192">
        <v>12576.1</v>
      </c>
      <c r="S45" s="198">
        <v>12660.5</v>
      </c>
      <c r="T45" s="173">
        <v>12739.9</v>
      </c>
      <c r="U45" s="181">
        <v>13192.6</v>
      </c>
      <c r="V45" s="198">
        <v>13278.5</v>
      </c>
      <c r="W45" s="173">
        <v>13356.7</v>
      </c>
      <c r="X45" s="192">
        <v>13417.3</v>
      </c>
      <c r="Y45" s="198">
        <v>13478.5</v>
      </c>
      <c r="Z45" s="173">
        <v>13538.5</v>
      </c>
      <c r="AA45" s="192">
        <v>13599</v>
      </c>
      <c r="AB45" s="198">
        <v>13675.7</v>
      </c>
      <c r="AC45" s="88">
        <v>13745.2</v>
      </c>
      <c r="AD45" s="192">
        <v>13840.9</v>
      </c>
      <c r="AE45" s="198">
        <v>13890.4</v>
      </c>
      <c r="AF45" s="133">
        <v>13968.5</v>
      </c>
    </row>
    <row r="46" spans="1:33" ht="16.399999999999999" customHeight="1" x14ac:dyDescent="0.35">
      <c r="A46" s="96">
        <v>39</v>
      </c>
      <c r="B46" s="112" t="s">
        <v>1778</v>
      </c>
      <c r="C46" s="110">
        <v>338.7</v>
      </c>
      <c r="D46" s="110">
        <v>357.1</v>
      </c>
      <c r="E46" s="113">
        <v>375.6</v>
      </c>
      <c r="F46" s="113">
        <v>389.1</v>
      </c>
      <c r="G46" s="113">
        <v>402.6</v>
      </c>
      <c r="H46" s="113">
        <v>416.1</v>
      </c>
      <c r="I46" s="110">
        <v>415</v>
      </c>
      <c r="J46" s="113">
        <v>419.8</v>
      </c>
      <c r="K46" s="110">
        <v>424.7</v>
      </c>
      <c r="L46" s="192">
        <v>449.7</v>
      </c>
      <c r="M46" s="198">
        <v>474.7</v>
      </c>
      <c r="N46" s="127">
        <v>499.8</v>
      </c>
      <c r="O46" s="181">
        <v>510</v>
      </c>
      <c r="P46" s="198">
        <v>519</v>
      </c>
      <c r="Q46" s="127">
        <v>562.79999999999995</v>
      </c>
      <c r="R46" s="192">
        <v>547.29999999999995</v>
      </c>
      <c r="S46" s="198">
        <v>531.70000000000005</v>
      </c>
      <c r="T46" s="173">
        <v>516.1</v>
      </c>
      <c r="U46" s="181">
        <v>525.79999999999995</v>
      </c>
      <c r="V46" s="198">
        <v>534.4</v>
      </c>
      <c r="W46" s="173">
        <v>542.9</v>
      </c>
      <c r="X46" s="192">
        <v>547.29999999999995</v>
      </c>
      <c r="Y46" s="198">
        <v>551.70000000000005</v>
      </c>
      <c r="Z46" s="173">
        <v>556.1</v>
      </c>
      <c r="AA46" s="192">
        <v>558.29999999999995</v>
      </c>
      <c r="AB46" s="198">
        <v>560.5</v>
      </c>
      <c r="AC46" s="88">
        <v>562.70000000000005</v>
      </c>
      <c r="AD46" s="192">
        <v>558.1</v>
      </c>
      <c r="AE46" s="198">
        <v>553.5</v>
      </c>
      <c r="AF46" s="133">
        <v>549</v>
      </c>
    </row>
    <row r="47" spans="1:33" x14ac:dyDescent="0.35">
      <c r="A47" s="96">
        <v>40</v>
      </c>
      <c r="B47" s="112" t="s">
        <v>1779</v>
      </c>
      <c r="C47" s="110">
        <v>224.4</v>
      </c>
      <c r="D47" s="110">
        <v>224.7</v>
      </c>
      <c r="E47" s="113">
        <v>225</v>
      </c>
      <c r="F47" s="113">
        <v>224.5</v>
      </c>
      <c r="G47" s="113">
        <v>224.7</v>
      </c>
      <c r="H47" s="113">
        <v>224.8</v>
      </c>
      <c r="I47" s="110">
        <v>242.4</v>
      </c>
      <c r="J47" s="113">
        <v>242.6</v>
      </c>
      <c r="K47" s="110">
        <v>242.8</v>
      </c>
      <c r="L47" s="192">
        <v>242.6</v>
      </c>
      <c r="M47" s="198">
        <v>242.9</v>
      </c>
      <c r="N47" s="127">
        <v>243.1</v>
      </c>
      <c r="O47" s="181">
        <v>246.1</v>
      </c>
      <c r="P47" s="198">
        <v>246.4</v>
      </c>
      <c r="Q47" s="127">
        <v>246.7</v>
      </c>
      <c r="R47" s="192">
        <v>248.8</v>
      </c>
      <c r="S47" s="198">
        <v>249.1</v>
      </c>
      <c r="T47" s="173">
        <v>249.5</v>
      </c>
      <c r="U47" s="181">
        <v>271</v>
      </c>
      <c r="V47" s="198">
        <v>271.39999999999998</v>
      </c>
      <c r="W47" s="173">
        <v>271.7</v>
      </c>
      <c r="X47" s="192">
        <v>272.7</v>
      </c>
      <c r="Y47" s="198">
        <v>273.10000000000002</v>
      </c>
      <c r="Z47" s="173">
        <v>273.5</v>
      </c>
      <c r="AA47" s="192">
        <v>274.2</v>
      </c>
      <c r="AB47" s="198">
        <v>274.7</v>
      </c>
      <c r="AC47" s="88">
        <v>275.10000000000002</v>
      </c>
      <c r="AD47" s="192">
        <v>275.89999999999998</v>
      </c>
      <c r="AE47" s="198">
        <v>276.39999999999998</v>
      </c>
      <c r="AF47" s="133">
        <v>277</v>
      </c>
    </row>
    <row r="48" spans="1:33" x14ac:dyDescent="0.35">
      <c r="A48" s="96">
        <v>41</v>
      </c>
      <c r="B48" s="45" t="s">
        <v>1780</v>
      </c>
      <c r="C48" s="110">
        <v>116.1</v>
      </c>
      <c r="D48" s="110">
        <v>116.4</v>
      </c>
      <c r="E48" s="113">
        <v>116.7</v>
      </c>
      <c r="F48" s="113">
        <v>116.9</v>
      </c>
      <c r="G48" s="113">
        <v>117.1</v>
      </c>
      <c r="H48" s="113">
        <v>117.2</v>
      </c>
      <c r="I48" s="110">
        <v>129.5</v>
      </c>
      <c r="J48" s="113">
        <v>129.69999999999999</v>
      </c>
      <c r="K48" s="110">
        <v>129.9</v>
      </c>
      <c r="L48" s="192">
        <v>130.1</v>
      </c>
      <c r="M48" s="198">
        <v>130.4</v>
      </c>
      <c r="N48" s="127">
        <v>130.6</v>
      </c>
      <c r="O48" s="181">
        <v>130.9</v>
      </c>
      <c r="P48" s="198">
        <v>131.19999999999999</v>
      </c>
      <c r="Q48" s="127">
        <v>131.5</v>
      </c>
      <c r="R48" s="192">
        <v>131.80000000000001</v>
      </c>
      <c r="S48" s="198">
        <v>132.1</v>
      </c>
      <c r="T48" s="173">
        <v>132.5</v>
      </c>
      <c r="U48" s="181">
        <v>137.5</v>
      </c>
      <c r="V48" s="198">
        <v>137.9</v>
      </c>
      <c r="W48" s="173">
        <v>138.19999999999999</v>
      </c>
      <c r="X48" s="192">
        <v>138.6</v>
      </c>
      <c r="Y48" s="198">
        <v>139</v>
      </c>
      <c r="Z48" s="173">
        <v>139.4</v>
      </c>
      <c r="AA48" s="192">
        <v>139.80000000000001</v>
      </c>
      <c r="AB48" s="198">
        <v>140.19999999999999</v>
      </c>
      <c r="AC48" s="88">
        <v>140.69999999999999</v>
      </c>
      <c r="AD48" s="192">
        <v>141.19999999999999</v>
      </c>
      <c r="AE48" s="198">
        <v>141.69999999999999</v>
      </c>
      <c r="AF48" s="133">
        <v>142.19999999999999</v>
      </c>
    </row>
    <row r="49" spans="1:32" x14ac:dyDescent="0.35">
      <c r="A49" s="96">
        <v>42</v>
      </c>
      <c r="B49" s="45" t="s">
        <v>1781</v>
      </c>
      <c r="C49" s="110">
        <v>108.3</v>
      </c>
      <c r="D49" s="110">
        <v>108.3</v>
      </c>
      <c r="E49" s="113">
        <v>108.3</v>
      </c>
      <c r="F49" s="113">
        <v>107.6</v>
      </c>
      <c r="G49" s="113">
        <v>107.6</v>
      </c>
      <c r="H49" s="113">
        <v>107.6</v>
      </c>
      <c r="I49" s="110">
        <v>112.9</v>
      </c>
      <c r="J49" s="113">
        <v>112.9</v>
      </c>
      <c r="K49" s="110">
        <v>112.9</v>
      </c>
      <c r="L49" s="192">
        <v>112.5</v>
      </c>
      <c r="M49" s="198">
        <v>112.5</v>
      </c>
      <c r="N49" s="127">
        <v>112.5</v>
      </c>
      <c r="O49" s="181">
        <v>115.2</v>
      </c>
      <c r="P49" s="198">
        <v>115.2</v>
      </c>
      <c r="Q49" s="127">
        <v>115.2</v>
      </c>
      <c r="R49" s="192">
        <v>117</v>
      </c>
      <c r="S49" s="198">
        <v>117</v>
      </c>
      <c r="T49" s="173">
        <v>117</v>
      </c>
      <c r="U49" s="181">
        <v>133.5</v>
      </c>
      <c r="V49" s="198">
        <v>133.5</v>
      </c>
      <c r="W49" s="173">
        <v>133.5</v>
      </c>
      <c r="X49" s="192">
        <v>134.1</v>
      </c>
      <c r="Y49" s="198">
        <v>134.1</v>
      </c>
      <c r="Z49" s="173">
        <v>134.1</v>
      </c>
      <c r="AA49" s="192">
        <v>134.4</v>
      </c>
      <c r="AB49" s="198">
        <v>134.4</v>
      </c>
      <c r="AC49" s="88">
        <v>134.4</v>
      </c>
      <c r="AD49" s="192">
        <v>134.80000000000001</v>
      </c>
      <c r="AE49" s="198">
        <v>134.80000000000001</v>
      </c>
      <c r="AF49" s="133">
        <v>134.80000000000001</v>
      </c>
    </row>
    <row r="50" spans="1:32" x14ac:dyDescent="0.35">
      <c r="A50" s="96">
        <v>43</v>
      </c>
      <c r="B50" s="47" t="s">
        <v>244</v>
      </c>
      <c r="C50" s="105">
        <v>644.70000000000005</v>
      </c>
      <c r="D50" s="105">
        <v>606.4</v>
      </c>
      <c r="E50" s="108">
        <v>574.4</v>
      </c>
      <c r="F50" s="108">
        <v>577.4</v>
      </c>
      <c r="G50" s="108">
        <v>664.1</v>
      </c>
      <c r="H50" s="108">
        <v>702.3</v>
      </c>
      <c r="I50" s="105">
        <v>871.1</v>
      </c>
      <c r="J50" s="108">
        <v>926</v>
      </c>
      <c r="K50" s="105">
        <v>1047.5</v>
      </c>
      <c r="L50" s="191">
        <v>1042.5</v>
      </c>
      <c r="M50" s="197">
        <v>1060</v>
      </c>
      <c r="N50" s="126">
        <v>980.1</v>
      </c>
      <c r="O50" s="180">
        <v>890.7</v>
      </c>
      <c r="P50" s="197">
        <v>909.4</v>
      </c>
      <c r="Q50" s="126">
        <v>791.6</v>
      </c>
      <c r="R50" s="191">
        <v>781</v>
      </c>
      <c r="S50" s="197">
        <v>766</v>
      </c>
      <c r="T50" s="171">
        <v>732.3</v>
      </c>
      <c r="U50" s="180">
        <v>1173.5</v>
      </c>
      <c r="V50" s="197">
        <v>1146.2</v>
      </c>
      <c r="W50" s="171">
        <v>1124.5</v>
      </c>
      <c r="X50" s="191">
        <v>1098.0999999999999</v>
      </c>
      <c r="Y50" s="197">
        <v>1054.5999999999999</v>
      </c>
      <c r="Z50" s="171">
        <v>1030.5999999999999</v>
      </c>
      <c r="AA50" s="191">
        <v>961.5</v>
      </c>
      <c r="AB50" s="197">
        <v>955.4</v>
      </c>
      <c r="AC50" s="87">
        <v>892.8</v>
      </c>
      <c r="AD50" s="191">
        <v>953</v>
      </c>
      <c r="AE50" s="197">
        <v>893</v>
      </c>
      <c r="AF50" s="136">
        <v>843.2</v>
      </c>
    </row>
    <row r="51" spans="1:32" x14ac:dyDescent="0.35">
      <c r="A51" s="97">
        <v>44</v>
      </c>
      <c r="B51" s="177" t="s">
        <v>1782</v>
      </c>
      <c r="C51" s="105">
        <v>3.5</v>
      </c>
      <c r="D51" s="105">
        <v>3.2</v>
      </c>
      <c r="E51" s="108">
        <v>3</v>
      </c>
      <c r="F51" s="108">
        <v>3</v>
      </c>
      <c r="G51" s="108">
        <v>3.5</v>
      </c>
      <c r="H51" s="108">
        <v>3.7</v>
      </c>
      <c r="I51" s="105">
        <v>4.4000000000000004</v>
      </c>
      <c r="J51" s="108">
        <v>4.7</v>
      </c>
      <c r="K51" s="105">
        <v>5.2</v>
      </c>
      <c r="L51" s="191">
        <v>5.2</v>
      </c>
      <c r="M51" s="197">
        <v>5.3</v>
      </c>
      <c r="N51" s="126">
        <v>4.8</v>
      </c>
      <c r="O51" s="180">
        <v>4.4000000000000004</v>
      </c>
      <c r="P51" s="197">
        <v>4.5</v>
      </c>
      <c r="Q51" s="126">
        <v>3.9</v>
      </c>
      <c r="R51" s="191">
        <v>3.8</v>
      </c>
      <c r="S51" s="197">
        <v>3.7</v>
      </c>
      <c r="T51" s="171">
        <v>3.6</v>
      </c>
      <c r="U51" s="180">
        <v>5.5</v>
      </c>
      <c r="V51" s="197">
        <v>5.4</v>
      </c>
      <c r="W51" s="171">
        <v>5.2</v>
      </c>
      <c r="X51" s="191">
        <v>5.0999999999999996</v>
      </c>
      <c r="Y51" s="197">
        <v>4.9000000000000004</v>
      </c>
      <c r="Z51" s="171">
        <v>4.8</v>
      </c>
      <c r="AA51" s="191">
        <v>4.4000000000000004</v>
      </c>
      <c r="AB51" s="197">
        <v>4.4000000000000004</v>
      </c>
      <c r="AC51" s="87">
        <v>4.0999999999999996</v>
      </c>
      <c r="AD51" s="191">
        <v>4.3</v>
      </c>
      <c r="AE51" s="197">
        <v>4.0999999999999996</v>
      </c>
      <c r="AF51" s="136">
        <v>3.8</v>
      </c>
    </row>
    <row r="52" spans="1:32" x14ac:dyDescent="0.35">
      <c r="A52" s="96"/>
      <c r="B52" s="47" t="s">
        <v>1734</v>
      </c>
      <c r="C52" s="105"/>
      <c r="D52" s="105"/>
      <c r="E52" s="108"/>
      <c r="F52" s="108"/>
      <c r="G52" s="108"/>
      <c r="H52" s="108"/>
      <c r="I52" s="105"/>
      <c r="J52" s="108"/>
      <c r="K52" s="105"/>
      <c r="L52" s="191"/>
      <c r="M52" s="197"/>
      <c r="N52" s="126"/>
      <c r="O52" s="180"/>
      <c r="P52" s="197"/>
      <c r="Q52" s="126"/>
      <c r="R52" s="191"/>
      <c r="S52" s="197"/>
      <c r="T52" s="171"/>
      <c r="U52" s="180"/>
      <c r="V52" s="197"/>
      <c r="W52" s="171"/>
      <c r="X52" s="191"/>
      <c r="Y52" s="197"/>
      <c r="Z52" s="171"/>
      <c r="AA52" s="191"/>
      <c r="AB52" s="197"/>
      <c r="AC52" s="87"/>
      <c r="AD52" s="191"/>
      <c r="AE52" s="197"/>
      <c r="AF52" s="132"/>
    </row>
    <row r="53" spans="1:32" ht="31" customHeight="1" x14ac:dyDescent="0.35">
      <c r="A53" s="97">
        <v>45</v>
      </c>
      <c r="B53" s="177" t="s">
        <v>1783</v>
      </c>
      <c r="C53" s="105">
        <v>14559.1</v>
      </c>
      <c r="D53" s="105">
        <v>14618.2</v>
      </c>
      <c r="E53" s="108">
        <v>14653.2</v>
      </c>
      <c r="F53" s="108">
        <v>14618.1</v>
      </c>
      <c r="G53" s="108">
        <v>14607</v>
      </c>
      <c r="H53" s="108">
        <v>14604.2</v>
      </c>
      <c r="I53" s="105">
        <v>15496.1</v>
      </c>
      <c r="J53" s="108">
        <v>15529.2</v>
      </c>
      <c r="K53" s="105">
        <v>15596.8</v>
      </c>
      <c r="L53" s="191">
        <v>15592.2</v>
      </c>
      <c r="M53" s="197">
        <v>15622.4</v>
      </c>
      <c r="N53" s="126">
        <v>15638</v>
      </c>
      <c r="O53" s="180">
        <v>15691.7</v>
      </c>
      <c r="P53" s="197">
        <v>15726.6</v>
      </c>
      <c r="Q53" s="126">
        <v>15741.9</v>
      </c>
      <c r="R53" s="191">
        <v>15749.7</v>
      </c>
      <c r="S53" s="197">
        <v>15795.9</v>
      </c>
      <c r="T53" s="171">
        <v>15823.3</v>
      </c>
      <c r="U53" s="180">
        <v>16227.8</v>
      </c>
      <c r="V53" s="197">
        <v>16232.7</v>
      </c>
      <c r="W53" s="171">
        <v>16269.5</v>
      </c>
      <c r="X53" s="191">
        <v>16240.4</v>
      </c>
      <c r="Y53" s="197">
        <v>16291.7</v>
      </c>
      <c r="Z53" s="171">
        <v>16292.1</v>
      </c>
      <c r="AA53" s="191">
        <v>16306.3</v>
      </c>
      <c r="AB53" s="197">
        <v>16322.1</v>
      </c>
      <c r="AC53" s="87">
        <v>16333.7</v>
      </c>
      <c r="AD53" s="191">
        <v>16397.900000000001</v>
      </c>
      <c r="AE53" s="197">
        <v>16432.8</v>
      </c>
      <c r="AF53" s="136">
        <v>16457.8</v>
      </c>
    </row>
    <row r="54" spans="1:32" x14ac:dyDescent="0.35">
      <c r="A54" s="96"/>
      <c r="B54" s="142" t="s">
        <v>1784</v>
      </c>
      <c r="C54" s="105"/>
      <c r="D54" s="105"/>
      <c r="E54" s="108"/>
      <c r="F54" s="108"/>
      <c r="G54" s="108"/>
      <c r="H54" s="108"/>
      <c r="I54" s="105"/>
      <c r="J54" s="108"/>
      <c r="K54" s="105"/>
      <c r="L54" s="191"/>
      <c r="M54" s="197"/>
      <c r="N54" s="126"/>
      <c r="O54" s="180"/>
      <c r="P54" s="197"/>
      <c r="Q54" s="126"/>
      <c r="R54" s="191"/>
      <c r="S54" s="197"/>
      <c r="T54" s="171"/>
      <c r="U54" s="180"/>
      <c r="V54" s="197"/>
      <c r="W54" s="171"/>
      <c r="X54" s="191"/>
      <c r="Y54" s="197"/>
      <c r="Z54" s="171"/>
      <c r="AA54" s="191"/>
      <c r="AB54" s="197"/>
      <c r="AC54" s="87"/>
      <c r="AD54" s="191"/>
      <c r="AE54" s="197"/>
      <c r="AF54" s="132"/>
    </row>
    <row r="55" spans="1:32" ht="16.399999999999999" customHeight="1" x14ac:dyDescent="0.35">
      <c r="A55" s="96">
        <v>46</v>
      </c>
      <c r="B55" s="145" t="s">
        <v>1785</v>
      </c>
      <c r="C55" s="110">
        <v>15100.2</v>
      </c>
      <c r="D55" s="110">
        <v>15149.6</v>
      </c>
      <c r="E55" s="113">
        <v>15172.2</v>
      </c>
      <c r="F55" s="113">
        <v>15218.9</v>
      </c>
      <c r="G55" s="113">
        <v>15238.7</v>
      </c>
      <c r="H55" s="113">
        <v>15250.6</v>
      </c>
      <c r="I55" s="110">
        <v>16601.900000000001</v>
      </c>
      <c r="J55" s="113">
        <v>16656.099999999999</v>
      </c>
      <c r="K55" s="110">
        <v>16730.2</v>
      </c>
      <c r="L55" s="192">
        <v>16763.900000000001</v>
      </c>
      <c r="M55" s="198">
        <v>16818.5</v>
      </c>
      <c r="N55" s="127">
        <v>16809.5</v>
      </c>
      <c r="O55" s="181">
        <v>16816.400000000001</v>
      </c>
      <c r="P55" s="198">
        <v>16826.2</v>
      </c>
      <c r="Q55" s="127">
        <v>16816.3</v>
      </c>
      <c r="R55" s="192">
        <v>16819.900000000001</v>
      </c>
      <c r="S55" s="198">
        <v>16859.599999999999</v>
      </c>
      <c r="T55" s="173">
        <v>16889.2</v>
      </c>
      <c r="U55" s="181">
        <v>17426.2</v>
      </c>
      <c r="V55" s="198">
        <v>17442.400000000001</v>
      </c>
      <c r="W55" s="173">
        <v>17486.900000000001</v>
      </c>
      <c r="X55" s="192">
        <v>17464.900000000001</v>
      </c>
      <c r="Y55" s="198">
        <v>17511.099999999999</v>
      </c>
      <c r="Z55" s="173">
        <v>17515.599999999999</v>
      </c>
      <c r="AA55" s="192">
        <v>17528.900000000001</v>
      </c>
      <c r="AB55" s="198">
        <v>17535.900000000001</v>
      </c>
      <c r="AC55" s="88">
        <v>17569.8</v>
      </c>
      <c r="AD55" s="192">
        <v>17646.099999999999</v>
      </c>
      <c r="AE55" s="198">
        <v>17668.900000000001</v>
      </c>
      <c r="AF55" s="132">
        <v>17687.7</v>
      </c>
    </row>
    <row r="56" spans="1:32" x14ac:dyDescent="0.35">
      <c r="A56" s="96"/>
      <c r="B56" s="45" t="s">
        <v>1786</v>
      </c>
      <c r="C56" s="110"/>
      <c r="D56" s="110"/>
      <c r="E56" s="113"/>
      <c r="F56" s="113"/>
      <c r="G56" s="113"/>
      <c r="H56" s="113"/>
      <c r="I56" s="110"/>
      <c r="J56" s="113"/>
      <c r="K56" s="110"/>
      <c r="L56" s="192"/>
      <c r="M56" s="198"/>
      <c r="N56" s="127"/>
      <c r="O56" s="181"/>
      <c r="P56" s="198"/>
      <c r="Q56" s="127"/>
      <c r="R56" s="192"/>
      <c r="S56" s="198"/>
      <c r="T56" s="173"/>
      <c r="U56" s="181"/>
      <c r="V56" s="198"/>
      <c r="W56" s="173"/>
      <c r="X56" s="192"/>
      <c r="Y56" s="198"/>
      <c r="Z56" s="173"/>
      <c r="AA56" s="192"/>
      <c r="AB56" s="198"/>
      <c r="AC56" s="88"/>
      <c r="AD56" s="192"/>
      <c r="AE56" s="198"/>
      <c r="AF56" s="132"/>
    </row>
    <row r="57" spans="1:32" x14ac:dyDescent="0.35">
      <c r="A57" s="96">
        <v>47</v>
      </c>
      <c r="B57" s="147" t="s">
        <v>1787</v>
      </c>
      <c r="C57" s="114">
        <v>55836</v>
      </c>
      <c r="D57" s="114">
        <v>56139</v>
      </c>
      <c r="E57" s="115">
        <v>56387</v>
      </c>
      <c r="F57" s="115">
        <v>56770</v>
      </c>
      <c r="G57" s="115">
        <v>56917</v>
      </c>
      <c r="H57" s="115">
        <v>57053</v>
      </c>
      <c r="I57" s="114">
        <v>59062</v>
      </c>
      <c r="J57" s="115">
        <v>59423</v>
      </c>
      <c r="K57" s="114">
        <v>59738</v>
      </c>
      <c r="L57" s="193">
        <v>60018</v>
      </c>
      <c r="M57" s="83">
        <v>60253</v>
      </c>
      <c r="N57" s="128">
        <v>60309</v>
      </c>
      <c r="O57" s="183">
        <v>60380</v>
      </c>
      <c r="P57" s="83">
        <v>60598</v>
      </c>
      <c r="Q57" s="128">
        <v>60762</v>
      </c>
      <c r="R57" s="193">
        <v>60767</v>
      </c>
      <c r="S57" s="83">
        <v>60876</v>
      </c>
      <c r="T57" s="174">
        <v>61033</v>
      </c>
      <c r="U57" s="183">
        <v>63293</v>
      </c>
      <c r="V57" s="83">
        <v>63527</v>
      </c>
      <c r="W57" s="174">
        <v>63885</v>
      </c>
      <c r="X57" s="193">
        <v>63947</v>
      </c>
      <c r="Y57" s="83">
        <v>64085</v>
      </c>
      <c r="Z57" s="174">
        <v>64149</v>
      </c>
      <c r="AA57" s="193">
        <v>64273</v>
      </c>
      <c r="AB57" s="83">
        <v>63691</v>
      </c>
      <c r="AC57" s="89">
        <v>63888</v>
      </c>
      <c r="AD57" s="193">
        <v>64285</v>
      </c>
      <c r="AE57" s="83">
        <v>64416</v>
      </c>
      <c r="AF57" s="132">
        <v>64621</v>
      </c>
    </row>
    <row r="58" spans="1:32" x14ac:dyDescent="0.35">
      <c r="A58" s="96">
        <v>48</v>
      </c>
      <c r="B58" s="147" t="s">
        <v>1788</v>
      </c>
      <c r="C58" s="114">
        <v>45261</v>
      </c>
      <c r="D58" s="114">
        <v>45385</v>
      </c>
      <c r="E58" s="115">
        <v>45429</v>
      </c>
      <c r="F58" s="115">
        <v>45546</v>
      </c>
      <c r="G58" s="115">
        <v>45586</v>
      </c>
      <c r="H58" s="115">
        <v>45603</v>
      </c>
      <c r="I58" s="114">
        <v>49627</v>
      </c>
      <c r="J58" s="115">
        <v>49774</v>
      </c>
      <c r="K58" s="114">
        <v>49978</v>
      </c>
      <c r="L58" s="193">
        <v>50060</v>
      </c>
      <c r="M58" s="83">
        <v>50203</v>
      </c>
      <c r="N58" s="128">
        <v>50166</v>
      </c>
      <c r="O58" s="183">
        <v>50161</v>
      </c>
      <c r="P58" s="83">
        <v>50163</v>
      </c>
      <c r="Q58" s="128">
        <v>50106</v>
      </c>
      <c r="R58" s="193">
        <v>50093</v>
      </c>
      <c r="S58" s="83">
        <v>50188</v>
      </c>
      <c r="T58" s="174">
        <v>50255</v>
      </c>
      <c r="U58" s="183">
        <v>51834</v>
      </c>
      <c r="V58" s="83">
        <v>51865</v>
      </c>
      <c r="W58" s="174">
        <v>51979</v>
      </c>
      <c r="X58" s="193">
        <v>51894</v>
      </c>
      <c r="Y58" s="83">
        <v>52010</v>
      </c>
      <c r="Z58" s="174">
        <v>52000</v>
      </c>
      <c r="AA58" s="193">
        <v>52014</v>
      </c>
      <c r="AB58" s="83">
        <v>51480</v>
      </c>
      <c r="AC58" s="89">
        <v>51551</v>
      </c>
      <c r="AD58" s="193">
        <v>51748</v>
      </c>
      <c r="AE58" s="83">
        <v>51789</v>
      </c>
      <c r="AF58" s="132">
        <v>51822</v>
      </c>
    </row>
    <row r="59" spans="1:32" ht="15" customHeight="1" x14ac:dyDescent="0.35">
      <c r="A59" s="98">
        <v>49</v>
      </c>
      <c r="B59" s="112" t="s">
        <v>1789</v>
      </c>
      <c r="C59" s="116">
        <v>333624</v>
      </c>
      <c r="D59" s="116">
        <v>333799</v>
      </c>
      <c r="E59" s="117">
        <v>333976</v>
      </c>
      <c r="F59" s="117">
        <v>334141</v>
      </c>
      <c r="G59" s="117">
        <v>334287</v>
      </c>
      <c r="H59" s="117">
        <v>334420</v>
      </c>
      <c r="I59" s="116">
        <v>334533</v>
      </c>
      <c r="J59" s="117">
        <v>334637</v>
      </c>
      <c r="K59" s="116">
        <v>334753</v>
      </c>
      <c r="L59" s="194">
        <v>334880</v>
      </c>
      <c r="M59" s="84">
        <v>335013</v>
      </c>
      <c r="N59" s="129">
        <v>335080</v>
      </c>
      <c r="O59" s="184">
        <v>335248</v>
      </c>
      <c r="P59" s="84">
        <v>335431</v>
      </c>
      <c r="Q59" s="129">
        <v>335612</v>
      </c>
      <c r="R59" s="194">
        <v>335773</v>
      </c>
      <c r="S59" s="84">
        <v>335925</v>
      </c>
      <c r="T59" s="175">
        <v>336070</v>
      </c>
      <c r="U59" s="184">
        <v>336194</v>
      </c>
      <c r="V59" s="84">
        <v>336306</v>
      </c>
      <c r="W59" s="175">
        <v>336423</v>
      </c>
      <c r="X59" s="194">
        <v>336550</v>
      </c>
      <c r="Y59" s="84">
        <v>336687</v>
      </c>
      <c r="Z59" s="175">
        <v>336839</v>
      </c>
      <c r="AA59" s="194">
        <v>337005</v>
      </c>
      <c r="AB59" s="84">
        <v>340637</v>
      </c>
      <c r="AC59" s="90">
        <v>340825</v>
      </c>
      <c r="AD59" s="193">
        <v>341002</v>
      </c>
      <c r="AE59" s="83">
        <v>341169</v>
      </c>
      <c r="AF59" s="132">
        <v>341320</v>
      </c>
    </row>
    <row r="60" spans="1:32" x14ac:dyDescent="0.35">
      <c r="A60" s="1261" t="s">
        <v>1790</v>
      </c>
      <c r="B60" s="1261"/>
      <c r="C60" s="1261"/>
      <c r="D60" s="1261"/>
      <c r="E60" s="1261"/>
      <c r="F60" s="1261"/>
      <c r="G60" s="1261"/>
      <c r="H60" s="1261"/>
      <c r="I60" s="1261"/>
      <c r="J60" s="1261"/>
      <c r="K60" s="101"/>
      <c r="L60" s="163"/>
      <c r="M60" s="186"/>
      <c r="N60" s="151"/>
      <c r="O60" s="163"/>
      <c r="P60" s="186"/>
      <c r="Q60" s="151"/>
      <c r="R60" s="163"/>
      <c r="S60" s="186"/>
      <c r="T60" s="151"/>
      <c r="U60" s="163"/>
      <c r="V60" s="186"/>
      <c r="W60" s="151"/>
      <c r="X60" s="163"/>
      <c r="Y60" s="186"/>
      <c r="Z60" s="151"/>
      <c r="AA60" s="163"/>
      <c r="AB60" s="186"/>
      <c r="AC60" s="151"/>
      <c r="AD60" s="163"/>
      <c r="AE60" s="186"/>
      <c r="AF60" s="132"/>
    </row>
    <row r="61" spans="1:32" x14ac:dyDescent="0.35">
      <c r="A61" s="1247" t="s">
        <v>1791</v>
      </c>
      <c r="B61" s="1247"/>
      <c r="C61" s="1247"/>
      <c r="D61" s="1247"/>
      <c r="E61" s="1247"/>
      <c r="F61" s="1247"/>
      <c r="G61" s="1247"/>
      <c r="H61" s="1247"/>
      <c r="I61" s="1247"/>
      <c r="J61" s="1247"/>
      <c r="K61" s="106"/>
      <c r="L61" s="164"/>
      <c r="M61" s="187"/>
      <c r="N61" s="152"/>
      <c r="O61" s="164"/>
      <c r="P61" s="187"/>
      <c r="Q61" s="152"/>
      <c r="R61" s="164"/>
      <c r="S61" s="187"/>
      <c r="T61" s="152"/>
      <c r="U61" s="164"/>
      <c r="V61" s="187"/>
      <c r="W61" s="152"/>
      <c r="X61" s="164"/>
      <c r="Y61" s="187"/>
      <c r="Z61" s="152"/>
      <c r="AA61" s="164"/>
      <c r="AB61" s="187"/>
      <c r="AC61" s="152"/>
      <c r="AD61" s="164"/>
      <c r="AE61" s="187"/>
      <c r="AF61" s="132"/>
    </row>
    <row r="62" spans="1:32" x14ac:dyDescent="0.35">
      <c r="A62" s="1247" t="s">
        <v>1792</v>
      </c>
      <c r="B62" s="1247"/>
      <c r="C62" s="1247"/>
      <c r="D62" s="1247"/>
      <c r="E62" s="1247"/>
      <c r="F62" s="1247"/>
      <c r="G62" s="1247"/>
      <c r="H62" s="1247"/>
      <c r="I62" s="1247"/>
      <c r="J62" s="1247"/>
      <c r="K62" s="106"/>
      <c r="L62" s="164"/>
      <c r="M62" s="187"/>
      <c r="N62" s="152"/>
      <c r="O62" s="164"/>
      <c r="P62" s="187"/>
      <c r="Q62" s="152"/>
      <c r="R62" s="164"/>
      <c r="S62" s="187"/>
      <c r="T62" s="152"/>
      <c r="U62" s="164"/>
      <c r="V62" s="187"/>
      <c r="W62" s="152"/>
      <c r="X62" s="164"/>
      <c r="Y62" s="187"/>
      <c r="Z62" s="152"/>
      <c r="AA62" s="164"/>
      <c r="AB62" s="187"/>
      <c r="AC62" s="152"/>
      <c r="AD62" s="164"/>
      <c r="AE62" s="187"/>
      <c r="AF62" s="132"/>
    </row>
    <row r="63" spans="1:32" x14ac:dyDescent="0.35">
      <c r="A63" s="1247" t="s">
        <v>1793</v>
      </c>
      <c r="B63" s="1247"/>
      <c r="C63" s="1247"/>
      <c r="D63" s="1247"/>
      <c r="E63" s="1247"/>
      <c r="F63" s="1247"/>
      <c r="G63" s="1247"/>
      <c r="H63" s="1247"/>
      <c r="I63" s="1247"/>
      <c r="J63" s="1247"/>
      <c r="K63" s="106"/>
      <c r="L63" s="164"/>
      <c r="M63" s="187"/>
      <c r="N63" s="152"/>
      <c r="O63" s="164"/>
      <c r="P63" s="187"/>
      <c r="Q63" s="152"/>
      <c r="R63" s="164"/>
      <c r="S63" s="187"/>
      <c r="T63" s="152"/>
      <c r="U63" s="164"/>
      <c r="V63" s="187"/>
      <c r="W63" s="152"/>
      <c r="X63" s="164"/>
      <c r="Y63" s="187"/>
      <c r="Z63" s="152"/>
      <c r="AA63" s="164"/>
      <c r="AB63" s="187"/>
      <c r="AC63" s="152"/>
      <c r="AD63" s="164"/>
      <c r="AE63" s="187"/>
      <c r="AF63" s="132"/>
    </row>
    <row r="64" spans="1:32" x14ac:dyDescent="0.35">
      <c r="A64" s="1247" t="s">
        <v>1794</v>
      </c>
      <c r="B64" s="1247"/>
      <c r="C64" s="1247"/>
      <c r="D64" s="1247"/>
      <c r="E64" s="1247"/>
      <c r="F64" s="1247"/>
      <c r="G64" s="1247"/>
      <c r="H64" s="1247"/>
      <c r="I64" s="1247"/>
      <c r="J64" s="1247"/>
      <c r="K64" s="106"/>
      <c r="L64" s="164"/>
      <c r="M64" s="187"/>
      <c r="N64" s="152"/>
      <c r="O64" s="164"/>
      <c r="P64" s="187"/>
      <c r="Q64" s="152"/>
      <c r="R64" s="164"/>
      <c r="S64" s="187"/>
      <c r="T64" s="152"/>
      <c r="U64" s="164"/>
      <c r="V64" s="187"/>
      <c r="W64" s="152"/>
      <c r="X64" s="164"/>
      <c r="Y64" s="187"/>
      <c r="Z64" s="152"/>
      <c r="AA64" s="164"/>
      <c r="AB64" s="187"/>
      <c r="AC64" s="152"/>
      <c r="AD64" s="164"/>
      <c r="AE64" s="187"/>
      <c r="AF64" s="132"/>
    </row>
    <row r="65" spans="1:32" x14ac:dyDescent="0.35">
      <c r="A65" s="1247" t="s">
        <v>1795</v>
      </c>
      <c r="B65" s="1247"/>
      <c r="C65" s="1247"/>
      <c r="D65" s="1247"/>
      <c r="E65" s="1247"/>
      <c r="F65" s="1247"/>
      <c r="G65" s="1247"/>
      <c r="H65" s="1247"/>
      <c r="I65" s="1247"/>
      <c r="J65" s="1247"/>
      <c r="K65" s="106"/>
      <c r="L65" s="164"/>
      <c r="M65" s="187"/>
      <c r="N65" s="152"/>
      <c r="O65" s="164"/>
      <c r="P65" s="187"/>
      <c r="Q65" s="152"/>
      <c r="R65" s="164"/>
      <c r="S65" s="187"/>
      <c r="T65" s="152"/>
      <c r="U65" s="164"/>
      <c r="V65" s="187"/>
      <c r="W65" s="152"/>
      <c r="X65" s="164"/>
      <c r="Y65" s="187"/>
      <c r="Z65" s="152"/>
      <c r="AA65" s="164"/>
      <c r="AB65" s="187"/>
      <c r="AC65" s="152"/>
      <c r="AD65" s="164"/>
      <c r="AE65" s="187"/>
      <c r="AF65" s="132"/>
    </row>
    <row r="66" spans="1:32" ht="14.5" customHeight="1" x14ac:dyDescent="0.35">
      <c r="A66" s="1247" t="s">
        <v>1796</v>
      </c>
      <c r="B66" s="1247"/>
      <c r="C66" s="1247"/>
      <c r="D66" s="1247"/>
      <c r="E66" s="1247"/>
      <c r="F66" s="1247"/>
      <c r="G66" s="1247"/>
      <c r="H66" s="1247"/>
      <c r="I66" s="1247"/>
      <c r="J66" s="1247"/>
      <c r="K66" s="106"/>
      <c r="L66" s="164"/>
      <c r="M66" s="187"/>
      <c r="N66" s="152"/>
      <c r="O66" s="164"/>
      <c r="P66" s="187"/>
      <c r="Q66" s="152"/>
      <c r="R66" s="164"/>
      <c r="S66" s="187"/>
      <c r="T66" s="152"/>
      <c r="U66" s="164"/>
      <c r="V66" s="187"/>
      <c r="W66" s="152"/>
      <c r="X66" s="164"/>
      <c r="Y66" s="187"/>
      <c r="Z66" s="152"/>
      <c r="AA66" s="164"/>
      <c r="AB66" s="187"/>
      <c r="AC66" s="152"/>
      <c r="AD66" s="164"/>
      <c r="AE66" s="187"/>
      <c r="AF66" s="132"/>
    </row>
    <row r="67" spans="1:32" ht="14.5" customHeight="1" x14ac:dyDescent="0.35">
      <c r="A67" s="1265" t="s">
        <v>1797</v>
      </c>
      <c r="B67" s="1265"/>
      <c r="C67" s="1265"/>
      <c r="D67" s="1265"/>
      <c r="E67" s="1265"/>
      <c r="F67" s="1265"/>
      <c r="G67" s="1265"/>
      <c r="H67" s="1265"/>
      <c r="I67" s="1265"/>
      <c r="J67" s="1265"/>
      <c r="K67" s="111"/>
      <c r="L67" s="165"/>
      <c r="M67" s="91"/>
      <c r="N67" s="153"/>
      <c r="O67" s="165"/>
      <c r="P67" s="91"/>
      <c r="Q67" s="153"/>
      <c r="R67" s="165"/>
      <c r="S67" s="91"/>
      <c r="T67" s="153"/>
      <c r="U67" s="165"/>
      <c r="V67" s="91"/>
      <c r="W67" s="153"/>
      <c r="X67" s="165"/>
      <c r="Y67" s="91"/>
      <c r="Z67" s="153"/>
      <c r="AA67" s="165"/>
      <c r="AB67" s="91"/>
      <c r="AC67" s="153"/>
      <c r="AD67" s="165"/>
      <c r="AE67" s="91"/>
      <c r="AF67" s="132"/>
    </row>
    <row r="68" spans="1:32" ht="14.5" customHeight="1" x14ac:dyDescent="0.35">
      <c r="A68" s="1266" t="s">
        <v>246</v>
      </c>
      <c r="B68" s="1266"/>
      <c r="C68" s="1266"/>
      <c r="D68" s="1266"/>
      <c r="E68" s="1266"/>
      <c r="F68" s="1266"/>
      <c r="G68" s="1266"/>
      <c r="H68" s="1266"/>
      <c r="I68" s="1266"/>
      <c r="J68" s="1266"/>
      <c r="K68" s="112"/>
      <c r="L68" s="166"/>
      <c r="M68" s="92"/>
      <c r="N68" s="154"/>
      <c r="O68" s="166"/>
      <c r="P68" s="92"/>
      <c r="Q68" s="154"/>
      <c r="R68" s="166"/>
      <c r="S68" s="92"/>
      <c r="T68" s="154"/>
      <c r="U68" s="166"/>
      <c r="V68" s="92"/>
      <c r="W68" s="154"/>
      <c r="X68" s="166"/>
      <c r="Y68" s="92"/>
      <c r="Z68" s="154"/>
      <c r="AA68" s="166"/>
      <c r="AB68" s="92"/>
      <c r="AC68" s="154"/>
      <c r="AD68" s="166"/>
      <c r="AE68" s="92"/>
      <c r="AF68" s="132"/>
    </row>
    <row r="69" spans="1:32" x14ac:dyDescent="0.35">
      <c r="A69" s="1264" t="s">
        <v>880</v>
      </c>
      <c r="B69" s="1264"/>
      <c r="C69" s="1264"/>
      <c r="D69" s="1264"/>
      <c r="E69" s="1264"/>
      <c r="F69" s="1264"/>
      <c r="G69" s="1264"/>
    </row>
    <row r="70" spans="1:32" x14ac:dyDescent="0.35">
      <c r="A70" s="1267" t="s">
        <v>881</v>
      </c>
      <c r="B70" s="1267"/>
      <c r="C70" s="1267"/>
      <c r="D70" s="1267"/>
      <c r="E70" s="1267"/>
      <c r="F70" s="1267"/>
      <c r="G70" s="1267"/>
    </row>
    <row r="71" spans="1:32" x14ac:dyDescent="0.35">
      <c r="A71" s="1263" t="s">
        <v>882</v>
      </c>
      <c r="B71" s="1263"/>
      <c r="C71" s="1263"/>
      <c r="D71" s="1263"/>
      <c r="E71" s="1263"/>
      <c r="F71" s="1263"/>
      <c r="G71" s="1263"/>
    </row>
    <row r="72" spans="1:32" x14ac:dyDescent="0.35">
      <c r="A72" s="1262" t="s">
        <v>883</v>
      </c>
      <c r="B72" s="1262"/>
      <c r="C72" s="1262"/>
      <c r="D72" s="1262"/>
      <c r="E72" s="1262"/>
      <c r="F72" s="1262"/>
      <c r="G72" s="1262"/>
    </row>
    <row r="73" spans="1:32" x14ac:dyDescent="0.35">
      <c r="A73" s="1262" t="s">
        <v>884</v>
      </c>
      <c r="B73" s="1262"/>
      <c r="C73" s="1262"/>
      <c r="D73" s="1262"/>
      <c r="E73" s="1262"/>
      <c r="F73" s="1262"/>
      <c r="G73" s="1262"/>
    </row>
    <row r="74" spans="1:32" x14ac:dyDescent="0.35">
      <c r="A74" s="1263" t="s">
        <v>885</v>
      </c>
      <c r="B74" s="1263"/>
      <c r="C74" s="1263"/>
      <c r="D74" s="1263"/>
      <c r="E74" s="1263"/>
      <c r="F74" s="1263"/>
      <c r="G74" s="1263"/>
    </row>
    <row r="76" spans="1:32" x14ac:dyDescent="0.35">
      <c r="A76" s="1264" t="s">
        <v>886</v>
      </c>
      <c r="B76" s="1264"/>
      <c r="C76" s="1264"/>
      <c r="D76" s="1264"/>
      <c r="E76" s="1264"/>
      <c r="F76" s="1264"/>
      <c r="G76" s="1264"/>
    </row>
    <row r="78" spans="1:32" x14ac:dyDescent="0.35">
      <c r="A78" s="56" t="s">
        <v>245</v>
      </c>
    </row>
    <row r="80" spans="1:32" x14ac:dyDescent="0.35">
      <c r="A80" s="56" t="s">
        <v>246</v>
      </c>
    </row>
    <row r="82" spans="1:32" x14ac:dyDescent="0.35">
      <c r="A82" t="s">
        <v>876</v>
      </c>
      <c r="B82" t="s">
        <v>877</v>
      </c>
      <c r="C82" s="100">
        <v>44743</v>
      </c>
      <c r="D82" s="100">
        <v>44774</v>
      </c>
      <c r="E82" s="100">
        <v>44805</v>
      </c>
      <c r="F82" s="100">
        <v>44835</v>
      </c>
      <c r="G82" s="100">
        <v>44866</v>
      </c>
      <c r="H82" s="100">
        <v>44896</v>
      </c>
      <c r="I82" s="100">
        <v>44927</v>
      </c>
      <c r="J82" s="100">
        <v>44958</v>
      </c>
      <c r="K82" s="100">
        <v>44986</v>
      </c>
      <c r="L82" s="167">
        <v>45017</v>
      </c>
      <c r="M82" s="94">
        <v>45047</v>
      </c>
      <c r="N82" s="155">
        <v>45078</v>
      </c>
      <c r="O82" s="167">
        <v>45108</v>
      </c>
      <c r="P82" s="94">
        <v>45139</v>
      </c>
      <c r="Q82" s="155">
        <v>45170</v>
      </c>
      <c r="R82" s="167">
        <v>45200</v>
      </c>
      <c r="S82" s="94">
        <v>45231</v>
      </c>
      <c r="T82" s="155">
        <v>45261</v>
      </c>
      <c r="U82" s="167">
        <v>45292</v>
      </c>
      <c r="V82" s="94">
        <v>45323</v>
      </c>
      <c r="W82" s="155">
        <v>45352</v>
      </c>
      <c r="X82" s="167">
        <v>45383</v>
      </c>
      <c r="Y82" s="94">
        <v>45413</v>
      </c>
      <c r="Z82" s="155">
        <v>45444</v>
      </c>
      <c r="AA82" s="167">
        <v>45474</v>
      </c>
      <c r="AB82" s="94">
        <v>45505</v>
      </c>
      <c r="AC82" s="155">
        <v>45536</v>
      </c>
      <c r="AD82" s="167">
        <v>45566</v>
      </c>
      <c r="AE82" s="94">
        <v>45597</v>
      </c>
      <c r="AF82" s="155">
        <v>45627</v>
      </c>
    </row>
    <row r="83" spans="1:32" x14ac:dyDescent="0.35">
      <c r="A83" s="119" t="s">
        <v>1901</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31">
        <f>'Federal and State Purchases'!AE34</f>
        <v>5263</v>
      </c>
      <c r="M83" s="93">
        <f>'Federal and State Purchases'!AF34</f>
        <v>5280</v>
      </c>
      <c r="N83" s="132">
        <f>'Federal and State Purchases'!AG34</f>
        <v>5301</v>
      </c>
      <c r="O83" s="131">
        <f>'Federal and State Purchases'!AH34</f>
        <v>5301</v>
      </c>
      <c r="P83" s="93">
        <f>'Federal and State Purchases'!AI34</f>
        <v>5329</v>
      </c>
      <c r="Q83" s="132">
        <f>'Federal and State Purchases'!AJ34</f>
        <v>5346</v>
      </c>
      <c r="R83" s="131">
        <f>'Federal and State Purchases'!AK34</f>
        <v>5375</v>
      </c>
      <c r="S83" s="93">
        <f>'Federal and State Purchases'!AL34</f>
        <v>5383</v>
      </c>
      <c r="T83" s="132">
        <f>'Federal and State Purchases'!AM34</f>
        <v>5404</v>
      </c>
      <c r="U83" s="131">
        <v>5420</v>
      </c>
      <c r="V83" s="93">
        <v>5434</v>
      </c>
      <c r="W83" s="132">
        <v>5444</v>
      </c>
      <c r="X83" s="131">
        <v>5448</v>
      </c>
      <c r="Y83" s="93">
        <v>5429</v>
      </c>
      <c r="Z83" s="132">
        <v>5436</v>
      </c>
      <c r="AA83" s="131">
        <v>5459</v>
      </c>
      <c r="AB83" s="93">
        <v>5473</v>
      </c>
      <c r="AC83" s="132">
        <v>5495</v>
      </c>
      <c r="AD83" s="131">
        <v>5508</v>
      </c>
      <c r="AE83" s="93">
        <v>5521</v>
      </c>
      <c r="AF83" s="132">
        <v>5531</v>
      </c>
    </row>
    <row r="84" spans="1:32" x14ac:dyDescent="0.35">
      <c r="A84" t="s">
        <v>396</v>
      </c>
      <c r="B84" t="s">
        <v>395</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31">
        <f>'Federal and State Purchases'!AE35</f>
        <v>14482</v>
      </c>
      <c r="M84" s="93">
        <f>'Federal and State Purchases'!AF35</f>
        <v>14508</v>
      </c>
      <c r="N84" s="132">
        <f>'Federal and State Purchases'!AG35</f>
        <v>14536</v>
      </c>
      <c r="O84" s="131">
        <f>'Federal and State Purchases'!AH35</f>
        <v>14564</v>
      </c>
      <c r="P84" s="93">
        <f>'Federal and State Purchases'!AI35</f>
        <v>14585</v>
      </c>
      <c r="Q84" s="132">
        <f>'Federal and State Purchases'!AJ35</f>
        <v>14612</v>
      </c>
      <c r="R84" s="131">
        <f>'Federal and State Purchases'!AK35</f>
        <v>14642</v>
      </c>
      <c r="S84" s="93">
        <f>'Federal and State Purchases'!AL35</f>
        <v>14665</v>
      </c>
      <c r="T84" s="132">
        <f>'Federal and State Purchases'!AM35</f>
        <v>14711</v>
      </c>
      <c r="U84" s="131">
        <v>14742</v>
      </c>
      <c r="V84" s="93">
        <v>14776</v>
      </c>
      <c r="W84" s="132">
        <v>14832</v>
      </c>
      <c r="X84" s="131">
        <v>14828</v>
      </c>
      <c r="Y84" s="93">
        <v>14856</v>
      </c>
      <c r="Z84" s="132">
        <v>14868</v>
      </c>
      <c r="AA84" s="131">
        <v>14890</v>
      </c>
      <c r="AB84" s="93">
        <v>14916</v>
      </c>
      <c r="AC84" s="132">
        <v>14923</v>
      </c>
      <c r="AD84" s="131">
        <v>14941</v>
      </c>
      <c r="AE84" s="93">
        <v>14958</v>
      </c>
      <c r="AF84" s="132">
        <v>14975</v>
      </c>
    </row>
    <row r="85" spans="1:32" x14ac:dyDescent="0.35">
      <c r="B85" t="s">
        <v>1893</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31">
        <f>'Federal and State Purchases'!AE36</f>
        <v>19745</v>
      </c>
      <c r="M85" s="93">
        <f>'Federal and State Purchases'!AF36</f>
        <v>19788</v>
      </c>
      <c r="N85" s="132">
        <f>'Federal and State Purchases'!AG36</f>
        <v>19837</v>
      </c>
      <c r="O85" s="131">
        <f>'Federal and State Purchases'!AH36</f>
        <v>19865</v>
      </c>
      <c r="P85" s="93">
        <f>'Federal and State Purchases'!AI36</f>
        <v>19914</v>
      </c>
      <c r="Q85" s="132">
        <f>'Federal and State Purchases'!AJ36</f>
        <v>19958</v>
      </c>
      <c r="R85" s="131">
        <f>'Federal and State Purchases'!AK36</f>
        <v>20017</v>
      </c>
      <c r="S85" s="93">
        <f>'Federal and State Purchases'!AL36</f>
        <v>20048</v>
      </c>
      <c r="T85" s="132">
        <f>'Federal and State Purchases'!AM36</f>
        <v>20115</v>
      </c>
      <c r="U85" s="131">
        <f>'Federal and State Purchases'!AN36</f>
        <v>20162</v>
      </c>
      <c r="V85" s="93">
        <f>'Federal and State Purchases'!AO36</f>
        <v>20210</v>
      </c>
      <c r="W85" s="132">
        <f>'Federal and State Purchases'!AP36</f>
        <v>20276</v>
      </c>
      <c r="X85" s="131">
        <f>'Federal and State Purchases'!AQ36</f>
        <v>20276</v>
      </c>
      <c r="Y85" s="93">
        <f>'Federal and State Purchases'!AR36</f>
        <v>20285</v>
      </c>
      <c r="Z85" s="132">
        <f>'Federal and State Purchases'!AS36</f>
        <v>20304</v>
      </c>
      <c r="AA85" s="131">
        <f>'Federal and State Purchases'!AT36</f>
        <v>20349</v>
      </c>
      <c r="AB85" s="93">
        <f>'Federal and State Purchases'!AU36</f>
        <v>20389</v>
      </c>
      <c r="AC85" s="132">
        <f>'Federal and State Purchases'!AV36</f>
        <v>20418</v>
      </c>
      <c r="AD85" s="131">
        <f>'Federal and State Purchases'!AW36</f>
        <v>20449</v>
      </c>
      <c r="AE85" s="93">
        <f>'Federal and State Purchases'!AX36</f>
        <v>20479</v>
      </c>
      <c r="AF85" s="132">
        <f>'Federal and State Purchases'!AY36</f>
        <v>20506</v>
      </c>
    </row>
    <row r="86" spans="1:32" x14ac:dyDescent="0.35">
      <c r="A86" t="s">
        <v>398</v>
      </c>
      <c r="B86" t="s">
        <v>397</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466887</v>
      </c>
      <c r="AD86">
        <v>465683</v>
      </c>
      <c r="AE86">
        <v>465284</v>
      </c>
    </row>
    <row r="87" spans="1:32" x14ac:dyDescent="0.35">
      <c r="C87" s="71"/>
      <c r="D87" s="71"/>
      <c r="E87" s="71"/>
      <c r="F87" s="71"/>
      <c r="G87" s="71"/>
      <c r="H87" s="71"/>
      <c r="I87" s="71"/>
      <c r="J87" s="71"/>
      <c r="K87" s="71"/>
      <c r="L87" s="71"/>
      <c r="M87" s="71"/>
      <c r="N87" s="71"/>
      <c r="O87" s="71"/>
      <c r="P87" s="71"/>
      <c r="Q87" s="71"/>
      <c r="R87" s="71"/>
      <c r="S87" s="71"/>
      <c r="T87" s="71"/>
      <c r="U87" s="71"/>
      <c r="V87" s="71"/>
      <c r="W87" s="71"/>
      <c r="X87" s="71"/>
      <c r="Y87" s="71"/>
      <c r="Z87" s="71"/>
    </row>
    <row r="88" spans="1:32" x14ac:dyDescent="0.35">
      <c r="A88" s="141"/>
    </row>
    <row r="89" spans="1:32" ht="16.5" customHeight="1" x14ac:dyDescent="0.35">
      <c r="A89" s="141"/>
      <c r="B89" t="s">
        <v>1931</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124.235</v>
      </c>
      <c r="AE89">
        <v>124.387</v>
      </c>
      <c r="AF89">
        <v>124.705</v>
      </c>
    </row>
    <row r="90" spans="1:32" ht="72.650000000000006" customHeight="1" x14ac:dyDescent="0.35">
      <c r="A90" s="141"/>
      <c r="B90" s="176" t="s">
        <v>1930</v>
      </c>
      <c r="AB90">
        <f>(AB89/Y89)^4-1</f>
        <v>1.6428236597993751E-2</v>
      </c>
      <c r="AC90">
        <f t="shared" ref="AC90" si="0">(AC89/Z89)^4-1</f>
        <v>1.8609619141146228E-2</v>
      </c>
      <c r="AD90">
        <f>(AD89/AA89)^4-1</f>
        <v>2.1535305002488458E-2</v>
      </c>
      <c r="AE90">
        <f>(AE89/AB89)^4-1</f>
        <v>2.1508637140623232E-2</v>
      </c>
      <c r="AF90" s="185">
        <f>Deflators!AB12</f>
        <v>2.2688029589659209E-2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drawing r:id="rId10"/>
  <legacyDrawing r:id="rId1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E13" sqref="E13"/>
    </sheetView>
  </sheetViews>
  <sheetFormatPr defaultColWidth="10.90625" defaultRowHeight="14.5" x14ac:dyDescent="0.35"/>
  <cols>
    <col min="1" max="2" width="70.81640625" customWidth="1"/>
  </cols>
  <sheetData>
    <row r="1" spans="1:45" ht="15.65" customHeight="1" x14ac:dyDescent="0.35">
      <c r="A1" s="1268" t="s">
        <v>253</v>
      </c>
      <c r="B1" s="1268"/>
      <c r="C1" s="1268"/>
      <c r="D1" s="1268"/>
      <c r="E1" s="1268"/>
      <c r="F1" s="1268"/>
      <c r="G1" s="1268"/>
      <c r="H1" s="1268"/>
      <c r="I1" s="1268"/>
      <c r="J1" s="1268"/>
      <c r="K1" s="1268"/>
      <c r="L1" s="1268"/>
      <c r="M1" s="1268"/>
      <c r="N1" s="1268"/>
      <c r="O1" s="1268"/>
    </row>
    <row r="2" spans="1:45" ht="31.4" customHeight="1" x14ac:dyDescent="0.35">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5" customHeight="1" x14ac:dyDescent="0.35">
      <c r="A3" s="201" t="s">
        <v>255</v>
      </c>
      <c r="B3" s="201" t="s">
        <v>256</v>
      </c>
      <c r="C3" s="78">
        <v>0.22500000000000001</v>
      </c>
      <c r="D3" s="78">
        <v>0.22500000000000001</v>
      </c>
      <c r="E3" s="78">
        <v>0.22500000000000001</v>
      </c>
      <c r="F3" s="78">
        <v>0.22500000000000001</v>
      </c>
      <c r="G3" s="207">
        <v>0</v>
      </c>
      <c r="H3" s="207">
        <v>0</v>
      </c>
      <c r="I3" s="207">
        <v>0</v>
      </c>
      <c r="J3" s="207">
        <v>0</v>
      </c>
      <c r="K3" s="207">
        <v>0</v>
      </c>
      <c r="L3" s="207">
        <v>0</v>
      </c>
      <c r="M3" s="207">
        <v>0</v>
      </c>
      <c r="N3" s="207">
        <v>0</v>
      </c>
      <c r="O3" s="205">
        <f>SUM(C3:N3)</f>
        <v>0.9</v>
      </c>
      <c r="P3" s="78"/>
      <c r="Q3" s="78"/>
      <c r="R3" s="78"/>
      <c r="S3" s="78"/>
      <c r="T3" s="207"/>
      <c r="U3" s="207"/>
      <c r="V3" s="207"/>
      <c r="W3" s="207"/>
      <c r="X3" s="207"/>
      <c r="Y3" s="207"/>
      <c r="Z3" s="207"/>
      <c r="AA3" s="207"/>
      <c r="AC3" s="79"/>
      <c r="AD3" s="79"/>
      <c r="AE3" s="79"/>
      <c r="AF3" s="79"/>
      <c r="AG3" s="79"/>
      <c r="AH3" s="79"/>
      <c r="AI3" s="79"/>
      <c r="AJ3" s="79"/>
      <c r="AK3" s="79"/>
      <c r="AL3" s="79"/>
      <c r="AM3" s="79"/>
      <c r="AN3" s="79"/>
      <c r="AO3" s="79"/>
      <c r="AP3" s="79"/>
      <c r="AQ3" s="79"/>
      <c r="AR3" s="79"/>
      <c r="AS3" s="79"/>
    </row>
    <row r="4" spans="1:45" ht="15.65" customHeight="1" x14ac:dyDescent="0.35">
      <c r="A4" s="203" t="s">
        <v>257</v>
      </c>
      <c r="B4" s="203" t="s">
        <v>258</v>
      </c>
      <c r="C4" s="78">
        <v>-3.3333333333333333E-2</v>
      </c>
      <c r="D4" s="78">
        <v>-3.3333333333333333E-2</v>
      </c>
      <c r="E4" s="78">
        <v>-3.3333333333333333E-2</v>
      </c>
      <c r="F4" s="78">
        <v>-3.3333333333333333E-2</v>
      </c>
      <c r="G4" s="78">
        <v>-3.3333333333333333E-2</v>
      </c>
      <c r="H4" s="78">
        <v>-3.3333333333333333E-2</v>
      </c>
      <c r="I4" s="78">
        <v>-3.3333333333333333E-2</v>
      </c>
      <c r="J4" s="78">
        <v>-3.3333333333333333E-2</v>
      </c>
      <c r="K4" s="78">
        <v>-3.3333333333333333E-2</v>
      </c>
      <c r="L4" s="78">
        <v>-3.3333333333333333E-2</v>
      </c>
      <c r="M4" s="78">
        <v>-3.3333333333333333E-2</v>
      </c>
      <c r="N4" s="78">
        <v>-3.3333333333333333E-2</v>
      </c>
      <c r="O4" s="205">
        <f>SUM(C4:N4)</f>
        <v>-0.39999999999999997</v>
      </c>
      <c r="P4" s="78"/>
      <c r="Q4" s="78"/>
      <c r="R4" s="78"/>
      <c r="S4" s="78"/>
      <c r="T4" s="78"/>
      <c r="U4" s="78"/>
      <c r="V4" s="78"/>
      <c r="W4" s="78"/>
      <c r="X4" s="78"/>
      <c r="Y4" s="78"/>
      <c r="Z4" s="78"/>
      <c r="AA4" s="78"/>
      <c r="AC4" s="79"/>
      <c r="AD4" s="79"/>
      <c r="AE4" s="79"/>
      <c r="AF4" s="79"/>
      <c r="AG4" s="79"/>
      <c r="AH4" s="79"/>
      <c r="AI4" s="79"/>
      <c r="AJ4" s="79"/>
      <c r="AK4" s="79"/>
      <c r="AL4" s="79"/>
      <c r="AM4" s="79"/>
      <c r="AN4" s="79"/>
    </row>
    <row r="5" spans="1:45" ht="15.65" customHeight="1" x14ac:dyDescent="0.35">
      <c r="A5" s="203" t="s">
        <v>259</v>
      </c>
      <c r="B5" s="203" t="s">
        <v>260</v>
      </c>
      <c r="C5" s="78">
        <v>-0.12</v>
      </c>
      <c r="D5" s="78">
        <v>-0.12</v>
      </c>
      <c r="E5" s="78">
        <v>-0.06</v>
      </c>
      <c r="F5" s="78">
        <v>-0.06</v>
      </c>
      <c r="G5" s="78">
        <v>-0.06</v>
      </c>
      <c r="H5" s="78">
        <v>-0.06</v>
      </c>
      <c r="I5" s="78">
        <v>-0.06</v>
      </c>
      <c r="J5" s="78">
        <v>-0.06</v>
      </c>
      <c r="K5" s="78">
        <v>0</v>
      </c>
      <c r="L5" s="78">
        <v>0</v>
      </c>
      <c r="M5" s="78">
        <v>0</v>
      </c>
      <c r="N5" s="78">
        <v>0</v>
      </c>
      <c r="O5" s="205">
        <f t="shared" ref="O5:O13" si="1">SUM(C5:N5)</f>
        <v>-0.60000000000000009</v>
      </c>
      <c r="P5" s="78"/>
      <c r="Q5" s="78"/>
      <c r="R5" s="78"/>
      <c r="S5" s="78"/>
      <c r="T5" s="78"/>
      <c r="U5" s="78"/>
      <c r="V5" s="78"/>
      <c r="W5" s="78"/>
      <c r="X5" s="78"/>
      <c r="Y5" s="78"/>
      <c r="Z5" s="78"/>
      <c r="AA5" s="78"/>
      <c r="AC5" s="79"/>
      <c r="AD5" s="79"/>
      <c r="AE5" s="79"/>
      <c r="AF5" s="79"/>
      <c r="AG5" s="79"/>
      <c r="AH5" s="79"/>
      <c r="AI5" s="79"/>
      <c r="AJ5" s="79"/>
      <c r="AK5" s="79"/>
      <c r="AL5" s="79"/>
      <c r="AM5" s="79"/>
      <c r="AN5" s="79"/>
    </row>
    <row r="6" spans="1:45" ht="15.65" customHeight="1" x14ac:dyDescent="0.35">
      <c r="A6" s="201" t="s">
        <v>261</v>
      </c>
      <c r="B6" s="201" t="s">
        <v>213</v>
      </c>
      <c r="C6" s="78">
        <v>0.24499999999999997</v>
      </c>
      <c r="D6" s="78">
        <v>0.105</v>
      </c>
      <c r="E6" s="78">
        <v>5.5999999999999994E-2</v>
      </c>
      <c r="F6" s="78">
        <v>5.5999999999999994E-2</v>
      </c>
      <c r="G6" s="78">
        <v>5.5999999999999994E-2</v>
      </c>
      <c r="H6" s="78">
        <v>5.5999999999999994E-2</v>
      </c>
      <c r="I6" s="78">
        <v>5.5999999999999994E-2</v>
      </c>
      <c r="J6" s="78">
        <v>5.5999999999999994E-2</v>
      </c>
      <c r="K6" s="78">
        <v>0</v>
      </c>
      <c r="L6" s="78">
        <v>0</v>
      </c>
      <c r="M6" s="78">
        <v>0</v>
      </c>
      <c r="N6" s="78">
        <v>0</v>
      </c>
      <c r="O6" s="205">
        <f t="shared" si="1"/>
        <v>0.68600000000000017</v>
      </c>
      <c r="P6" s="78"/>
      <c r="Q6" s="78"/>
      <c r="R6" s="78"/>
      <c r="S6" s="78"/>
      <c r="T6" s="78"/>
      <c r="U6" s="78"/>
      <c r="V6" s="78"/>
      <c r="W6" s="78"/>
      <c r="X6" s="78"/>
      <c r="Y6" s="78"/>
      <c r="Z6" s="78"/>
      <c r="AA6" s="78"/>
      <c r="AC6" s="79"/>
      <c r="AD6" s="79"/>
      <c r="AE6" s="79"/>
      <c r="AF6" s="79"/>
      <c r="AG6" s="79"/>
      <c r="AH6" s="79"/>
      <c r="AI6" s="79"/>
      <c r="AJ6" s="79"/>
      <c r="AK6" s="79"/>
      <c r="AL6" s="79"/>
      <c r="AM6" s="79"/>
      <c r="AN6" s="79"/>
    </row>
    <row r="7" spans="1:45" ht="15.65" customHeight="1" x14ac:dyDescent="0.35">
      <c r="A7" s="201" t="s">
        <v>262</v>
      </c>
      <c r="B7" s="201" t="s">
        <v>263</v>
      </c>
      <c r="C7" s="78">
        <v>0.315</v>
      </c>
      <c r="D7" s="78">
        <v>0.315</v>
      </c>
      <c r="E7" s="78">
        <v>9.0000000000000011E-2</v>
      </c>
      <c r="F7" s="78">
        <v>9.0000000000000011E-2</v>
      </c>
      <c r="G7" s="78">
        <v>4.5000000000000005E-2</v>
      </c>
      <c r="H7" s="78">
        <v>4.5000000000000005E-2</v>
      </c>
      <c r="I7" s="78">
        <v>0</v>
      </c>
      <c r="J7" s="78">
        <v>0</v>
      </c>
      <c r="K7" s="78">
        <v>0</v>
      </c>
      <c r="L7" s="78">
        <v>0</v>
      </c>
      <c r="M7" s="78">
        <v>0</v>
      </c>
      <c r="N7" s="78">
        <v>0</v>
      </c>
      <c r="O7" s="205">
        <f t="shared" si="1"/>
        <v>0.9</v>
      </c>
      <c r="P7" s="78"/>
      <c r="Q7" s="78"/>
      <c r="R7" s="78"/>
      <c r="S7" s="78"/>
      <c r="T7" s="78"/>
      <c r="U7" s="78"/>
      <c r="V7" s="78"/>
      <c r="W7" s="78"/>
      <c r="X7" s="78"/>
      <c r="Y7" s="78"/>
      <c r="Z7" s="78"/>
      <c r="AA7" s="78"/>
      <c r="AC7" s="79"/>
      <c r="AD7" s="79"/>
      <c r="AE7" s="79"/>
      <c r="AF7" s="79"/>
      <c r="AG7" s="79"/>
      <c r="AH7" s="79"/>
      <c r="AI7" s="79"/>
      <c r="AJ7" s="79"/>
      <c r="AK7" s="79"/>
      <c r="AL7" s="79"/>
      <c r="AM7" s="79"/>
      <c r="AN7" s="79"/>
    </row>
    <row r="8" spans="1:45" ht="15.65" customHeight="1" x14ac:dyDescent="0.35">
      <c r="A8" s="201" t="s">
        <v>264</v>
      </c>
      <c r="B8" s="201" t="s">
        <v>265</v>
      </c>
      <c r="C8" s="78">
        <v>0.22500000000000001</v>
      </c>
      <c r="D8" s="78">
        <v>0.22500000000000001</v>
      </c>
      <c r="E8" s="78">
        <v>0.22500000000000001</v>
      </c>
      <c r="F8" s="78">
        <v>0.22500000000000001</v>
      </c>
      <c r="G8" s="78">
        <v>0</v>
      </c>
      <c r="H8" s="78">
        <v>0</v>
      </c>
      <c r="I8" s="78">
        <v>0</v>
      </c>
      <c r="J8" s="78">
        <v>0</v>
      </c>
      <c r="K8" s="78">
        <v>0</v>
      </c>
      <c r="L8" s="78">
        <v>0</v>
      </c>
      <c r="M8" s="78">
        <v>0</v>
      </c>
      <c r="N8" s="78">
        <v>0</v>
      </c>
      <c r="O8" s="205">
        <f t="shared" si="1"/>
        <v>0.9</v>
      </c>
      <c r="P8" s="78"/>
      <c r="Q8" s="78"/>
      <c r="R8" s="78"/>
      <c r="S8" s="78"/>
      <c r="T8" s="78"/>
      <c r="U8" s="78"/>
      <c r="V8" s="78"/>
      <c r="W8" s="78"/>
      <c r="X8" s="78"/>
      <c r="Y8" s="78"/>
      <c r="Z8" s="78"/>
      <c r="AA8" s="78"/>
      <c r="AC8" s="79"/>
      <c r="AD8" s="79"/>
      <c r="AE8" s="79"/>
      <c r="AF8" s="79"/>
      <c r="AG8" s="79"/>
      <c r="AH8" s="79"/>
      <c r="AI8" s="79"/>
      <c r="AJ8" s="79"/>
      <c r="AK8" s="79"/>
      <c r="AL8" s="79"/>
      <c r="AM8" s="79"/>
      <c r="AN8" s="79"/>
    </row>
    <row r="9" spans="1:45" ht="15.65" customHeight="1" x14ac:dyDescent="0.35">
      <c r="A9" s="201" t="s">
        <v>266</v>
      </c>
      <c r="B9" s="201" t="s">
        <v>267</v>
      </c>
      <c r="C9" s="78">
        <v>4.9500000000000002E-2</v>
      </c>
      <c r="D9" s="78">
        <v>4.2750000000000003E-2</v>
      </c>
      <c r="E9" s="78">
        <v>4.0500000000000001E-2</v>
      </c>
      <c r="F9" s="78">
        <v>3.8250000000000006E-2</v>
      </c>
      <c r="G9" s="78">
        <v>3.6000000000000004E-2</v>
      </c>
      <c r="H9" s="78">
        <v>3.6000000000000004E-2</v>
      </c>
      <c r="I9" s="78">
        <v>3.6000000000000004E-2</v>
      </c>
      <c r="J9" s="78">
        <v>3.6000000000000004E-2</v>
      </c>
      <c r="K9" s="78">
        <v>3.3750000000000002E-2</v>
      </c>
      <c r="L9" s="78">
        <v>3.3750000000000002E-2</v>
      </c>
      <c r="M9" s="78">
        <v>3.3750000000000002E-2</v>
      </c>
      <c r="N9" s="78">
        <v>3.3750000000000002E-2</v>
      </c>
      <c r="O9" s="205">
        <f t="shared" si="1"/>
        <v>0.45000000000000007</v>
      </c>
      <c r="P9" s="78"/>
      <c r="Q9" s="78"/>
      <c r="R9" s="78"/>
      <c r="S9" s="78"/>
      <c r="T9" s="78"/>
      <c r="U9" s="78"/>
      <c r="V9" s="78"/>
      <c r="W9" s="78"/>
      <c r="X9" s="78"/>
      <c r="Y9" s="78"/>
      <c r="Z9" s="78"/>
      <c r="AA9" s="78"/>
      <c r="AC9" s="79"/>
      <c r="AD9" s="79"/>
      <c r="AE9" s="79"/>
      <c r="AF9" s="79"/>
      <c r="AG9" s="79"/>
      <c r="AH9" s="79"/>
      <c r="AI9" s="79"/>
      <c r="AJ9" s="79"/>
      <c r="AK9" s="79"/>
      <c r="AL9" s="79"/>
      <c r="AM9" s="79"/>
      <c r="AN9" s="79"/>
    </row>
    <row r="10" spans="1:45" ht="15.65" customHeight="1" x14ac:dyDescent="0.35">
      <c r="A10" s="201" t="s">
        <v>268</v>
      </c>
      <c r="B10" s="201" t="s">
        <v>215</v>
      </c>
      <c r="C10" s="78">
        <v>0.14000000000000001</v>
      </c>
      <c r="D10" s="78">
        <v>0.1</v>
      </c>
      <c r="E10" s="78">
        <v>0.1</v>
      </c>
      <c r="F10" s="78">
        <v>0.05</v>
      </c>
      <c r="G10" s="78">
        <v>0.05</v>
      </c>
      <c r="H10" s="78">
        <v>0.05</v>
      </c>
      <c r="I10" s="78">
        <v>0.05</v>
      </c>
      <c r="J10" s="78">
        <v>0.05</v>
      </c>
      <c r="K10" s="78">
        <v>0.05</v>
      </c>
      <c r="L10" s="78">
        <v>0.03</v>
      </c>
      <c r="M10" s="78">
        <v>0.03</v>
      </c>
      <c r="N10" s="78">
        <v>0.03</v>
      </c>
      <c r="O10" s="205">
        <f>SUM(C10:N10)</f>
        <v>0.7300000000000002</v>
      </c>
      <c r="P10" s="78"/>
      <c r="Q10" s="78"/>
      <c r="R10" s="78"/>
      <c r="S10" s="78"/>
      <c r="T10" s="78"/>
      <c r="U10" s="78"/>
      <c r="V10" s="78"/>
      <c r="W10" s="78"/>
      <c r="X10" s="78"/>
      <c r="Y10" s="78"/>
      <c r="Z10" s="78"/>
      <c r="AA10" s="78"/>
      <c r="AC10" s="79"/>
      <c r="AD10" s="79"/>
      <c r="AE10" s="79"/>
      <c r="AF10" s="79"/>
      <c r="AG10" s="79"/>
      <c r="AH10" s="79"/>
      <c r="AI10" s="79"/>
      <c r="AJ10" s="79"/>
      <c r="AK10" s="79"/>
      <c r="AL10" s="79"/>
      <c r="AM10" s="79"/>
      <c r="AN10" s="79"/>
    </row>
    <row r="11" spans="1:45" ht="15.65" customHeight="1" x14ac:dyDescent="0.35">
      <c r="A11" s="201" t="s">
        <v>269</v>
      </c>
      <c r="B11" s="201" t="s">
        <v>270</v>
      </c>
      <c r="C11" s="78">
        <v>0.2</v>
      </c>
      <c r="D11" s="78">
        <v>0.17</v>
      </c>
      <c r="E11" s="78">
        <v>0.16</v>
      </c>
      <c r="F11" s="78">
        <v>0.15</v>
      </c>
      <c r="G11" s="78">
        <v>0.09</v>
      </c>
      <c r="H11" s="78">
        <v>0.05</v>
      </c>
      <c r="I11" s="78">
        <v>0.05</v>
      </c>
      <c r="J11" s="78">
        <v>0.04</v>
      </c>
      <c r="K11" s="78">
        <v>0</v>
      </c>
      <c r="L11" s="78">
        <v>0</v>
      </c>
      <c r="M11" s="78">
        <v>0</v>
      </c>
      <c r="N11" s="78">
        <v>0</v>
      </c>
      <c r="O11" s="205">
        <f>SUM(C11:N11)</f>
        <v>0.91000000000000014</v>
      </c>
      <c r="P11" s="78"/>
      <c r="Q11" s="78"/>
      <c r="R11" s="78"/>
      <c r="S11" s="78"/>
      <c r="T11" s="78"/>
      <c r="U11" s="78"/>
      <c r="V11" s="78"/>
      <c r="W11" s="78"/>
      <c r="X11" s="78"/>
      <c r="Y11" s="78"/>
      <c r="Z11" s="78"/>
      <c r="AA11" s="78"/>
      <c r="AC11" s="79"/>
      <c r="AD11" s="79"/>
      <c r="AE11" s="79"/>
      <c r="AF11" s="79"/>
      <c r="AG11" s="79"/>
      <c r="AH11" s="79"/>
      <c r="AI11" s="79"/>
      <c r="AJ11" s="79"/>
      <c r="AK11" s="79"/>
      <c r="AL11" s="79"/>
      <c r="AM11" s="79"/>
      <c r="AN11" s="79"/>
    </row>
    <row r="12" spans="1:45" ht="47.15" customHeight="1" x14ac:dyDescent="0.35">
      <c r="A12" s="202" t="s">
        <v>271</v>
      </c>
      <c r="B12" s="202" t="s">
        <v>272</v>
      </c>
      <c r="C12" s="78">
        <v>0.2</v>
      </c>
      <c r="D12" s="78">
        <v>0.17</v>
      </c>
      <c r="E12" s="78">
        <v>0.16</v>
      </c>
      <c r="F12" s="78">
        <v>0.15</v>
      </c>
      <c r="G12" s="78">
        <v>0.09</v>
      </c>
      <c r="H12" s="78">
        <v>0.05</v>
      </c>
      <c r="I12" s="78">
        <v>0.05</v>
      </c>
      <c r="J12" s="78">
        <v>0.04</v>
      </c>
      <c r="K12" s="78">
        <v>0</v>
      </c>
      <c r="L12" s="78">
        <v>0</v>
      </c>
      <c r="M12" s="78">
        <v>0</v>
      </c>
      <c r="N12" s="78">
        <v>0</v>
      </c>
      <c r="O12" s="205">
        <f t="shared" si="1"/>
        <v>0.91000000000000014</v>
      </c>
      <c r="P12" s="78"/>
      <c r="Q12" s="78"/>
      <c r="R12" s="78"/>
      <c r="S12" s="78"/>
      <c r="T12" s="78"/>
      <c r="U12" s="78"/>
      <c r="V12" s="78"/>
      <c r="W12" s="78"/>
      <c r="X12" s="78"/>
      <c r="Y12" s="78"/>
      <c r="Z12" s="78"/>
      <c r="AA12" s="78"/>
      <c r="AC12" s="79"/>
      <c r="AD12" s="79"/>
      <c r="AE12" s="79"/>
      <c r="AF12" s="79"/>
      <c r="AG12" s="79"/>
      <c r="AH12" s="79"/>
      <c r="AI12" s="79"/>
      <c r="AJ12" s="79"/>
      <c r="AK12" s="79"/>
      <c r="AL12" s="79"/>
      <c r="AM12" s="79"/>
      <c r="AN12" s="79"/>
    </row>
    <row r="13" spans="1:45" ht="31.4" customHeight="1" x14ac:dyDescent="0.35">
      <c r="A13" s="202" t="s">
        <v>273</v>
      </c>
      <c r="B13" s="202" t="s">
        <v>274</v>
      </c>
      <c r="C13" s="78">
        <v>0.14000000000000001</v>
      </c>
      <c r="D13" s="78">
        <v>0.1</v>
      </c>
      <c r="E13" s="78">
        <v>0.1</v>
      </c>
      <c r="F13" s="78">
        <v>0.05</v>
      </c>
      <c r="G13" s="78">
        <v>0.05</v>
      </c>
      <c r="H13" s="78">
        <v>0.05</v>
      </c>
      <c r="I13" s="78">
        <v>0.05</v>
      </c>
      <c r="J13" s="78">
        <v>0.05</v>
      </c>
      <c r="K13" s="78">
        <v>0.05</v>
      </c>
      <c r="L13" s="78">
        <v>0</v>
      </c>
      <c r="M13" s="78">
        <v>0</v>
      </c>
      <c r="N13" s="78">
        <v>0</v>
      </c>
      <c r="O13" s="205">
        <f t="shared" si="1"/>
        <v>0.64000000000000012</v>
      </c>
      <c r="P13" s="78"/>
      <c r="Q13" s="78"/>
      <c r="R13" s="78"/>
      <c r="S13" s="78"/>
      <c r="T13" s="78"/>
      <c r="U13" s="78"/>
      <c r="V13" s="78"/>
      <c r="W13" s="78"/>
      <c r="X13" s="78"/>
      <c r="Y13" s="78"/>
      <c r="Z13" s="78"/>
      <c r="AA13" s="78"/>
      <c r="AC13" s="79"/>
      <c r="AD13" s="79"/>
      <c r="AE13" s="79"/>
      <c r="AF13" s="79"/>
      <c r="AG13" s="79"/>
      <c r="AH13" s="79"/>
      <c r="AI13" s="79"/>
      <c r="AJ13" s="79"/>
      <c r="AK13" s="79"/>
      <c r="AL13" s="79"/>
      <c r="AM13" s="79"/>
      <c r="AN13" s="79"/>
    </row>
    <row r="14" spans="1:45" ht="47.15" customHeight="1" x14ac:dyDescent="0.35">
      <c r="A14" s="202" t="s">
        <v>275</v>
      </c>
      <c r="B14" s="202" t="s">
        <v>276</v>
      </c>
      <c r="C14" s="78">
        <v>0.04</v>
      </c>
      <c r="D14" s="78">
        <v>0.04</v>
      </c>
      <c r="E14" s="78">
        <v>1.7000000000000001E-2</v>
      </c>
      <c r="F14" s="78">
        <v>1.7000000000000001E-2</v>
      </c>
      <c r="G14" s="78">
        <v>1.7000000000000001E-2</v>
      </c>
      <c r="H14" s="78">
        <v>1.7000000000000001E-2</v>
      </c>
      <c r="I14" s="78">
        <v>1.7000000000000001E-2</v>
      </c>
      <c r="J14" s="78">
        <v>1.7000000000000001E-2</v>
      </c>
      <c r="K14" s="78">
        <v>1.7000000000000001E-2</v>
      </c>
      <c r="L14" s="78">
        <v>1.7000000000000001E-2</v>
      </c>
      <c r="M14" s="78">
        <v>1.7000000000000001E-2</v>
      </c>
      <c r="N14" s="78">
        <v>1.7000000000000001E-2</v>
      </c>
      <c r="O14" s="205">
        <f>SUM(C14:N14)</f>
        <v>0.25000000000000011</v>
      </c>
      <c r="P14" s="78"/>
      <c r="Q14" s="78"/>
      <c r="R14" s="78"/>
      <c r="S14" s="78"/>
      <c r="T14" s="78"/>
      <c r="U14" s="78"/>
      <c r="V14" s="78"/>
      <c r="W14" s="78"/>
      <c r="X14" s="78"/>
      <c r="Y14" s="78"/>
      <c r="Z14" s="78"/>
      <c r="AA14" s="78"/>
      <c r="AC14" s="79"/>
      <c r="AD14" s="79"/>
      <c r="AE14" s="79"/>
      <c r="AF14" s="79"/>
      <c r="AG14" s="79"/>
      <c r="AH14" s="79"/>
      <c r="AI14" s="79"/>
      <c r="AJ14" s="79"/>
      <c r="AK14" s="79"/>
      <c r="AL14" s="79"/>
      <c r="AM14" s="79"/>
      <c r="AN14" s="79"/>
    </row>
    <row r="15" spans="1:45" ht="15.75" customHeight="1" x14ac:dyDescent="0.35">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85" zoomScaleNormal="85" workbookViewId="0">
      <pane xSplit="2" ySplit="6" topLeftCell="P7" activePane="bottomRight" state="frozen"/>
      <selection pane="topRight" activeCell="C1" sqref="C1"/>
      <selection pane="bottomLeft" activeCell="A7" sqref="A7"/>
      <selection pane="bottomRight" activeCell="AB20" sqref="AB20"/>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69" t="s">
        <v>53</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12"/>
      <c r="AE1" s="212"/>
      <c r="AF1" s="212"/>
      <c r="AG1" s="212"/>
      <c r="AH1" s="212"/>
    </row>
    <row r="2" spans="2:41" ht="14.25" customHeight="1" x14ac:dyDescent="0.35">
      <c r="B2" s="1270" t="s">
        <v>277</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c r="AD2" s="213"/>
      <c r="AE2" s="213"/>
      <c r="AF2" s="213"/>
      <c r="AG2" s="213"/>
      <c r="AH2" s="213"/>
    </row>
    <row r="3" spans="2:4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c r="AD3" s="213"/>
      <c r="AE3" s="213"/>
      <c r="AF3" s="213"/>
      <c r="AG3" s="213"/>
      <c r="AH3" s="213"/>
    </row>
    <row r="4" spans="2:4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c r="AD4" s="213"/>
      <c r="AE4" s="213"/>
      <c r="AF4" s="213"/>
      <c r="AG4" s="213"/>
      <c r="AH4" s="213"/>
    </row>
    <row r="5" spans="2:41"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c r="AD5" s="213"/>
      <c r="AE5" s="213"/>
      <c r="AF5" s="213"/>
      <c r="AG5" s="213"/>
      <c r="AH5" s="213"/>
    </row>
    <row r="6" spans="2:41" ht="38.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c r="AD6" s="213"/>
      <c r="AE6" s="213"/>
      <c r="AF6" s="213"/>
      <c r="AG6" s="213"/>
      <c r="AH6" s="213"/>
    </row>
    <row r="7" spans="2:41" x14ac:dyDescent="0.35">
      <c r="B7" s="255"/>
      <c r="C7" s="255"/>
      <c r="D7" s="255"/>
      <c r="E7" s="255"/>
      <c r="F7" s="255"/>
      <c r="G7" s="255"/>
      <c r="H7" s="256"/>
      <c r="I7" s="256"/>
      <c r="J7" s="256"/>
      <c r="K7" s="256"/>
      <c r="L7" s="256"/>
      <c r="M7" s="256"/>
      <c r="N7" s="256"/>
      <c r="O7" s="256"/>
      <c r="P7" s="256"/>
      <c r="Q7" s="256"/>
      <c r="R7" s="256"/>
      <c r="S7" s="256"/>
      <c r="T7" s="256"/>
      <c r="U7" s="256"/>
      <c r="V7" s="256"/>
    </row>
    <row r="8" spans="2:41" ht="14.9" customHeight="1" x14ac:dyDescent="0.35">
      <c r="B8" s="1274" t="s">
        <v>278</v>
      </c>
      <c r="C8" s="1275"/>
      <c r="D8" s="1284" t="s">
        <v>279</v>
      </c>
      <c r="E8" s="1284"/>
      <c r="F8" s="1284"/>
      <c r="G8" s="1284"/>
      <c r="H8" s="1284"/>
      <c r="I8" s="1284"/>
      <c r="J8" s="1284"/>
      <c r="K8" s="1284"/>
      <c r="L8" s="1284"/>
      <c r="M8" s="1284"/>
      <c r="N8" s="1284"/>
      <c r="O8" s="1284"/>
      <c r="P8" s="1284"/>
      <c r="Q8" s="1284"/>
      <c r="R8" s="1284"/>
      <c r="S8" s="1284"/>
      <c r="T8" s="1284"/>
      <c r="U8" s="1284"/>
      <c r="V8" s="1284"/>
      <c r="W8" s="1284"/>
      <c r="X8" s="1284"/>
      <c r="Y8" s="1284"/>
      <c r="Z8" s="1284"/>
      <c r="AA8" s="1284"/>
      <c r="AB8" s="1284"/>
      <c r="AC8" s="1282" t="s">
        <v>280</v>
      </c>
      <c r="AD8" s="1282"/>
      <c r="AE8" s="1282"/>
      <c r="AF8" s="1282"/>
      <c r="AG8" s="1282"/>
      <c r="AH8" s="1282"/>
      <c r="AI8" s="1282"/>
      <c r="AJ8" s="1282"/>
      <c r="AK8" s="1282"/>
      <c r="AL8" s="1282"/>
      <c r="AM8" s="1282"/>
      <c r="AN8" s="1283"/>
    </row>
    <row r="9" spans="2:41" ht="12.75" customHeight="1" x14ac:dyDescent="0.35">
      <c r="B9" s="1276"/>
      <c r="C9" s="1277"/>
      <c r="D9" s="214">
        <v>2018</v>
      </c>
      <c r="E9" s="1271">
        <v>2019</v>
      </c>
      <c r="F9" s="1272"/>
      <c r="G9" s="1272"/>
      <c r="H9" s="1273"/>
      <c r="I9" s="1271">
        <v>2020</v>
      </c>
      <c r="J9" s="1272"/>
      <c r="K9" s="1272"/>
      <c r="L9" s="1273"/>
      <c r="M9" s="1271">
        <v>2021</v>
      </c>
      <c r="N9" s="1272"/>
      <c r="O9" s="1272"/>
      <c r="P9" s="1273"/>
      <c r="Q9" s="1271">
        <v>2022</v>
      </c>
      <c r="R9" s="1272"/>
      <c r="S9" s="1272"/>
      <c r="T9" s="1273"/>
      <c r="U9" s="1271">
        <v>2023</v>
      </c>
      <c r="V9" s="1272"/>
      <c r="W9" s="1272"/>
      <c r="X9" s="1273"/>
      <c r="Y9" s="280"/>
      <c r="Z9" s="217">
        <v>2024</v>
      </c>
      <c r="AA9" s="217"/>
      <c r="AB9" s="216"/>
      <c r="AC9" s="1280">
        <v>2025</v>
      </c>
      <c r="AD9" s="1281"/>
      <c r="AE9" s="1281"/>
      <c r="AF9" s="1281"/>
      <c r="AG9" s="1280">
        <v>2026</v>
      </c>
      <c r="AH9" s="1281"/>
      <c r="AI9" s="1281"/>
      <c r="AJ9" s="1285"/>
      <c r="AK9" s="1280">
        <v>2027</v>
      </c>
      <c r="AL9" s="1281"/>
      <c r="AM9" s="1281"/>
      <c r="AN9" s="1285"/>
    </row>
    <row r="10" spans="2:41" ht="14.9" customHeight="1" x14ac:dyDescent="0.35">
      <c r="B10" s="1278"/>
      <c r="C10" s="1279"/>
      <c r="D10" s="214" t="s">
        <v>281</v>
      </c>
      <c r="E10" s="214" t="s">
        <v>282</v>
      </c>
      <c r="F10" s="215" t="s">
        <v>283</v>
      </c>
      <c r="G10" s="215" t="s">
        <v>238</v>
      </c>
      <c r="H10" s="218" t="s">
        <v>281</v>
      </c>
      <c r="I10" s="215" t="s">
        <v>282</v>
      </c>
      <c r="J10" s="215" t="s">
        <v>283</v>
      </c>
      <c r="K10" s="215" t="s">
        <v>238</v>
      </c>
      <c r="L10" s="215" t="s">
        <v>281</v>
      </c>
      <c r="M10" s="273" t="s">
        <v>282</v>
      </c>
      <c r="N10" s="274" t="s">
        <v>283</v>
      </c>
      <c r="O10" s="274" t="s">
        <v>238</v>
      </c>
      <c r="P10" s="272" t="s">
        <v>281</v>
      </c>
      <c r="Q10" s="273" t="s">
        <v>282</v>
      </c>
      <c r="R10" s="274" t="s">
        <v>283</v>
      </c>
      <c r="S10" s="274" t="s">
        <v>238</v>
      </c>
      <c r="T10" s="272" t="s">
        <v>281</v>
      </c>
      <c r="U10" s="273" t="s">
        <v>282</v>
      </c>
      <c r="V10" s="274" t="s">
        <v>283</v>
      </c>
      <c r="W10" s="274" t="s">
        <v>238</v>
      </c>
      <c r="X10" s="272" t="s">
        <v>281</v>
      </c>
      <c r="Y10" s="273" t="s">
        <v>282</v>
      </c>
      <c r="Z10" s="279" t="s">
        <v>283</v>
      </c>
      <c r="AA10" s="274" t="s">
        <v>238</v>
      </c>
      <c r="AB10" s="272" t="s">
        <v>281</v>
      </c>
      <c r="AC10" s="259" t="s">
        <v>282</v>
      </c>
      <c r="AD10" s="257" t="s">
        <v>283</v>
      </c>
      <c r="AE10" s="260" t="s">
        <v>238</v>
      </c>
      <c r="AF10" s="260" t="s">
        <v>281</v>
      </c>
      <c r="AG10" s="222" t="s">
        <v>282</v>
      </c>
      <c r="AH10" s="257" t="s">
        <v>283</v>
      </c>
      <c r="AI10" s="257" t="s">
        <v>238</v>
      </c>
      <c r="AJ10" s="277" t="s">
        <v>281</v>
      </c>
      <c r="AK10" s="222" t="s">
        <v>282</v>
      </c>
      <c r="AL10" s="257" t="s">
        <v>283</v>
      </c>
      <c r="AM10" s="257" t="s">
        <v>238</v>
      </c>
      <c r="AN10" s="277" t="s">
        <v>281</v>
      </c>
    </row>
    <row r="11" spans="2:41" x14ac:dyDescent="0.35">
      <c r="B11" s="244" t="s">
        <v>102</v>
      </c>
      <c r="C11" s="261" t="s">
        <v>284</v>
      </c>
      <c r="D11" s="246">
        <f>'Haver Pivoted'!GO14</f>
        <v>27.1</v>
      </c>
      <c r="E11" s="275">
        <f>'Haver Pivoted'!GP14</f>
        <v>29.6</v>
      </c>
      <c r="F11" s="275">
        <f>'Haver Pivoted'!GQ14</f>
        <v>27.3</v>
      </c>
      <c r="G11" s="275">
        <f>'Haver Pivoted'!GR14</f>
        <v>26.4</v>
      </c>
      <c r="H11" s="275">
        <f>'Haver Pivoted'!GS14</f>
        <v>26.7</v>
      </c>
      <c r="I11" s="275">
        <f>'Haver Pivoted'!GT14</f>
        <v>40.1</v>
      </c>
      <c r="J11" s="275">
        <f>'Haver Pivoted'!GU14</f>
        <v>951.5</v>
      </c>
      <c r="K11" s="275">
        <f>'Haver Pivoted'!GV14</f>
        <v>800</v>
      </c>
      <c r="L11" s="275">
        <f>'Haver Pivoted'!GW14</f>
        <v>322.7</v>
      </c>
      <c r="M11" s="275">
        <f>'Haver Pivoted'!GX14</f>
        <v>583.79999999999995</v>
      </c>
      <c r="N11" s="275">
        <f>'Haver Pivoted'!GY14</f>
        <v>440.8</v>
      </c>
      <c r="O11" s="275">
        <f>'Haver Pivoted'!GZ14</f>
        <v>212.8</v>
      </c>
      <c r="P11" s="275">
        <f>'Haver Pivoted'!HA14</f>
        <v>31.8</v>
      </c>
      <c r="Q11" s="219">
        <f>'Haver Pivoted'!HB14</f>
        <v>24.5</v>
      </c>
      <c r="R11" s="219">
        <f>'Haver Pivoted'!HC14</f>
        <v>21.7</v>
      </c>
      <c r="S11" s="215">
        <f>'Haver Pivoted'!HD14</f>
        <v>23.1</v>
      </c>
      <c r="T11" s="215">
        <f>'Haver Pivoted'!HE14</f>
        <v>25.9</v>
      </c>
      <c r="U11" s="215">
        <f>'Haver Pivoted'!HF14</f>
        <v>30.1</v>
      </c>
      <c r="V11" s="215">
        <f>'Haver Pivoted'!HG14</f>
        <v>32.700000000000003</v>
      </c>
      <c r="W11" s="215">
        <f>'Haver Pivoted'!HH14</f>
        <v>34.700000000000003</v>
      </c>
      <c r="X11" s="215">
        <f>'Haver Pivoted'!HI14</f>
        <v>35.299999999999997</v>
      </c>
      <c r="Y11" s="215">
        <f>'Haver Pivoted'!HJ14</f>
        <v>34.9</v>
      </c>
      <c r="Z11" s="215">
        <f>'Haver Pivoted'!HK14</f>
        <v>34.9</v>
      </c>
      <c r="AA11" s="215">
        <f>'Haver Pivoted'!HL14</f>
        <v>35.700000000000003</v>
      </c>
      <c r="AB11" s="215">
        <f>'Haver Pivoted'!HM14</f>
        <v>36.1</v>
      </c>
      <c r="AC11" s="266">
        <f t="shared" ref="AC11:AG11" si="0">AC13+AC14+AC21</f>
        <v>35.700000000000003</v>
      </c>
      <c r="AD11" s="266">
        <f t="shared" si="0"/>
        <v>35.700000000000003</v>
      </c>
      <c r="AE11" s="266">
        <f t="shared" si="0"/>
        <v>35.700000000000003</v>
      </c>
      <c r="AF11" s="266">
        <f t="shared" si="0"/>
        <v>35.700000000000003</v>
      </c>
      <c r="AG11" s="221">
        <f t="shared" si="0"/>
        <v>35.700000000000003</v>
      </c>
      <c r="AH11" s="221">
        <f>AH13+AH14+AH21</f>
        <v>35.700000000000003</v>
      </c>
      <c r="AI11" s="221">
        <f t="shared" ref="AI11:AN11" si="1">AI13+AI14+AI21</f>
        <v>35.700000000000003</v>
      </c>
      <c r="AJ11" s="221">
        <f t="shared" si="1"/>
        <v>35.700000000000003</v>
      </c>
      <c r="AK11" s="221">
        <f t="shared" si="1"/>
        <v>36.700000000000003</v>
      </c>
      <c r="AL11" s="221">
        <f t="shared" si="1"/>
        <v>37.700000000000003</v>
      </c>
      <c r="AM11" s="221">
        <f t="shared" si="1"/>
        <v>38.700000000000003</v>
      </c>
      <c r="AN11" s="221">
        <f t="shared" si="1"/>
        <v>39.700000000000003</v>
      </c>
      <c r="AO11" s="235" t="s">
        <v>285</v>
      </c>
    </row>
    <row r="12" spans="2:41" x14ac:dyDescent="0.35">
      <c r="B12" s="278" t="s">
        <v>1955</v>
      </c>
      <c r="C12" s="220"/>
      <c r="D12" s="263"/>
      <c r="E12" s="219"/>
      <c r="F12" s="219"/>
      <c r="G12" s="219"/>
      <c r="H12" s="219"/>
      <c r="I12" s="219"/>
      <c r="J12" s="219"/>
      <c r="K12" s="219"/>
      <c r="L12" s="219"/>
      <c r="M12" s="219"/>
      <c r="N12" s="219"/>
      <c r="O12" s="219"/>
      <c r="P12" s="219"/>
      <c r="Q12" s="219"/>
      <c r="R12" s="219"/>
      <c r="S12" s="215"/>
      <c r="T12" s="215"/>
      <c r="U12" s="215"/>
      <c r="V12" s="215"/>
      <c r="W12" s="215"/>
      <c r="X12" s="215"/>
      <c r="Y12" s="215"/>
      <c r="Z12" s="215"/>
      <c r="AA12" s="215"/>
      <c r="AB12" s="215"/>
      <c r="AC12" s="221"/>
      <c r="AD12" s="221"/>
      <c r="AE12" s="221"/>
      <c r="AF12" s="221"/>
      <c r="AG12" s="221"/>
      <c r="AH12" s="221"/>
      <c r="AI12" s="221"/>
      <c r="AJ12" s="221"/>
      <c r="AK12" s="221"/>
      <c r="AL12" s="221"/>
      <c r="AM12" s="221"/>
      <c r="AN12" s="221"/>
    </row>
    <row r="13" spans="2:41" x14ac:dyDescent="0.35">
      <c r="B13" s="254" t="s">
        <v>286</v>
      </c>
      <c r="C13" s="247" t="s">
        <v>287</v>
      </c>
      <c r="D13" s="263">
        <f>'Haver Pivoted'!GO63</f>
        <v>0</v>
      </c>
      <c r="E13" s="219">
        <f>'Haver Pivoted'!GP63</f>
        <v>0</v>
      </c>
      <c r="F13" s="219">
        <f>'Haver Pivoted'!GQ63</f>
        <v>0</v>
      </c>
      <c r="G13" s="219">
        <f>'Haver Pivoted'!GR63</f>
        <v>0</v>
      </c>
      <c r="H13" s="219">
        <f>'Haver Pivoted'!GS63</f>
        <v>0</v>
      </c>
      <c r="I13" s="219">
        <f>'Haver Pivoted'!GT63</f>
        <v>0</v>
      </c>
      <c r="J13" s="219">
        <f>'Haver Pivoted'!GU63</f>
        <v>0.1</v>
      </c>
      <c r="K13" s="219">
        <f>'Haver Pivoted'!GV63</f>
        <v>3.7</v>
      </c>
      <c r="L13" s="219">
        <f>'Haver Pivoted'!GW63</f>
        <v>12.9</v>
      </c>
      <c r="M13" s="219">
        <f>'Haver Pivoted'!GX63</f>
        <v>25.5</v>
      </c>
      <c r="N13" s="219">
        <f>'Haver Pivoted'!GY63</f>
        <v>3.8</v>
      </c>
      <c r="O13" s="219">
        <f>'Haver Pivoted'!GZ63</f>
        <v>1.8</v>
      </c>
      <c r="P13" s="219">
        <f>'Haver Pivoted'!HA63</f>
        <v>0.6</v>
      </c>
      <c r="Q13" s="219">
        <f>'Haver Pivoted'!HB63</f>
        <v>0.2</v>
      </c>
      <c r="R13" s="219">
        <f>'Haver Pivoted'!HC63</f>
        <v>0.1</v>
      </c>
      <c r="S13" s="215">
        <f>'Haver Pivoted'!HD63</f>
        <v>0</v>
      </c>
      <c r="T13" s="215">
        <f>'Haver Pivoted'!HE63</f>
        <v>0</v>
      </c>
      <c r="U13" s="215">
        <f>'Haver Pivoted'!HF63</f>
        <v>0</v>
      </c>
      <c r="V13" s="215">
        <f>'Haver Pivoted'!HG63</f>
        <v>0</v>
      </c>
      <c r="W13" s="215">
        <f>'Haver Pivoted'!HH63</f>
        <v>0</v>
      </c>
      <c r="X13" s="215">
        <f>'Haver Pivoted'!HI63</f>
        <v>0</v>
      </c>
      <c r="Y13" s="215">
        <f>'Haver Pivoted'!HJ63</f>
        <v>0</v>
      </c>
      <c r="Z13" s="215">
        <f>'Haver Pivoted'!HK63</f>
        <v>0</v>
      </c>
      <c r="AA13" s="215">
        <f>'Haver Pivoted'!HL63</f>
        <v>0</v>
      </c>
      <c r="AB13" s="215">
        <f>'Haver Pivoted'!HM63</f>
        <v>0</v>
      </c>
      <c r="AC13" s="221">
        <f t="shared" ref="AC13:AH13" si="2">AB13*AC24/AB24</f>
        <v>0</v>
      </c>
      <c r="AD13" s="221">
        <f t="shared" si="2"/>
        <v>0</v>
      </c>
      <c r="AE13" s="221">
        <f t="shared" si="2"/>
        <v>0</v>
      </c>
      <c r="AF13" s="221">
        <f t="shared" si="2"/>
        <v>0</v>
      </c>
      <c r="AG13" s="221">
        <f t="shared" si="2"/>
        <v>0</v>
      </c>
      <c r="AH13" s="221">
        <f t="shared" si="2"/>
        <v>0</v>
      </c>
      <c r="AI13" s="221">
        <f t="shared" ref="AI13" si="3">AH13*AI24/AH24</f>
        <v>0</v>
      </c>
      <c r="AJ13" s="221">
        <f>AI13*AJ24/AI24</f>
        <v>0</v>
      </c>
      <c r="AK13" s="221">
        <f t="shared" ref="AK13:AN13" si="4">AJ13*AK24/AJ24</f>
        <v>0</v>
      </c>
      <c r="AL13" s="221">
        <f t="shared" si="4"/>
        <v>0</v>
      </c>
      <c r="AM13" s="221">
        <f t="shared" si="4"/>
        <v>0</v>
      </c>
      <c r="AN13" s="221">
        <f t="shared" si="4"/>
        <v>0</v>
      </c>
    </row>
    <row r="14" spans="2:41" x14ac:dyDescent="0.35">
      <c r="B14" s="254" t="s">
        <v>288</v>
      </c>
      <c r="C14" s="247"/>
      <c r="D14" s="263"/>
      <c r="E14" s="219"/>
      <c r="F14" s="219"/>
      <c r="G14" s="219"/>
      <c r="H14" s="227">
        <f>SUM(H15:H18)</f>
        <v>0</v>
      </c>
      <c r="I14" s="227">
        <f t="shared" ref="I14:M14" si="5">SUM(I15:I18)</f>
        <v>0</v>
      </c>
      <c r="J14" s="227">
        <f t="shared" si="5"/>
        <v>779.7</v>
      </c>
      <c r="K14" s="227">
        <f t="shared" si="5"/>
        <v>582.6</v>
      </c>
      <c r="L14" s="227">
        <f t="shared" si="5"/>
        <v>216.5</v>
      </c>
      <c r="M14" s="227">
        <f t="shared" si="5"/>
        <v>497.6</v>
      </c>
      <c r="N14" s="232">
        <f>SUM(N15:N18)</f>
        <v>401.5</v>
      </c>
      <c r="O14" s="232">
        <f t="shared" ref="O14:AC14" si="6">SUM(O15:O18)</f>
        <v>207.4</v>
      </c>
      <c r="P14" s="232">
        <f t="shared" si="6"/>
        <v>5.5</v>
      </c>
      <c r="Q14" s="232">
        <v>0</v>
      </c>
      <c r="R14" s="232">
        <f t="shared" si="6"/>
        <v>1</v>
      </c>
      <c r="S14" s="232">
        <f t="shared" si="6"/>
        <v>0.5</v>
      </c>
      <c r="T14" s="232">
        <f t="shared" si="6"/>
        <v>0.30000000000000004</v>
      </c>
      <c r="U14" s="232">
        <f t="shared" si="6"/>
        <v>0</v>
      </c>
      <c r="V14" s="227">
        <f t="shared" si="6"/>
        <v>0</v>
      </c>
      <c r="W14" s="227">
        <f t="shared" si="6"/>
        <v>0</v>
      </c>
      <c r="X14" s="221">
        <f>SUM(X15:X18)</f>
        <v>0</v>
      </c>
      <c r="Y14" s="221">
        <f t="shared" si="6"/>
        <v>0</v>
      </c>
      <c r="Z14" s="221">
        <f t="shared" si="6"/>
        <v>0</v>
      </c>
      <c r="AA14" s="221">
        <f t="shared" si="6"/>
        <v>0</v>
      </c>
      <c r="AB14" s="221">
        <f t="shared" si="6"/>
        <v>0</v>
      </c>
      <c r="AC14" s="221">
        <f t="shared" si="6"/>
        <v>0</v>
      </c>
      <c r="AD14" s="221">
        <f t="shared" ref="AD14:AG14" si="7">SUM(AD15:AD18)</f>
        <v>0</v>
      </c>
      <c r="AE14" s="221">
        <f t="shared" si="7"/>
        <v>0</v>
      </c>
      <c r="AF14" s="221">
        <f t="shared" si="7"/>
        <v>0</v>
      </c>
      <c r="AG14" s="221">
        <f t="shared" si="7"/>
        <v>0</v>
      </c>
      <c r="AH14" s="221">
        <f t="shared" ref="AH14:AI14" si="8">SUM(AH15:AH18)</f>
        <v>0</v>
      </c>
      <c r="AI14" s="221">
        <f t="shared" si="8"/>
        <v>0</v>
      </c>
      <c r="AJ14" s="221">
        <f>SUM(AJ15:AJ18)</f>
        <v>0</v>
      </c>
      <c r="AK14" s="221">
        <f t="shared" ref="AK14:AN14" si="9">SUM(AK15:AK18)</f>
        <v>0</v>
      </c>
      <c r="AL14" s="221">
        <f t="shared" si="9"/>
        <v>0</v>
      </c>
      <c r="AM14" s="221">
        <f t="shared" si="9"/>
        <v>0</v>
      </c>
      <c r="AN14" s="221">
        <f t="shared" si="9"/>
        <v>0</v>
      </c>
    </row>
    <row r="15" spans="2:41" ht="18" customHeight="1" x14ac:dyDescent="0.35">
      <c r="B15" s="240" t="s">
        <v>289</v>
      </c>
      <c r="C15" s="241" t="s">
        <v>287</v>
      </c>
      <c r="D15" s="262">
        <f>'Haver Pivoted'!GO63</f>
        <v>0</v>
      </c>
      <c r="E15" s="231">
        <f>'Haver Pivoted'!GP63</f>
        <v>0</v>
      </c>
      <c r="F15" s="231">
        <f>'Haver Pivoted'!GQ63</f>
        <v>0</v>
      </c>
      <c r="G15" s="231">
        <f>'Haver Pivoted'!GR63</f>
        <v>0</v>
      </c>
      <c r="H15" s="231">
        <f>'Haver Pivoted'!GS63</f>
        <v>0</v>
      </c>
      <c r="I15" s="231">
        <f>'Haver Pivoted'!GT63</f>
        <v>0</v>
      </c>
      <c r="J15" s="231">
        <f>'Haver Pivoted'!GU63</f>
        <v>0.1</v>
      </c>
      <c r="K15" s="231">
        <f>'Haver Pivoted'!GV63</f>
        <v>3.7</v>
      </c>
      <c r="L15" s="231">
        <f>'Haver Pivoted'!GW63</f>
        <v>12.9</v>
      </c>
      <c r="M15" s="231">
        <f>'Haver Pivoted'!GX63</f>
        <v>25.5</v>
      </c>
      <c r="N15" s="231">
        <f>'Haver Pivoted'!GY63</f>
        <v>3.8</v>
      </c>
      <c r="O15" s="231">
        <f>'Haver Pivoted'!GZ63</f>
        <v>1.8</v>
      </c>
      <c r="P15" s="231">
        <f>'Haver Pivoted'!HA63</f>
        <v>0.6</v>
      </c>
      <c r="Q15" s="231">
        <f>'Haver Pivoted'!HB63</f>
        <v>0.2</v>
      </c>
      <c r="R15" s="231">
        <f>'Haver Pivoted'!HC63</f>
        <v>0.1</v>
      </c>
      <c r="S15" s="233">
        <f>'Haver Pivoted'!HD63</f>
        <v>0</v>
      </c>
      <c r="T15" s="233">
        <f>'Haver Pivoted'!HE63</f>
        <v>0</v>
      </c>
      <c r="U15" s="233">
        <f>'Haver Pivoted'!HF63</f>
        <v>0</v>
      </c>
      <c r="V15" s="233">
        <f>'Haver Pivoted'!HG63</f>
        <v>0</v>
      </c>
      <c r="W15" s="233">
        <f>'Haver Pivoted'!HH63</f>
        <v>0</v>
      </c>
      <c r="X15" s="233">
        <f>'Haver Pivoted'!HI63</f>
        <v>0</v>
      </c>
      <c r="Y15" s="233">
        <f>'Haver Pivoted'!HJ63</f>
        <v>0</v>
      </c>
      <c r="Z15" s="233">
        <f>'Haver Pivoted'!HK63</f>
        <v>0</v>
      </c>
      <c r="AA15" s="233">
        <f>'Haver Pivoted'!HL63</f>
        <v>0</v>
      </c>
      <c r="AB15" s="233">
        <f>'Haver Pivoted'!HM63</f>
        <v>0</v>
      </c>
      <c r="AC15" s="221">
        <f t="shared" ref="AC15" si="10">AC13</f>
        <v>0</v>
      </c>
      <c r="AD15" s="221">
        <f t="shared" ref="AD15:AG15" si="11">AD13</f>
        <v>0</v>
      </c>
      <c r="AE15" s="221">
        <f t="shared" si="11"/>
        <v>0</v>
      </c>
      <c r="AF15" s="221">
        <f>AF13</f>
        <v>0</v>
      </c>
      <c r="AG15" s="221">
        <f t="shared" si="11"/>
        <v>0</v>
      </c>
      <c r="AH15" s="221">
        <f t="shared" ref="AH15:AJ15" si="12">AH13</f>
        <v>0</v>
      </c>
      <c r="AI15" s="221">
        <f t="shared" si="12"/>
        <v>0</v>
      </c>
      <c r="AJ15" s="221">
        <f t="shared" si="12"/>
        <v>0</v>
      </c>
      <c r="AK15" s="221">
        <f t="shared" ref="AK15:AN15" si="13">AK13</f>
        <v>0</v>
      </c>
      <c r="AL15" s="221">
        <f t="shared" si="13"/>
        <v>0</v>
      </c>
      <c r="AM15" s="221">
        <f t="shared" si="13"/>
        <v>0</v>
      </c>
      <c r="AN15" s="221">
        <f t="shared" si="13"/>
        <v>0</v>
      </c>
    </row>
    <row r="16" spans="2:41" ht="18" customHeight="1" x14ac:dyDescent="0.35">
      <c r="B16" s="240" t="s">
        <v>290</v>
      </c>
      <c r="C16" s="241" t="s">
        <v>291</v>
      </c>
      <c r="D16" s="262">
        <f>'Haver Pivoted'!GO59</f>
        <v>0</v>
      </c>
      <c r="E16" s="231">
        <f>'Haver Pivoted'!GP59</f>
        <v>0</v>
      </c>
      <c r="F16" s="231">
        <f>'Haver Pivoted'!GQ59</f>
        <v>0</v>
      </c>
      <c r="G16" s="231">
        <f>'Haver Pivoted'!GR59</f>
        <v>0</v>
      </c>
      <c r="H16" s="231">
        <f>'Haver Pivoted'!GS59</f>
        <v>0</v>
      </c>
      <c r="I16" s="231">
        <f>'Haver Pivoted'!GT59</f>
        <v>0</v>
      </c>
      <c r="J16" s="231">
        <f>'Haver Pivoted'!GU59</f>
        <v>6.3</v>
      </c>
      <c r="K16" s="231">
        <f>'Haver Pivoted'!GV59</f>
        <v>26.7</v>
      </c>
      <c r="L16" s="231">
        <f>'Haver Pivoted'!GW59</f>
        <v>82.1</v>
      </c>
      <c r="M16" s="231">
        <f>'Haver Pivoted'!GX59</f>
        <v>94.7</v>
      </c>
      <c r="N16" s="231">
        <f>'Haver Pivoted'!GY59</f>
        <v>92.1</v>
      </c>
      <c r="O16" s="231">
        <f>'Haver Pivoted'!GZ59</f>
        <v>51.6</v>
      </c>
      <c r="P16" s="231">
        <f>'Haver Pivoted'!HA59</f>
        <v>2.8</v>
      </c>
      <c r="Q16" s="231">
        <f>'Haver Pivoted'!HB59</f>
        <v>0.8</v>
      </c>
      <c r="R16" s="231">
        <f>'Haver Pivoted'!HC59</f>
        <v>0.5</v>
      </c>
      <c r="S16" s="233">
        <f>'Haver Pivoted'!HD59</f>
        <v>0.3</v>
      </c>
      <c r="T16" s="233">
        <f>'Haver Pivoted'!HE59</f>
        <v>0.2</v>
      </c>
      <c r="U16" s="233">
        <f>'Haver Pivoted'!HF59</f>
        <v>0</v>
      </c>
      <c r="V16" s="233">
        <f>'Haver Pivoted'!HG59</f>
        <v>0</v>
      </c>
      <c r="W16" s="233">
        <f>'Haver Pivoted'!HH59</f>
        <v>0</v>
      </c>
      <c r="X16" s="233">
        <f>'Haver Pivoted'!HI59</f>
        <v>0</v>
      </c>
      <c r="Y16" s="233">
        <f>'Haver Pivoted'!HJ59</f>
        <v>0</v>
      </c>
      <c r="Z16" s="233">
        <f>'Haver Pivoted'!HK59</f>
        <v>0</v>
      </c>
      <c r="AA16" s="233">
        <f>'Haver Pivoted'!HL59</f>
        <v>0</v>
      </c>
      <c r="AB16" s="233">
        <f>'Haver Pivoted'!HM59</f>
        <v>0</v>
      </c>
      <c r="AC16" s="221">
        <f t="shared" ref="AC16:AH18" si="14">AB16*AC$24/AB$24</f>
        <v>0</v>
      </c>
      <c r="AD16" s="221">
        <f t="shared" si="14"/>
        <v>0</v>
      </c>
      <c r="AE16" s="221">
        <f t="shared" si="14"/>
        <v>0</v>
      </c>
      <c r="AF16" s="221">
        <f t="shared" si="14"/>
        <v>0</v>
      </c>
      <c r="AG16" s="221">
        <f t="shared" si="14"/>
        <v>0</v>
      </c>
      <c r="AH16" s="221">
        <f t="shared" si="14"/>
        <v>0</v>
      </c>
      <c r="AI16" s="221">
        <f t="shared" ref="AI16:AI18" si="15">AH16*AI$24/AH$24</f>
        <v>0</v>
      </c>
      <c r="AJ16" s="221">
        <f t="shared" ref="AJ16:AJ18" si="16">AI16*AJ$24/AI$24</f>
        <v>0</v>
      </c>
      <c r="AK16" s="221">
        <f t="shared" ref="AK16:AK18" si="17">AJ16*AK$24/AJ$24</f>
        <v>0</v>
      </c>
      <c r="AL16" s="221">
        <f t="shared" ref="AL16:AL18" si="18">AK16*AL$24/AK$24</f>
        <v>0</v>
      </c>
      <c r="AM16" s="221">
        <f t="shared" ref="AM16:AM18" si="19">AL16*AM$24/AL$24</f>
        <v>0</v>
      </c>
      <c r="AN16" s="221">
        <f t="shared" ref="AN16:AN18" si="20">AM16*AN$24/AM$24</f>
        <v>0</v>
      </c>
    </row>
    <row r="17" spans="2:69" ht="18" customHeight="1" x14ac:dyDescent="0.35">
      <c r="B17" s="240" t="s">
        <v>292</v>
      </c>
      <c r="C17" s="241" t="s">
        <v>293</v>
      </c>
      <c r="D17" s="262">
        <f>'Haver Pivoted'!GO60</f>
        <v>0</v>
      </c>
      <c r="E17" s="231">
        <f>'Haver Pivoted'!GP60</f>
        <v>0</v>
      </c>
      <c r="F17" s="231">
        <f>'Haver Pivoted'!GQ60</f>
        <v>0</v>
      </c>
      <c r="G17" s="231">
        <f>'Haver Pivoted'!GR60</f>
        <v>0</v>
      </c>
      <c r="H17" s="231">
        <f>'Haver Pivoted'!GS60</f>
        <v>0</v>
      </c>
      <c r="I17" s="231">
        <f>'Haver Pivoted'!GT60</f>
        <v>0</v>
      </c>
      <c r="J17" s="231">
        <f>'Haver Pivoted'!GU60</f>
        <v>74.400000000000006</v>
      </c>
      <c r="K17" s="231">
        <f>'Haver Pivoted'!GV60</f>
        <v>138.30000000000001</v>
      </c>
      <c r="L17" s="231">
        <f>'Haver Pivoted'!GW60</f>
        <v>106.8</v>
      </c>
      <c r="M17" s="231">
        <f>'Haver Pivoted'!GX60</f>
        <v>89.2</v>
      </c>
      <c r="N17" s="231">
        <f>'Haver Pivoted'!GY60</f>
        <v>72.3</v>
      </c>
      <c r="O17" s="231">
        <f>'Haver Pivoted'!GZ60</f>
        <v>43.5</v>
      </c>
      <c r="P17" s="231">
        <f>'Haver Pivoted'!HA60</f>
        <v>2.1</v>
      </c>
      <c r="Q17" s="231">
        <f>'Haver Pivoted'!HB60</f>
        <v>0.8</v>
      </c>
      <c r="R17" s="231">
        <f>'Haver Pivoted'!HC60</f>
        <v>0.4</v>
      </c>
      <c r="S17" s="233">
        <f>'Haver Pivoted'!HD60</f>
        <v>0.2</v>
      </c>
      <c r="T17" s="233">
        <f>'Haver Pivoted'!HE60</f>
        <v>0.1</v>
      </c>
      <c r="U17" s="233">
        <f>'Haver Pivoted'!HF60</f>
        <v>0</v>
      </c>
      <c r="V17" s="233">
        <f>'Haver Pivoted'!HG60</f>
        <v>0</v>
      </c>
      <c r="W17" s="233">
        <f>'Haver Pivoted'!HH60</f>
        <v>0</v>
      </c>
      <c r="X17" s="233">
        <f>'Haver Pivoted'!HI60</f>
        <v>0</v>
      </c>
      <c r="Y17" s="233">
        <f>'Haver Pivoted'!HJ60</f>
        <v>0</v>
      </c>
      <c r="Z17" s="233">
        <f>'Haver Pivoted'!HK60</f>
        <v>0</v>
      </c>
      <c r="AA17" s="233">
        <f>'Haver Pivoted'!HL60</f>
        <v>0</v>
      </c>
      <c r="AB17" s="233">
        <f>'Haver Pivoted'!HM60</f>
        <v>0</v>
      </c>
      <c r="AC17" s="221">
        <f t="shared" si="14"/>
        <v>0</v>
      </c>
      <c r="AD17" s="221">
        <f t="shared" si="14"/>
        <v>0</v>
      </c>
      <c r="AE17" s="221">
        <f t="shared" si="14"/>
        <v>0</v>
      </c>
      <c r="AF17" s="221">
        <f t="shared" si="14"/>
        <v>0</v>
      </c>
      <c r="AG17" s="221">
        <f t="shared" si="14"/>
        <v>0</v>
      </c>
      <c r="AH17" s="221">
        <f t="shared" si="14"/>
        <v>0</v>
      </c>
      <c r="AI17" s="221">
        <f t="shared" si="15"/>
        <v>0</v>
      </c>
      <c r="AJ17" s="221">
        <f t="shared" si="16"/>
        <v>0</v>
      </c>
      <c r="AK17" s="221">
        <f t="shared" si="17"/>
        <v>0</v>
      </c>
      <c r="AL17" s="221">
        <f t="shared" si="18"/>
        <v>0</v>
      </c>
      <c r="AM17" s="221">
        <f t="shared" si="19"/>
        <v>0</v>
      </c>
      <c r="AN17" s="221">
        <f t="shared" si="20"/>
        <v>0</v>
      </c>
    </row>
    <row r="18" spans="2:69" ht="18" customHeight="1" x14ac:dyDescent="0.35">
      <c r="B18" s="240" t="s">
        <v>294</v>
      </c>
      <c r="C18" s="241" t="s">
        <v>295</v>
      </c>
      <c r="D18" s="262">
        <f>'Haver Pivoted'!GO61</f>
        <v>0</v>
      </c>
      <c r="E18" s="231">
        <f>'Haver Pivoted'!GP61</f>
        <v>0</v>
      </c>
      <c r="F18" s="231">
        <f>'Haver Pivoted'!GQ61</f>
        <v>0</v>
      </c>
      <c r="G18" s="231">
        <f>'Haver Pivoted'!GR61</f>
        <v>0</v>
      </c>
      <c r="H18" s="231">
        <f>'Haver Pivoted'!GS61</f>
        <v>0</v>
      </c>
      <c r="I18" s="231">
        <f>'Haver Pivoted'!GT61</f>
        <v>0</v>
      </c>
      <c r="J18" s="231">
        <f>'Haver Pivoted'!GU61</f>
        <v>698.9</v>
      </c>
      <c r="K18" s="231">
        <f>'Haver Pivoted'!GV61</f>
        <v>413.9</v>
      </c>
      <c r="L18" s="231">
        <f>'Haver Pivoted'!GW61</f>
        <v>14.7</v>
      </c>
      <c r="M18" s="231">
        <f>'Haver Pivoted'!GX61</f>
        <v>288.2</v>
      </c>
      <c r="N18" s="231">
        <f>'Haver Pivoted'!GY61</f>
        <v>233.3</v>
      </c>
      <c r="O18" s="231">
        <f>'Haver Pivoted'!GZ61</f>
        <v>110.5</v>
      </c>
      <c r="P18" s="231">
        <f>'Haver Pivoted'!HA61</f>
        <v>0</v>
      </c>
      <c r="Q18" s="231">
        <f>'Haver Pivoted'!HB61</f>
        <v>0</v>
      </c>
      <c r="R18" s="231">
        <f>'Haver Pivoted'!HC61</f>
        <v>0</v>
      </c>
      <c r="S18" s="233">
        <f>'Haver Pivoted'!HD61</f>
        <v>0</v>
      </c>
      <c r="T18" s="233">
        <f>'Haver Pivoted'!HE61</f>
        <v>0</v>
      </c>
      <c r="U18" s="233">
        <f>'Haver Pivoted'!HF61</f>
        <v>0</v>
      </c>
      <c r="V18" s="233">
        <f>'Haver Pivoted'!HG61</f>
        <v>0</v>
      </c>
      <c r="W18" s="233">
        <f>'Haver Pivoted'!HH61</f>
        <v>0</v>
      </c>
      <c r="X18" s="233">
        <f>'Haver Pivoted'!HI61</f>
        <v>0</v>
      </c>
      <c r="Y18" s="233">
        <f>'Haver Pivoted'!HJ61</f>
        <v>0</v>
      </c>
      <c r="Z18" s="233">
        <f>'Haver Pivoted'!HK61</f>
        <v>0</v>
      </c>
      <c r="AA18" s="233">
        <f>'Haver Pivoted'!HL61</f>
        <v>0</v>
      </c>
      <c r="AB18" s="233">
        <f>'Haver Pivoted'!HM61</f>
        <v>0</v>
      </c>
      <c r="AC18" s="221">
        <f t="shared" si="14"/>
        <v>0</v>
      </c>
      <c r="AD18" s="221">
        <f t="shared" si="14"/>
        <v>0</v>
      </c>
      <c r="AE18" s="221">
        <f t="shared" si="14"/>
        <v>0</v>
      </c>
      <c r="AF18" s="221">
        <f t="shared" si="14"/>
        <v>0</v>
      </c>
      <c r="AG18" s="221">
        <f t="shared" si="14"/>
        <v>0</v>
      </c>
      <c r="AH18" s="221">
        <f t="shared" si="14"/>
        <v>0</v>
      </c>
      <c r="AI18" s="221">
        <f t="shared" si="15"/>
        <v>0</v>
      </c>
      <c r="AJ18" s="221">
        <f t="shared" si="16"/>
        <v>0</v>
      </c>
      <c r="AK18" s="221">
        <f t="shared" si="17"/>
        <v>0</v>
      </c>
      <c r="AL18" s="221">
        <f t="shared" si="18"/>
        <v>0</v>
      </c>
      <c r="AM18" s="221">
        <f t="shared" si="19"/>
        <v>0</v>
      </c>
      <c r="AN18" s="221">
        <f t="shared" si="20"/>
        <v>0</v>
      </c>
    </row>
    <row r="19" spans="2:69" x14ac:dyDescent="0.35">
      <c r="B19" s="242" t="s">
        <v>158</v>
      </c>
      <c r="C19" s="235" t="s">
        <v>296</v>
      </c>
      <c r="D19" s="263">
        <f>'Haver Pivoted'!GO64</f>
        <v>0</v>
      </c>
      <c r="E19" s="219">
        <f>'Haver Pivoted'!GP64</f>
        <v>0</v>
      </c>
      <c r="F19" s="219">
        <f>'Haver Pivoted'!GQ64</f>
        <v>0</v>
      </c>
      <c r="G19" s="219">
        <f>'Haver Pivoted'!GR64</f>
        <v>0</v>
      </c>
      <c r="H19" s="219">
        <f>'Haver Pivoted'!GS64</f>
        <v>0</v>
      </c>
      <c r="I19" s="219">
        <f>'Haver Pivoted'!GT64</f>
        <v>0</v>
      </c>
      <c r="J19" s="219">
        <f>'Haver Pivoted'!GU64</f>
        <v>0</v>
      </c>
      <c r="K19" s="219">
        <f>'Haver Pivoted'!GV64</f>
        <v>106.2</v>
      </c>
      <c r="L19" s="219">
        <f>'Haver Pivoted'!GW64</f>
        <v>35.9</v>
      </c>
      <c r="M19" s="219">
        <f>'Haver Pivoted'!GX64</f>
        <v>1.6</v>
      </c>
      <c r="N19" s="219">
        <f>'Haver Pivoted'!GY64</f>
        <v>0.6</v>
      </c>
      <c r="O19" s="219">
        <f>'Haver Pivoted'!GZ64</f>
        <v>0.1</v>
      </c>
      <c r="P19" s="219">
        <f>'Haver Pivoted'!HA64</f>
        <v>0</v>
      </c>
      <c r="Q19" s="231">
        <f>'Haver Pivoted'!HB64</f>
        <v>0</v>
      </c>
      <c r="R19" s="231">
        <f>'Haver Pivoted'!HC64</f>
        <v>0</v>
      </c>
      <c r="S19" s="233">
        <f>'Haver Pivoted'!HD64</f>
        <v>0</v>
      </c>
      <c r="T19" s="233">
        <f>'Haver Pivoted'!HE64</f>
        <v>0</v>
      </c>
      <c r="U19" s="233">
        <f>'Haver Pivoted'!HF64</f>
        <v>0</v>
      </c>
      <c r="V19" s="233">
        <f>'Haver Pivoted'!HG64</f>
        <v>0</v>
      </c>
      <c r="W19" s="233">
        <f>'Haver Pivoted'!HH64</f>
        <v>0</v>
      </c>
      <c r="X19" s="233">
        <f>'Haver Pivoted'!HI64</f>
        <v>0</v>
      </c>
      <c r="Y19" s="233">
        <f>'Haver Pivoted'!HJ64</f>
        <v>0</v>
      </c>
      <c r="Z19" s="233">
        <f>'Haver Pivoted'!HK64</f>
        <v>0</v>
      </c>
      <c r="AA19" s="233">
        <f>'Haver Pivoted'!HL64</f>
        <v>0</v>
      </c>
      <c r="AB19" s="233">
        <f>'Haver Pivoted'!HM64</f>
        <v>0</v>
      </c>
      <c r="AC19" s="221"/>
      <c r="AD19" s="221"/>
      <c r="AE19" s="221"/>
      <c r="AF19" s="221"/>
      <c r="AG19" s="221"/>
      <c r="AH19" s="221"/>
      <c r="AI19" s="221"/>
      <c r="AJ19" s="221"/>
      <c r="AK19" s="221"/>
      <c r="AL19" s="221"/>
      <c r="AM19" s="221"/>
      <c r="AN19" s="221"/>
    </row>
    <row r="20" spans="2:69" ht="14.9" customHeight="1" x14ac:dyDescent="0.35">
      <c r="B20" s="258" t="s">
        <v>297</v>
      </c>
      <c r="C20" s="248"/>
      <c r="D20" s="252">
        <f t="shared" ref="D20:U20" si="21">D11-D21</f>
        <v>0</v>
      </c>
      <c r="E20" s="229">
        <f t="shared" si="21"/>
        <v>0</v>
      </c>
      <c r="F20" s="229">
        <f t="shared" si="21"/>
        <v>0</v>
      </c>
      <c r="G20" s="229">
        <f t="shared" si="21"/>
        <v>0</v>
      </c>
      <c r="H20" s="229">
        <f t="shared" si="21"/>
        <v>0</v>
      </c>
      <c r="I20" s="229">
        <f t="shared" si="21"/>
        <v>0</v>
      </c>
      <c r="J20" s="229">
        <f t="shared" si="21"/>
        <v>779.80000000000007</v>
      </c>
      <c r="K20" s="229">
        <f t="shared" si="21"/>
        <v>586.29999999999995</v>
      </c>
      <c r="L20" s="229">
        <f t="shared" si="21"/>
        <v>229.4</v>
      </c>
      <c r="M20" s="229">
        <f t="shared" si="21"/>
        <v>523.1</v>
      </c>
      <c r="N20" s="230">
        <f t="shared" si="21"/>
        <v>405.3</v>
      </c>
      <c r="O20" s="230">
        <f t="shared" si="21"/>
        <v>209.20000000000002</v>
      </c>
      <c r="P20" s="230">
        <f t="shared" si="21"/>
        <v>6.1000000000000014</v>
      </c>
      <c r="Q20" s="230">
        <f t="shared" si="21"/>
        <v>0.19999999999999929</v>
      </c>
      <c r="R20" s="230">
        <f t="shared" si="21"/>
        <v>1.1000000000000014</v>
      </c>
      <c r="S20" s="230">
        <f t="shared" si="21"/>
        <v>0.5</v>
      </c>
      <c r="T20" s="230">
        <f t="shared" si="21"/>
        <v>0.30000000000000071</v>
      </c>
      <c r="U20" s="230">
        <f t="shared" si="21"/>
        <v>0</v>
      </c>
      <c r="V20" s="229">
        <v>0</v>
      </c>
      <c r="W20" s="229">
        <v>0</v>
      </c>
      <c r="X20" s="234">
        <f t="shared" ref="X20:AH20" si="22">X11-X21</f>
        <v>4.632399999999997</v>
      </c>
      <c r="Y20" s="234">
        <f t="shared" si="22"/>
        <v>3.0799999999999947</v>
      </c>
      <c r="Z20" s="234">
        <f t="shared" si="22"/>
        <v>0</v>
      </c>
      <c r="AA20" s="234">
        <f t="shared" si="22"/>
        <v>0</v>
      </c>
      <c r="AB20" s="234">
        <f t="shared" si="22"/>
        <v>0.39999999999999858</v>
      </c>
      <c r="AC20" s="234">
        <f t="shared" si="22"/>
        <v>0</v>
      </c>
      <c r="AD20" s="234">
        <f t="shared" si="22"/>
        <v>0</v>
      </c>
      <c r="AE20" s="234">
        <f t="shared" si="22"/>
        <v>0</v>
      </c>
      <c r="AF20" s="234">
        <f t="shared" si="22"/>
        <v>0</v>
      </c>
      <c r="AG20" s="234">
        <f t="shared" si="22"/>
        <v>0</v>
      </c>
      <c r="AH20" s="234">
        <f t="shared" si="22"/>
        <v>0</v>
      </c>
      <c r="AI20" s="234">
        <f t="shared" ref="AI20:AJ20" si="23">AI11-AI21</f>
        <v>0</v>
      </c>
      <c r="AJ20" s="234">
        <f t="shared" si="23"/>
        <v>0</v>
      </c>
      <c r="AK20" s="234">
        <f t="shared" ref="AK20:AN20" si="24">AK11-AK21</f>
        <v>0</v>
      </c>
      <c r="AL20" s="234">
        <f t="shared" si="24"/>
        <v>0</v>
      </c>
      <c r="AM20" s="234">
        <f t="shared" si="24"/>
        <v>0</v>
      </c>
      <c r="AN20" s="234">
        <f t="shared" si="24"/>
        <v>0</v>
      </c>
    </row>
    <row r="21" spans="2:69" ht="14.9" customHeight="1" x14ac:dyDescent="0.35">
      <c r="B21" s="258" t="s">
        <v>298</v>
      </c>
      <c r="C21" s="248"/>
      <c r="D21" s="252">
        <f t="shared" ref="D21:I21" si="25">D11</f>
        <v>27.1</v>
      </c>
      <c r="E21" s="229">
        <f t="shared" si="25"/>
        <v>29.6</v>
      </c>
      <c r="F21" s="229">
        <f t="shared" si="25"/>
        <v>27.3</v>
      </c>
      <c r="G21" s="229">
        <f t="shared" si="25"/>
        <v>26.4</v>
      </c>
      <c r="H21" s="229">
        <f t="shared" si="25"/>
        <v>26.7</v>
      </c>
      <c r="I21" s="229">
        <f t="shared" si="25"/>
        <v>40.1</v>
      </c>
      <c r="J21" s="229">
        <f>J11-J14-J13</f>
        <v>171.69999999999996</v>
      </c>
      <c r="K21" s="229">
        <f>K11-K14-K13</f>
        <v>213.7</v>
      </c>
      <c r="L21" s="229">
        <f>L11-L14-L13</f>
        <v>93.299999999999983</v>
      </c>
      <c r="M21" s="229">
        <f>M11-M14-M13</f>
        <v>60.699999999999932</v>
      </c>
      <c r="N21" s="230">
        <f t="shared" ref="N21:U21" si="26">N11-N13-N14</f>
        <v>35.5</v>
      </c>
      <c r="O21" s="230">
        <f t="shared" si="26"/>
        <v>3.5999999999999943</v>
      </c>
      <c r="P21" s="230">
        <f t="shared" si="26"/>
        <v>25.7</v>
      </c>
      <c r="Q21" s="231">
        <f t="shared" si="26"/>
        <v>24.3</v>
      </c>
      <c r="R21" s="231">
        <f t="shared" si="26"/>
        <v>20.599999999999998</v>
      </c>
      <c r="S21" s="231">
        <f t="shared" si="26"/>
        <v>22.6</v>
      </c>
      <c r="T21" s="231">
        <f t="shared" si="26"/>
        <v>25.599999999999998</v>
      </c>
      <c r="U21" s="231">
        <f t="shared" si="26"/>
        <v>30.1</v>
      </c>
      <c r="V21" s="229">
        <f>U21*V24/U24</f>
        <v>30.960000000000004</v>
      </c>
      <c r="W21" s="229">
        <f>V21*W24/V24</f>
        <v>30.960000000000004</v>
      </c>
      <c r="X21" s="234">
        <f t="shared" ref="X21:Y21" si="27">W21*X24/W24</f>
        <v>30.6676</v>
      </c>
      <c r="Y21" s="234">
        <f t="shared" si="27"/>
        <v>31.820000000000004</v>
      </c>
      <c r="Z21" s="234">
        <v>34.9</v>
      </c>
      <c r="AA21" s="234">
        <v>35.700000000000003</v>
      </c>
      <c r="AB21" s="234">
        <v>35.700000000000003</v>
      </c>
      <c r="AC21" s="234">
        <v>35.700000000000003</v>
      </c>
      <c r="AD21" s="234">
        <v>35.700000000000003</v>
      </c>
      <c r="AE21" s="234">
        <v>35.700000000000003</v>
      </c>
      <c r="AF21" s="234">
        <v>35.700000000000003</v>
      </c>
      <c r="AG21" s="234">
        <v>35.700000000000003</v>
      </c>
      <c r="AH21" s="234">
        <v>35.700000000000003</v>
      </c>
      <c r="AI21" s="234">
        <v>35.700000000000003</v>
      </c>
      <c r="AJ21" s="234">
        <v>35.700000000000003</v>
      </c>
      <c r="AK21" s="234">
        <v>36.700000000000003</v>
      </c>
      <c r="AL21" s="234">
        <v>37.700000000000003</v>
      </c>
      <c r="AM21" s="234">
        <v>38.700000000000003</v>
      </c>
      <c r="AN21" s="234">
        <v>39.700000000000003</v>
      </c>
      <c r="AO21" s="253" t="s">
        <v>299</v>
      </c>
    </row>
    <row r="22" spans="2:69" x14ac:dyDescent="0.35">
      <c r="B22" s="242"/>
      <c r="C22" s="243"/>
      <c r="D22" s="262"/>
      <c r="E22" s="231"/>
      <c r="F22" s="231"/>
      <c r="G22" s="231"/>
      <c r="H22" s="227"/>
      <c r="I22" s="227"/>
      <c r="J22" s="227"/>
      <c r="K22" s="227"/>
      <c r="L22" s="227"/>
      <c r="M22" s="227"/>
      <c r="N22" s="227"/>
      <c r="O22" s="227"/>
      <c r="P22" s="227"/>
      <c r="Q22" s="227"/>
      <c r="R22" s="227"/>
      <c r="S22" s="227"/>
      <c r="T22" s="245"/>
      <c r="U22" s="227"/>
      <c r="V22" s="227"/>
      <c r="W22" s="221"/>
      <c r="X22" s="221"/>
      <c r="Y22" s="221"/>
      <c r="Z22" s="221"/>
      <c r="AA22" s="221"/>
      <c r="AB22" s="221"/>
      <c r="AC22" s="221"/>
      <c r="AD22" s="221"/>
      <c r="AE22" s="221"/>
      <c r="AF22" s="221"/>
      <c r="AG22" s="221"/>
      <c r="AH22" s="221"/>
      <c r="AI22" s="209"/>
      <c r="AJ22" s="209"/>
      <c r="AK22" s="209"/>
      <c r="AL22" s="209"/>
      <c r="AM22" s="209"/>
      <c r="AN22" s="209"/>
    </row>
    <row r="23" spans="2:69" x14ac:dyDescent="0.35">
      <c r="B23" s="276" t="s">
        <v>1966</v>
      </c>
      <c r="C23" s="243"/>
      <c r="D23" s="231"/>
      <c r="E23" s="231"/>
      <c r="F23" s="231"/>
      <c r="G23" s="231"/>
      <c r="H23" s="227"/>
      <c r="I23" s="227"/>
      <c r="J23" s="227"/>
      <c r="K23" s="227"/>
      <c r="L23" s="227"/>
      <c r="M23" s="227">
        <v>6.2329999999999997</v>
      </c>
      <c r="N23" s="227">
        <v>5.9329999999999998</v>
      </c>
      <c r="O23" s="227">
        <v>5.0659999999999998</v>
      </c>
      <c r="P23" s="227">
        <v>4.1660000000000004</v>
      </c>
      <c r="Q23" s="227">
        <v>3.8</v>
      </c>
      <c r="R23" s="227">
        <v>3.633</v>
      </c>
      <c r="S23" s="227">
        <v>3.5329999999999999</v>
      </c>
      <c r="T23" s="245">
        <v>3.5659999999999998</v>
      </c>
      <c r="U23" s="224">
        <v>3.5</v>
      </c>
      <c r="V23" s="224">
        <v>3.5659999999999998</v>
      </c>
      <c r="W23" s="223">
        <v>3.7</v>
      </c>
      <c r="X23" s="223">
        <v>3.7330000000000001</v>
      </c>
      <c r="Y23" s="223">
        <v>3.8</v>
      </c>
      <c r="Z23" s="223">
        <v>3.8809999999999998</v>
      </c>
      <c r="AA23" s="223">
        <v>3.915</v>
      </c>
      <c r="AB23" s="223">
        <v>3.9319999999999999</v>
      </c>
      <c r="AC23" s="223">
        <v>3.9569999999999999</v>
      </c>
      <c r="AD23" s="223">
        <v>3.9569999999999999</v>
      </c>
      <c r="AE23" s="223">
        <v>3.9750000000000001</v>
      </c>
      <c r="AF23" s="223">
        <v>4.0039999999999996</v>
      </c>
      <c r="AG23" s="223">
        <v>4.0780000000000003</v>
      </c>
      <c r="AH23" s="223">
        <v>4.1369999999999996</v>
      </c>
      <c r="AI23" s="281">
        <v>4.1870000000000003</v>
      </c>
      <c r="AJ23" s="281">
        <v>4.2279999999999998</v>
      </c>
      <c r="AK23" s="281">
        <v>4.2699999999999996</v>
      </c>
      <c r="AL23" s="281">
        <v>4.3049999999999997</v>
      </c>
      <c r="AM23" s="281">
        <v>4.34</v>
      </c>
      <c r="AN23" s="281">
        <v>4.3719999999999999</v>
      </c>
      <c r="AO23" s="235">
        <v>4.399</v>
      </c>
      <c r="AP23" s="235">
        <v>4.4189999999999996</v>
      </c>
      <c r="AQ23" s="235">
        <v>4.4359999999999999</v>
      </c>
      <c r="AR23" s="235">
        <v>4.4489999999999998</v>
      </c>
      <c r="AS23" s="235">
        <v>4.4630000000000001</v>
      </c>
      <c r="AT23" s="235">
        <v>4.4710000000000001</v>
      </c>
      <c r="AU23" s="235">
        <v>4.476</v>
      </c>
      <c r="AV23" s="235">
        <v>4.4790000000000001</v>
      </c>
      <c r="AW23" s="235">
        <v>4.484</v>
      </c>
      <c r="AX23" s="235">
        <v>4.4850000000000003</v>
      </c>
      <c r="AY23" s="235">
        <v>4.484</v>
      </c>
      <c r="AZ23" s="235">
        <v>4.4829999999999997</v>
      </c>
      <c r="BA23" s="235">
        <v>4.4829999999999997</v>
      </c>
      <c r="BB23" s="235">
        <v>4.4809999999999999</v>
      </c>
      <c r="BC23" s="235">
        <v>4.4779999999999998</v>
      </c>
      <c r="BD23" s="235">
        <v>4.4749999999999996</v>
      </c>
      <c r="BE23" s="235">
        <v>4.4749999999999996</v>
      </c>
      <c r="BF23" s="235">
        <v>4.4710000000000001</v>
      </c>
      <c r="BG23" s="235">
        <v>4.4669999999999996</v>
      </c>
      <c r="BH23" s="235">
        <v>4.4619999999999997</v>
      </c>
      <c r="BI23" s="235">
        <v>4.4589999999999996</v>
      </c>
      <c r="BJ23" s="235">
        <v>4.4539999999999997</v>
      </c>
      <c r="BK23" s="235">
        <v>4.4480000000000004</v>
      </c>
      <c r="BL23" s="235">
        <v>4.4429999999999996</v>
      </c>
      <c r="BM23" s="235">
        <v>4.4379999999999997</v>
      </c>
      <c r="BN23" s="235">
        <v>4.4329999999999998</v>
      </c>
      <c r="BO23" s="235">
        <v>4.4279999999999999</v>
      </c>
      <c r="BP23" s="235">
        <v>4.4219999999999997</v>
      </c>
      <c r="BQ23" s="235">
        <v>4.4219999999999997</v>
      </c>
    </row>
    <row r="24" spans="2:69" x14ac:dyDescent="0.35">
      <c r="B24" s="242" t="s">
        <v>1824</v>
      </c>
      <c r="C24" s="235"/>
      <c r="D24" s="263"/>
      <c r="E24" s="219"/>
      <c r="F24" s="219"/>
      <c r="G24" s="219"/>
      <c r="H24" s="227"/>
      <c r="I24" s="227"/>
      <c r="J24" s="227"/>
      <c r="K24" s="227"/>
      <c r="L24" s="227"/>
      <c r="M24" s="227">
        <f t="shared" ref="M24:U24" si="28">GETPIVOTDATA("Monthly UR",$E$30,"Quarters",M25,"Years",M26)</f>
        <v>6.166666666666667</v>
      </c>
      <c r="N24" s="227">
        <f t="shared" si="28"/>
        <v>5.7666666666666657</v>
      </c>
      <c r="O24" s="227">
        <f t="shared" si="28"/>
        <v>5.1333333333333337</v>
      </c>
      <c r="P24" s="227">
        <f t="shared" si="28"/>
        <v>4.2333333333333334</v>
      </c>
      <c r="Q24" s="227">
        <f t="shared" si="28"/>
        <v>3.8000000000000003</v>
      </c>
      <c r="R24" s="227">
        <f t="shared" si="28"/>
        <v>3.6</v>
      </c>
      <c r="S24" s="227">
        <f t="shared" si="28"/>
        <v>3.5666666666666664</v>
      </c>
      <c r="T24" s="227">
        <f t="shared" si="28"/>
        <v>3.6</v>
      </c>
      <c r="U24" s="228">
        <f t="shared" si="28"/>
        <v>3.5</v>
      </c>
      <c r="V24" s="236">
        <v>3.6</v>
      </c>
      <c r="W24" s="236">
        <v>3.6</v>
      </c>
      <c r="X24" s="236">
        <f>V23</f>
        <v>3.5659999999999998</v>
      </c>
      <c r="Y24" s="236">
        <f t="shared" ref="Y24:AC24" si="29">W23</f>
        <v>3.7</v>
      </c>
      <c r="Z24" s="236">
        <f t="shared" si="29"/>
        <v>3.7330000000000001</v>
      </c>
      <c r="AA24" s="236">
        <f t="shared" si="29"/>
        <v>3.8</v>
      </c>
      <c r="AB24" s="236">
        <f t="shared" si="29"/>
        <v>3.8809999999999998</v>
      </c>
      <c r="AC24" s="236">
        <f t="shared" si="29"/>
        <v>3.915</v>
      </c>
      <c r="AD24" s="236">
        <f>AB23</f>
        <v>3.9319999999999999</v>
      </c>
      <c r="AE24" s="236">
        <f t="shared" ref="AE24:AN24" si="30">AE23</f>
        <v>3.9750000000000001</v>
      </c>
      <c r="AF24" s="236">
        <f t="shared" si="30"/>
        <v>4.0039999999999996</v>
      </c>
      <c r="AG24" s="236">
        <f t="shared" si="30"/>
        <v>4.0780000000000003</v>
      </c>
      <c r="AH24" s="236">
        <f t="shared" si="30"/>
        <v>4.1369999999999996</v>
      </c>
      <c r="AI24" s="236">
        <f t="shared" si="30"/>
        <v>4.1870000000000003</v>
      </c>
      <c r="AJ24" s="236">
        <f t="shared" si="30"/>
        <v>4.2279999999999998</v>
      </c>
      <c r="AK24" s="236">
        <f t="shared" si="30"/>
        <v>4.2699999999999996</v>
      </c>
      <c r="AL24" s="236">
        <f t="shared" si="30"/>
        <v>4.3049999999999997</v>
      </c>
      <c r="AM24" s="236">
        <f t="shared" si="30"/>
        <v>4.34</v>
      </c>
      <c r="AN24" s="236">
        <f t="shared" si="30"/>
        <v>4.3719999999999999</v>
      </c>
    </row>
    <row r="25" spans="2:69" ht="15.75" customHeight="1" x14ac:dyDescent="0.35">
      <c r="B25" s="237" t="s">
        <v>1817</v>
      </c>
      <c r="C25" s="238"/>
      <c r="D25" s="239"/>
      <c r="E25" s="239"/>
      <c r="F25" s="239"/>
      <c r="G25" s="239"/>
      <c r="H25" s="239"/>
      <c r="I25" s="239"/>
      <c r="J25" s="239"/>
      <c r="K25" s="239"/>
      <c r="L25" s="239"/>
      <c r="M25" s="239">
        <v>1</v>
      </c>
      <c r="N25" s="239">
        <v>2</v>
      </c>
      <c r="O25" s="239">
        <v>3</v>
      </c>
      <c r="P25" s="239">
        <v>4</v>
      </c>
      <c r="Q25" s="239">
        <v>1</v>
      </c>
      <c r="R25" s="239">
        <v>2</v>
      </c>
      <c r="S25" s="239">
        <v>3</v>
      </c>
      <c r="T25" s="239">
        <v>4</v>
      </c>
      <c r="U25" s="239">
        <v>1</v>
      </c>
      <c r="V25" s="239">
        <v>2</v>
      </c>
      <c r="W25" s="239">
        <v>3</v>
      </c>
      <c r="X25" s="239">
        <v>4</v>
      </c>
      <c r="Y25" s="239">
        <v>1</v>
      </c>
      <c r="Z25" s="239">
        <v>2</v>
      </c>
      <c r="AA25" s="239">
        <v>3</v>
      </c>
      <c r="AB25" s="239">
        <v>4</v>
      </c>
      <c r="AC25" s="239">
        <v>1</v>
      </c>
      <c r="AD25" s="239">
        <v>2</v>
      </c>
      <c r="AE25" s="239">
        <v>3</v>
      </c>
      <c r="AF25" s="239">
        <v>4</v>
      </c>
      <c r="AG25" s="239">
        <v>1</v>
      </c>
      <c r="AH25" s="239">
        <v>2</v>
      </c>
      <c r="AI25" s="239">
        <v>3</v>
      </c>
      <c r="AJ25" s="239">
        <v>4</v>
      </c>
      <c r="AK25" s="239">
        <v>1</v>
      </c>
      <c r="AL25" s="239">
        <v>2</v>
      </c>
      <c r="AM25" s="239">
        <v>3</v>
      </c>
      <c r="AN25" s="239">
        <v>4</v>
      </c>
    </row>
    <row r="26" spans="2:69" x14ac:dyDescent="0.35">
      <c r="B26" s="249" t="s">
        <v>1818</v>
      </c>
      <c r="C26" s="250"/>
      <c r="D26" s="251"/>
      <c r="E26" s="251"/>
      <c r="F26" s="251"/>
      <c r="G26" s="251"/>
      <c r="H26" s="251"/>
      <c r="I26" s="251"/>
      <c r="J26" s="251"/>
      <c r="K26" s="251"/>
      <c r="L26" s="251"/>
      <c r="M26" s="251">
        <v>2021</v>
      </c>
      <c r="N26" s="251">
        <v>2021</v>
      </c>
      <c r="O26" s="251">
        <v>2021</v>
      </c>
      <c r="P26" s="251">
        <v>2021</v>
      </c>
      <c r="Q26" s="251">
        <v>2022</v>
      </c>
      <c r="R26" s="251">
        <v>2022</v>
      </c>
      <c r="S26" s="251">
        <v>2022</v>
      </c>
      <c r="T26" s="251">
        <v>2022</v>
      </c>
      <c r="U26" s="251">
        <v>2023</v>
      </c>
      <c r="V26" s="251">
        <v>2023</v>
      </c>
      <c r="W26" s="251">
        <v>2023</v>
      </c>
      <c r="X26" s="251">
        <v>2023</v>
      </c>
      <c r="Y26" s="251">
        <v>2024</v>
      </c>
      <c r="Z26" s="251">
        <v>2024</v>
      </c>
      <c r="AA26" s="251">
        <v>2024</v>
      </c>
      <c r="AB26" s="251">
        <v>2024</v>
      </c>
      <c r="AC26" s="251">
        <v>2025</v>
      </c>
      <c r="AD26" s="251">
        <v>2025</v>
      </c>
      <c r="AE26" s="251">
        <v>2025</v>
      </c>
      <c r="AF26" s="251">
        <v>2025</v>
      </c>
      <c r="AG26" s="251">
        <v>2026</v>
      </c>
      <c r="AH26" s="251">
        <v>2026</v>
      </c>
      <c r="AI26" s="251">
        <v>2026</v>
      </c>
      <c r="AJ26" s="251">
        <v>2026</v>
      </c>
      <c r="AK26" s="251">
        <v>2027</v>
      </c>
      <c r="AL26" s="251">
        <v>2027</v>
      </c>
      <c r="AM26" s="251">
        <v>2027</v>
      </c>
      <c r="AN26" s="251">
        <v>2027</v>
      </c>
    </row>
    <row r="27" spans="2:69" x14ac:dyDescent="0.35">
      <c r="B27" s="56"/>
      <c r="C27" s="235"/>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24"/>
    </row>
    <row r="28" spans="2:69" x14ac:dyDescent="0.35">
      <c r="C28" s="235"/>
      <c r="D28" s="219"/>
      <c r="E28" s="219"/>
      <c r="F28" s="219"/>
      <c r="G28" s="219"/>
      <c r="H28" s="227"/>
      <c r="I28" s="227"/>
      <c r="J28" s="227"/>
      <c r="K28" s="227"/>
      <c r="L28" s="227"/>
      <c r="M28" s="227"/>
      <c r="N28" s="227"/>
      <c r="O28" s="227"/>
      <c r="P28" s="227"/>
      <c r="AI28" s="224"/>
    </row>
    <row r="29" spans="2:69" x14ac:dyDescent="0.35">
      <c r="M29" s="235"/>
      <c r="N29" s="235"/>
      <c r="O29" s="235"/>
    </row>
    <row r="30" spans="2:69" ht="45" customHeight="1" x14ac:dyDescent="0.35">
      <c r="B30" s="269" t="s">
        <v>301</v>
      </c>
      <c r="C30" s="270" t="s">
        <v>302</v>
      </c>
      <c r="D30" s="267"/>
      <c r="E30" s="14" t="s">
        <v>1807</v>
      </c>
      <c r="F30" s="14" t="s">
        <v>1812</v>
      </c>
      <c r="G30" s="14"/>
      <c r="H30" s="14"/>
      <c r="I30" s="14"/>
      <c r="J30" s="14"/>
      <c r="O30" s="271"/>
    </row>
    <row r="31" spans="2:69" x14ac:dyDescent="0.35">
      <c r="B31" s="264">
        <v>44197</v>
      </c>
      <c r="C31" s="225">
        <v>6.3</v>
      </c>
      <c r="D31" s="268"/>
      <c r="E31" s="43" t="s">
        <v>1742</v>
      </c>
      <c r="F31" s="56"/>
      <c r="G31" s="56"/>
      <c r="H31" s="71"/>
      <c r="I31" s="56"/>
      <c r="J31" s="71"/>
      <c r="O31" s="235"/>
    </row>
    <row r="32" spans="2:69" x14ac:dyDescent="0.35">
      <c r="B32" s="264">
        <v>44228</v>
      </c>
      <c r="C32" s="225">
        <v>6.2</v>
      </c>
      <c r="D32" s="268"/>
      <c r="E32" s="112" t="s">
        <v>1808</v>
      </c>
      <c r="F32" s="208">
        <v>6.166666666666667</v>
      </c>
      <c r="G32" s="56"/>
      <c r="H32" s="71"/>
      <c r="I32" s="56"/>
      <c r="J32" s="71"/>
      <c r="O32" s="235"/>
    </row>
    <row r="33" spans="1:43" x14ac:dyDescent="0.35">
      <c r="B33" s="264">
        <v>44256</v>
      </c>
      <c r="C33" s="225">
        <v>6</v>
      </c>
      <c r="D33" s="268"/>
      <c r="E33" s="112" t="s">
        <v>1809</v>
      </c>
      <c r="F33" s="208">
        <v>5.7666666666666657</v>
      </c>
      <c r="G33" s="56"/>
      <c r="H33" s="71"/>
      <c r="I33" s="56"/>
      <c r="J33" s="71"/>
      <c r="O33" s="235"/>
    </row>
    <row r="34" spans="1:43" x14ac:dyDescent="0.35">
      <c r="B34" s="264">
        <v>44287</v>
      </c>
      <c r="C34" s="225">
        <v>6.1</v>
      </c>
      <c r="D34" s="268"/>
      <c r="E34" s="112" t="s">
        <v>1810</v>
      </c>
      <c r="F34" s="208">
        <v>5.1333333333333337</v>
      </c>
      <c r="G34" s="56"/>
      <c r="H34" s="71"/>
      <c r="I34" s="56"/>
      <c r="J34" s="71"/>
      <c r="O34" s="235"/>
    </row>
    <row r="35" spans="1:43" x14ac:dyDescent="0.35">
      <c r="A35" s="56"/>
      <c r="B35" s="264">
        <v>44317</v>
      </c>
      <c r="C35" s="225">
        <v>5.8</v>
      </c>
      <c r="D35" s="268"/>
      <c r="E35" s="112" t="s">
        <v>1811</v>
      </c>
      <c r="F35" s="208">
        <v>4.2333333333333334</v>
      </c>
      <c r="G35" s="56"/>
      <c r="H35" s="71"/>
      <c r="I35" s="56"/>
      <c r="J35" s="71"/>
      <c r="O35" s="235"/>
    </row>
    <row r="36" spans="1:43" x14ac:dyDescent="0.35">
      <c r="A36" s="56"/>
      <c r="B36" s="264">
        <v>44348</v>
      </c>
      <c r="C36" s="225">
        <v>5.4</v>
      </c>
      <c r="D36" s="268"/>
      <c r="E36" s="43" t="s">
        <v>1731</v>
      </c>
      <c r="F36" s="208"/>
      <c r="G36" s="56"/>
      <c r="H36" s="71"/>
      <c r="I36" s="56"/>
      <c r="J36" s="71"/>
      <c r="O36" s="235"/>
    </row>
    <row r="37" spans="1:43" x14ac:dyDescent="0.35">
      <c r="A37" s="56"/>
      <c r="B37" s="264">
        <v>44378</v>
      </c>
      <c r="C37" s="225">
        <v>5.4</v>
      </c>
      <c r="D37" s="268"/>
      <c r="E37" s="112" t="s">
        <v>1808</v>
      </c>
      <c r="F37" s="208">
        <v>3.8000000000000003</v>
      </c>
      <c r="G37" s="56"/>
      <c r="H37" s="71"/>
      <c r="I37" s="56"/>
      <c r="J37" s="71"/>
      <c r="O37" s="235"/>
    </row>
    <row r="38" spans="1:43" x14ac:dyDescent="0.35">
      <c r="A38" s="56"/>
      <c r="B38" s="264">
        <v>44409</v>
      </c>
      <c r="C38" s="225">
        <v>5.2</v>
      </c>
      <c r="D38" s="268"/>
      <c r="E38" s="112" t="s">
        <v>1809</v>
      </c>
      <c r="F38" s="208">
        <v>3.6</v>
      </c>
      <c r="G38" s="56"/>
      <c r="H38" s="71"/>
      <c r="I38" s="56"/>
      <c r="J38" s="71"/>
      <c r="O38" s="235"/>
    </row>
    <row r="39" spans="1:43" x14ac:dyDescent="0.35">
      <c r="A39" s="56"/>
      <c r="B39" s="264">
        <v>44440</v>
      </c>
      <c r="C39" s="225">
        <v>4.8</v>
      </c>
      <c r="D39" s="268"/>
      <c r="E39" s="112" t="s">
        <v>1810</v>
      </c>
      <c r="F39" s="208">
        <v>3.5666666666666664</v>
      </c>
      <c r="G39" s="56"/>
      <c r="H39" s="71"/>
      <c r="I39" s="56"/>
      <c r="J39" s="71"/>
      <c r="O39" s="235"/>
    </row>
    <row r="40" spans="1:43" x14ac:dyDescent="0.35">
      <c r="A40" s="56"/>
      <c r="B40" s="264">
        <v>44470</v>
      </c>
      <c r="C40" s="225">
        <v>4.5999999999999996</v>
      </c>
      <c r="D40" s="268"/>
      <c r="E40" s="112" t="s">
        <v>1811</v>
      </c>
      <c r="F40" s="208">
        <v>3.6</v>
      </c>
      <c r="G40" s="56"/>
      <c r="H40" s="71"/>
      <c r="I40" s="56"/>
      <c r="J40" s="71"/>
      <c r="O40" s="235"/>
    </row>
    <row r="41" spans="1:43" x14ac:dyDescent="0.35">
      <c r="A41" s="56"/>
      <c r="B41" s="264">
        <v>44501</v>
      </c>
      <c r="C41" s="225">
        <v>4.2</v>
      </c>
      <c r="D41" s="268"/>
      <c r="E41" s="43" t="s">
        <v>1813</v>
      </c>
      <c r="F41" s="208"/>
      <c r="G41" s="56"/>
      <c r="H41" s="71"/>
      <c r="I41" s="56"/>
      <c r="J41" s="71"/>
      <c r="O41" s="235"/>
      <c r="AI41" s="235"/>
      <c r="AJ41" s="235"/>
      <c r="AK41" s="235"/>
      <c r="AL41" s="235"/>
      <c r="AM41" s="235"/>
      <c r="AN41" s="235"/>
      <c r="AO41" s="235"/>
      <c r="AP41" s="235"/>
      <c r="AQ41" s="235"/>
    </row>
    <row r="42" spans="1:43" x14ac:dyDescent="0.35">
      <c r="A42" s="56"/>
      <c r="B42" s="264">
        <v>44531</v>
      </c>
      <c r="C42" s="225">
        <v>3.9</v>
      </c>
      <c r="D42" s="268"/>
      <c r="E42" s="112" t="s">
        <v>1808</v>
      </c>
      <c r="F42" s="208">
        <v>3.5</v>
      </c>
      <c r="G42" s="56"/>
      <c r="H42" s="71"/>
      <c r="I42" s="56"/>
      <c r="J42" s="71"/>
      <c r="O42" s="235"/>
      <c r="AI42" s="235"/>
      <c r="AJ42" s="235"/>
      <c r="AK42" s="235"/>
      <c r="AL42" s="235"/>
      <c r="AM42" s="235"/>
      <c r="AN42" s="235"/>
      <c r="AO42" s="235"/>
      <c r="AP42" s="235"/>
      <c r="AQ42" s="235"/>
    </row>
    <row r="43" spans="1:43" x14ac:dyDescent="0.35">
      <c r="A43" s="56"/>
      <c r="B43" s="264">
        <v>44562</v>
      </c>
      <c r="C43" s="225">
        <v>4</v>
      </c>
      <c r="D43" s="56"/>
      <c r="E43" s="112" t="s">
        <v>1809</v>
      </c>
      <c r="F43" s="208"/>
      <c r="G43" s="56"/>
      <c r="H43" s="71"/>
      <c r="I43" s="56"/>
      <c r="J43" s="71"/>
      <c r="O43" s="235"/>
    </row>
    <row r="44" spans="1:43" x14ac:dyDescent="0.35">
      <c r="A44" s="56"/>
      <c r="B44" s="264">
        <v>44593</v>
      </c>
      <c r="C44" s="225">
        <v>3.8</v>
      </c>
      <c r="D44" s="56"/>
      <c r="E44" s="112" t="s">
        <v>1810</v>
      </c>
      <c r="F44" s="208"/>
      <c r="G44" s="56"/>
      <c r="H44" s="71"/>
      <c r="I44" s="56"/>
      <c r="J44" s="71"/>
    </row>
    <row r="45" spans="1:43" x14ac:dyDescent="0.35">
      <c r="A45" s="56"/>
      <c r="B45" s="264">
        <v>44621</v>
      </c>
      <c r="C45" s="225">
        <v>3.6</v>
      </c>
      <c r="D45" s="56"/>
      <c r="E45" s="112" t="s">
        <v>1811</v>
      </c>
      <c r="F45" s="208"/>
      <c r="G45" s="56"/>
      <c r="H45" s="71"/>
      <c r="I45" s="56"/>
      <c r="J45" s="71"/>
    </row>
    <row r="46" spans="1:43" x14ac:dyDescent="0.35">
      <c r="A46" s="56"/>
      <c r="B46" s="264">
        <v>44652</v>
      </c>
      <c r="C46" s="225">
        <v>3.6</v>
      </c>
      <c r="D46" s="56"/>
      <c r="E46" s="43" t="s">
        <v>1814</v>
      </c>
      <c r="F46" s="208"/>
      <c r="G46" s="56"/>
      <c r="H46" s="71"/>
      <c r="I46" s="56"/>
      <c r="J46" s="71"/>
    </row>
    <row r="47" spans="1:43" x14ac:dyDescent="0.35">
      <c r="A47" s="56"/>
      <c r="B47" s="264">
        <v>44682</v>
      </c>
      <c r="C47" s="225">
        <v>3.6</v>
      </c>
      <c r="D47" s="56"/>
      <c r="E47" s="112" t="s">
        <v>1808</v>
      </c>
      <c r="F47" s="208"/>
      <c r="G47" s="56"/>
      <c r="H47" s="71"/>
      <c r="I47" s="56"/>
      <c r="J47" s="71"/>
    </row>
    <row r="48" spans="1:43" x14ac:dyDescent="0.35">
      <c r="A48" s="56"/>
      <c r="B48" s="264">
        <v>44713</v>
      </c>
      <c r="C48" s="225">
        <v>3.6</v>
      </c>
      <c r="D48" s="56"/>
      <c r="E48" s="112" t="s">
        <v>1809</v>
      </c>
      <c r="F48" s="208"/>
      <c r="G48" s="56"/>
      <c r="H48" s="71"/>
      <c r="I48" s="56"/>
      <c r="J48" s="71"/>
    </row>
    <row r="49" spans="1:10" x14ac:dyDescent="0.35">
      <c r="A49" s="56"/>
      <c r="B49" s="264">
        <v>44743</v>
      </c>
      <c r="C49" s="225">
        <v>3.5</v>
      </c>
      <c r="D49" s="56"/>
      <c r="E49" s="112" t="s">
        <v>1810</v>
      </c>
      <c r="F49" s="208"/>
      <c r="G49" s="56"/>
      <c r="H49" s="71"/>
      <c r="I49" s="56"/>
      <c r="J49" s="71"/>
    </row>
    <row r="50" spans="1:10" x14ac:dyDescent="0.35">
      <c r="A50" s="56"/>
      <c r="B50" s="264">
        <v>44774</v>
      </c>
      <c r="C50" s="225">
        <v>3.7</v>
      </c>
      <c r="D50" s="56"/>
      <c r="E50" s="112" t="s">
        <v>1811</v>
      </c>
      <c r="F50" s="208"/>
      <c r="G50" s="56"/>
      <c r="H50" s="71"/>
      <c r="I50" s="56"/>
      <c r="J50" s="71"/>
    </row>
    <row r="51" spans="1:10" x14ac:dyDescent="0.35">
      <c r="A51" s="56"/>
      <c r="B51" s="264">
        <v>44805</v>
      </c>
      <c r="C51" s="225">
        <v>3.5</v>
      </c>
      <c r="D51" s="56"/>
      <c r="E51" s="43" t="s">
        <v>1815</v>
      </c>
      <c r="F51" s="208"/>
      <c r="G51" s="56"/>
      <c r="H51" s="56"/>
      <c r="I51" s="56"/>
      <c r="J51" s="56"/>
    </row>
    <row r="52" spans="1:10" x14ac:dyDescent="0.35">
      <c r="A52" s="56"/>
      <c r="B52" s="264">
        <v>44835</v>
      </c>
      <c r="C52" s="225">
        <v>3.7</v>
      </c>
      <c r="D52" s="56"/>
      <c r="E52" s="112" t="s">
        <v>1808</v>
      </c>
      <c r="F52" s="208"/>
      <c r="G52" s="56"/>
      <c r="H52" s="56"/>
      <c r="I52" s="56"/>
      <c r="J52" s="56"/>
    </row>
    <row r="53" spans="1:10" x14ac:dyDescent="0.35">
      <c r="A53" s="56"/>
      <c r="B53" s="264">
        <v>44866</v>
      </c>
      <c r="C53" s="225">
        <v>3.6</v>
      </c>
      <c r="D53" s="56"/>
      <c r="E53" s="112" t="s">
        <v>1809</v>
      </c>
      <c r="F53" s="208"/>
      <c r="G53" s="56"/>
      <c r="H53" s="56"/>
      <c r="I53" s="56"/>
      <c r="J53" s="56"/>
    </row>
    <row r="54" spans="1:10" x14ac:dyDescent="0.35">
      <c r="A54" s="56"/>
      <c r="B54" s="264">
        <v>44896</v>
      </c>
      <c r="C54" s="225">
        <v>3.5</v>
      </c>
      <c r="D54" s="56"/>
      <c r="E54" s="112" t="s">
        <v>1810</v>
      </c>
      <c r="F54" s="208"/>
      <c r="G54" s="56"/>
      <c r="H54" s="56"/>
      <c r="I54" s="56"/>
      <c r="J54" s="56"/>
    </row>
    <row r="55" spans="1:10" x14ac:dyDescent="0.35">
      <c r="B55" s="264">
        <v>44927</v>
      </c>
      <c r="C55" s="225">
        <v>3.4</v>
      </c>
      <c r="D55" s="56"/>
      <c r="E55" s="112" t="s">
        <v>1811</v>
      </c>
      <c r="F55" s="208"/>
      <c r="G55" s="56"/>
      <c r="H55" s="56"/>
      <c r="I55" s="56"/>
      <c r="J55" s="56"/>
    </row>
    <row r="56" spans="1:10" x14ac:dyDescent="0.35">
      <c r="B56" s="264">
        <v>44958</v>
      </c>
      <c r="C56" s="225">
        <v>3.6</v>
      </c>
      <c r="D56" s="56"/>
      <c r="E56" s="43" t="s">
        <v>1816</v>
      </c>
      <c r="F56" s="208"/>
      <c r="G56" s="56"/>
      <c r="H56" s="56"/>
      <c r="I56" s="56"/>
      <c r="J56" s="56"/>
    </row>
    <row r="57" spans="1:10" x14ac:dyDescent="0.35">
      <c r="B57" s="264">
        <v>44986</v>
      </c>
      <c r="C57" s="225">
        <v>3.5</v>
      </c>
      <c r="D57" s="56"/>
      <c r="E57" s="112" t="s">
        <v>1808</v>
      </c>
      <c r="F57" s="208"/>
      <c r="G57" s="56"/>
      <c r="H57" s="56"/>
      <c r="I57" s="56"/>
      <c r="J57" s="56"/>
    </row>
    <row r="58" spans="1:10" x14ac:dyDescent="0.35">
      <c r="B58" s="264">
        <v>45017</v>
      </c>
      <c r="C58" s="225"/>
      <c r="D58" s="56"/>
      <c r="E58" s="112" t="s">
        <v>1809</v>
      </c>
      <c r="F58" s="208"/>
      <c r="G58" s="56"/>
      <c r="H58" s="56"/>
      <c r="I58" s="56"/>
      <c r="J58" s="56"/>
    </row>
    <row r="59" spans="1:10" x14ac:dyDescent="0.35">
      <c r="B59" s="264">
        <v>45047</v>
      </c>
      <c r="C59" s="225"/>
      <c r="D59" s="56"/>
      <c r="E59" s="112" t="s">
        <v>1810</v>
      </c>
      <c r="F59" s="208"/>
      <c r="G59" s="56"/>
      <c r="H59" s="56"/>
      <c r="I59" s="56"/>
      <c r="J59" s="56"/>
    </row>
    <row r="60" spans="1:10" x14ac:dyDescent="0.35">
      <c r="B60" s="264">
        <v>45078</v>
      </c>
      <c r="C60" s="225"/>
      <c r="D60" s="56"/>
      <c r="E60" s="112" t="s">
        <v>1811</v>
      </c>
      <c r="F60" s="208"/>
      <c r="G60" s="56"/>
      <c r="H60" s="56"/>
      <c r="I60" s="56"/>
      <c r="J60" s="56"/>
    </row>
    <row r="61" spans="1:10" x14ac:dyDescent="0.35">
      <c r="B61" s="264">
        <v>45108</v>
      </c>
      <c r="C61" s="225"/>
      <c r="D61" s="56"/>
      <c r="E61" s="56"/>
      <c r="F61" s="56"/>
      <c r="G61" s="56"/>
      <c r="H61" s="56"/>
      <c r="I61" s="56"/>
      <c r="J61" s="56"/>
    </row>
    <row r="62" spans="1:10" x14ac:dyDescent="0.35">
      <c r="B62" s="264">
        <v>45139</v>
      </c>
      <c r="C62" s="225"/>
      <c r="D62" s="56"/>
      <c r="E62" s="56"/>
      <c r="F62" s="56"/>
      <c r="G62" s="56"/>
      <c r="H62" s="56"/>
      <c r="I62" s="56"/>
      <c r="J62" s="56"/>
    </row>
    <row r="63" spans="1:10" x14ac:dyDescent="0.35">
      <c r="B63" s="264">
        <v>45170</v>
      </c>
      <c r="C63" s="225"/>
      <c r="D63" s="56"/>
      <c r="E63" s="56"/>
      <c r="F63" s="56"/>
      <c r="G63" s="56"/>
      <c r="H63" s="56"/>
      <c r="I63" s="56"/>
      <c r="J63" s="56"/>
    </row>
    <row r="64" spans="1:10" x14ac:dyDescent="0.35">
      <c r="B64" s="264">
        <v>45200</v>
      </c>
      <c r="C64" s="225"/>
      <c r="D64" s="56"/>
      <c r="E64" s="56"/>
      <c r="F64" s="56"/>
      <c r="G64" s="56"/>
      <c r="H64" s="56"/>
      <c r="I64" s="56"/>
      <c r="J64" s="56"/>
    </row>
    <row r="65" spans="2:10" x14ac:dyDescent="0.35">
      <c r="B65" s="264">
        <v>45231</v>
      </c>
      <c r="C65" s="225"/>
      <c r="D65" s="56"/>
      <c r="E65" s="56"/>
      <c r="F65" s="56"/>
      <c r="G65" s="56"/>
      <c r="H65" s="56"/>
      <c r="I65" s="56"/>
      <c r="J65" s="56"/>
    </row>
    <row r="66" spans="2:10" x14ac:dyDescent="0.35">
      <c r="B66" s="264">
        <v>45261</v>
      </c>
      <c r="C66" s="225"/>
      <c r="D66" s="56"/>
      <c r="E66" s="56"/>
      <c r="F66" s="56"/>
      <c r="G66" s="56"/>
      <c r="H66" s="56"/>
      <c r="I66" s="56"/>
      <c r="J66" s="56"/>
    </row>
    <row r="67" spans="2:10" x14ac:dyDescent="0.35">
      <c r="B67" s="264">
        <v>45292</v>
      </c>
      <c r="C67" s="225"/>
      <c r="D67" s="56"/>
      <c r="E67" s="56"/>
      <c r="F67" s="56"/>
      <c r="G67" s="56"/>
      <c r="H67" s="56"/>
      <c r="I67" s="56"/>
      <c r="J67" s="56"/>
    </row>
    <row r="68" spans="2:10" x14ac:dyDescent="0.35">
      <c r="B68" s="264">
        <v>45323</v>
      </c>
      <c r="C68" s="225"/>
      <c r="D68" s="56"/>
      <c r="E68" s="56"/>
      <c r="F68" s="56"/>
      <c r="G68" s="56"/>
      <c r="H68" s="56"/>
      <c r="I68" s="56"/>
      <c r="J68" s="56"/>
    </row>
    <row r="69" spans="2:10" x14ac:dyDescent="0.35">
      <c r="B69" s="264">
        <v>45352</v>
      </c>
      <c r="C69" s="225"/>
      <c r="D69" s="56"/>
      <c r="E69" s="56"/>
      <c r="F69" s="56"/>
      <c r="G69" s="56"/>
      <c r="H69" s="56"/>
      <c r="I69" s="56"/>
      <c r="J69" s="56"/>
    </row>
    <row r="70" spans="2:10" x14ac:dyDescent="0.35">
      <c r="B70" s="264">
        <v>45383</v>
      </c>
      <c r="C70" s="225"/>
      <c r="D70" s="56"/>
      <c r="E70" s="56"/>
      <c r="F70" s="56"/>
      <c r="G70" s="56"/>
      <c r="H70" s="56"/>
      <c r="I70" s="56"/>
      <c r="J70" s="56"/>
    </row>
    <row r="71" spans="2:10" x14ac:dyDescent="0.35">
      <c r="B71" s="264">
        <v>45413</v>
      </c>
      <c r="C71" s="225"/>
      <c r="D71" s="56"/>
      <c r="E71" s="56"/>
      <c r="F71" s="56"/>
      <c r="G71" s="56"/>
      <c r="H71" s="56"/>
      <c r="I71" s="56"/>
      <c r="J71" s="56"/>
    </row>
    <row r="72" spans="2:10" x14ac:dyDescent="0.35">
      <c r="B72" s="264">
        <v>45444</v>
      </c>
      <c r="C72" s="225"/>
      <c r="D72" s="56"/>
      <c r="E72" s="56"/>
      <c r="F72" s="56"/>
      <c r="G72" s="56"/>
      <c r="H72" s="56"/>
      <c r="I72" s="56"/>
      <c r="J72" s="56"/>
    </row>
    <row r="73" spans="2:10" x14ac:dyDescent="0.35">
      <c r="B73" s="264">
        <v>45474</v>
      </c>
      <c r="C73" s="225"/>
      <c r="D73" s="56"/>
      <c r="E73" s="56"/>
      <c r="F73" s="56"/>
      <c r="G73" s="56"/>
      <c r="H73" s="56"/>
      <c r="I73" s="56"/>
      <c r="J73" s="56"/>
    </row>
    <row r="74" spans="2:10" x14ac:dyDescent="0.35">
      <c r="B74" s="264">
        <v>45505</v>
      </c>
      <c r="C74" s="225"/>
      <c r="D74" s="56"/>
      <c r="E74" s="56"/>
      <c r="F74" s="56"/>
      <c r="G74" s="56"/>
      <c r="H74" s="56"/>
      <c r="I74" s="56"/>
      <c r="J74" s="56"/>
    </row>
    <row r="75" spans="2:10" x14ac:dyDescent="0.35">
      <c r="B75" s="264">
        <v>45536</v>
      </c>
      <c r="C75" s="225"/>
      <c r="D75" s="56"/>
      <c r="E75" s="56"/>
      <c r="F75" s="56"/>
      <c r="G75" s="56"/>
      <c r="H75" s="56"/>
      <c r="I75" s="56"/>
      <c r="J75" s="56"/>
    </row>
    <row r="76" spans="2:10" x14ac:dyDescent="0.35">
      <c r="B76" s="264">
        <v>45566</v>
      </c>
      <c r="C76" s="225"/>
      <c r="D76" s="56"/>
      <c r="E76" s="56"/>
      <c r="F76" s="56"/>
      <c r="G76" s="56"/>
      <c r="H76" s="56"/>
      <c r="I76" s="56"/>
      <c r="J76" s="56"/>
    </row>
    <row r="77" spans="2:10" x14ac:dyDescent="0.35">
      <c r="B77" s="264">
        <v>45597</v>
      </c>
      <c r="C77" s="225"/>
      <c r="D77" s="56"/>
      <c r="E77" s="56"/>
      <c r="F77" s="56"/>
      <c r="G77" s="56"/>
      <c r="H77" s="56"/>
      <c r="I77" s="56"/>
      <c r="J77" s="56"/>
    </row>
    <row r="78" spans="2:10" x14ac:dyDescent="0.35">
      <c r="B78" s="264">
        <v>45627</v>
      </c>
      <c r="C78" s="225"/>
      <c r="D78" s="56"/>
      <c r="E78" s="56"/>
      <c r="F78" s="56"/>
      <c r="G78" s="56"/>
      <c r="H78" s="56"/>
      <c r="I78" s="56"/>
      <c r="J78" s="56"/>
    </row>
    <row r="79" spans="2:10" x14ac:dyDescent="0.35">
      <c r="B79" s="264">
        <v>45658</v>
      </c>
      <c r="C79" s="225"/>
      <c r="D79" s="56"/>
      <c r="E79" s="56"/>
      <c r="F79" s="56"/>
      <c r="G79" s="56"/>
      <c r="H79" s="56"/>
      <c r="I79" s="56"/>
      <c r="J79" s="56"/>
    </row>
    <row r="80" spans="2:10" x14ac:dyDescent="0.35">
      <c r="B80" s="264">
        <v>45689</v>
      </c>
      <c r="C80" s="225"/>
      <c r="D80" s="56"/>
      <c r="E80" s="56"/>
      <c r="F80" s="56"/>
      <c r="G80" s="56"/>
      <c r="H80" s="56"/>
      <c r="I80" s="56"/>
      <c r="J80" s="56"/>
    </row>
    <row r="81" spans="2:10" x14ac:dyDescent="0.35">
      <c r="B81" s="264">
        <v>45717</v>
      </c>
      <c r="C81" s="225"/>
      <c r="D81" s="56"/>
      <c r="E81" s="56"/>
      <c r="F81" s="56"/>
      <c r="G81" s="56"/>
      <c r="H81" s="56"/>
      <c r="I81" s="56"/>
      <c r="J81" s="56"/>
    </row>
    <row r="82" spans="2:10" x14ac:dyDescent="0.35">
      <c r="B82" s="264">
        <v>45748</v>
      </c>
      <c r="C82" s="225"/>
      <c r="D82" s="56"/>
      <c r="E82" s="56"/>
      <c r="F82" s="56"/>
      <c r="G82" s="56"/>
      <c r="H82" s="56"/>
      <c r="I82" s="56"/>
      <c r="J82" s="56"/>
    </row>
    <row r="83" spans="2:10" x14ac:dyDescent="0.35">
      <c r="B83" s="264">
        <v>45778</v>
      </c>
      <c r="C83" s="225"/>
      <c r="D83" s="56"/>
      <c r="E83" s="56"/>
      <c r="F83" s="56"/>
      <c r="G83" s="56"/>
      <c r="H83" s="56"/>
      <c r="I83" s="56"/>
      <c r="J83" s="56"/>
    </row>
    <row r="84" spans="2:10" x14ac:dyDescent="0.35">
      <c r="B84" s="264">
        <v>45809</v>
      </c>
      <c r="C84" s="225"/>
      <c r="D84" s="56"/>
      <c r="E84" s="56"/>
      <c r="F84" s="56"/>
      <c r="G84" s="56"/>
      <c r="H84" s="56"/>
      <c r="I84" s="56"/>
      <c r="J84" s="56"/>
    </row>
    <row r="85" spans="2:10" x14ac:dyDescent="0.35">
      <c r="B85" s="264">
        <v>45839</v>
      </c>
      <c r="C85" s="225"/>
      <c r="D85" s="56"/>
      <c r="E85" s="56"/>
      <c r="F85" s="56"/>
      <c r="G85" s="56"/>
      <c r="H85" s="56"/>
      <c r="I85" s="56"/>
      <c r="J85" s="56"/>
    </row>
    <row r="86" spans="2:10" x14ac:dyDescent="0.35">
      <c r="B86" s="264">
        <v>45870</v>
      </c>
      <c r="C86" s="225"/>
      <c r="D86" s="56"/>
      <c r="E86" s="56"/>
      <c r="F86" s="56"/>
      <c r="G86" s="56"/>
      <c r="H86" s="56"/>
      <c r="I86" s="56"/>
      <c r="J86" s="56"/>
    </row>
    <row r="87" spans="2:10" x14ac:dyDescent="0.35">
      <c r="B87" s="264">
        <v>45901</v>
      </c>
      <c r="C87" s="225"/>
      <c r="D87" s="56"/>
      <c r="E87" s="56"/>
      <c r="F87" s="56"/>
      <c r="G87" s="56"/>
      <c r="H87" s="56"/>
      <c r="I87" s="56"/>
      <c r="J87" s="56"/>
    </row>
    <row r="88" spans="2:10" x14ac:dyDescent="0.35">
      <c r="B88" s="264">
        <v>45931</v>
      </c>
      <c r="C88" s="225"/>
      <c r="D88" s="56"/>
      <c r="E88" s="56"/>
      <c r="F88" s="56"/>
      <c r="G88" s="56"/>
      <c r="H88" s="56"/>
      <c r="I88" s="56"/>
      <c r="J88" s="56"/>
    </row>
    <row r="89" spans="2:10" x14ac:dyDescent="0.35">
      <c r="B89" s="264">
        <v>45962</v>
      </c>
      <c r="C89" s="225"/>
      <c r="D89" s="56"/>
      <c r="E89" s="56"/>
      <c r="F89" s="56"/>
      <c r="G89" s="56"/>
      <c r="H89" s="56"/>
      <c r="I89" s="56"/>
      <c r="J89" s="56"/>
    </row>
    <row r="90" spans="2:10" x14ac:dyDescent="0.35">
      <c r="B90" s="264">
        <v>45992</v>
      </c>
      <c r="C90" s="225"/>
      <c r="D90" s="56"/>
      <c r="E90" s="56"/>
      <c r="F90" s="56"/>
      <c r="G90" s="56"/>
      <c r="H90" s="56"/>
      <c r="I90" s="56"/>
      <c r="J90" s="56"/>
    </row>
    <row r="91" spans="2:10" x14ac:dyDescent="0.35">
      <c r="B91" s="264">
        <v>46023</v>
      </c>
      <c r="C91" s="225"/>
      <c r="D91" s="56"/>
      <c r="E91" s="56"/>
      <c r="F91" s="56"/>
      <c r="G91" s="56"/>
      <c r="H91" s="56"/>
      <c r="I91" s="56"/>
      <c r="J91" s="56"/>
    </row>
    <row r="92" spans="2:10" x14ac:dyDescent="0.35">
      <c r="B92" s="264">
        <v>46054</v>
      </c>
      <c r="C92" s="225"/>
      <c r="D92" s="56"/>
      <c r="E92" s="56"/>
      <c r="F92" s="56"/>
      <c r="G92" s="56"/>
      <c r="H92" s="56"/>
      <c r="I92" s="56"/>
      <c r="J92" s="56"/>
    </row>
    <row r="93" spans="2:10" x14ac:dyDescent="0.35">
      <c r="B93" s="264">
        <v>46082</v>
      </c>
      <c r="C93" s="225"/>
      <c r="D93" s="56"/>
      <c r="E93" s="56"/>
      <c r="F93" s="56"/>
      <c r="G93" s="56"/>
      <c r="H93" s="56"/>
      <c r="I93" s="56"/>
      <c r="J93" s="56"/>
    </row>
    <row r="94" spans="2:10" x14ac:dyDescent="0.35">
      <c r="B94" s="264">
        <v>46113</v>
      </c>
      <c r="C94" s="225"/>
      <c r="D94" s="56"/>
      <c r="E94" s="56"/>
      <c r="F94" s="56"/>
      <c r="G94" s="56"/>
      <c r="H94" s="56"/>
      <c r="I94" s="56"/>
      <c r="J94" s="56"/>
    </row>
    <row r="95" spans="2:10" x14ac:dyDescent="0.35">
      <c r="B95" s="264">
        <v>46143</v>
      </c>
      <c r="C95" s="225"/>
      <c r="D95" s="56"/>
      <c r="E95" s="56"/>
      <c r="F95" s="56"/>
      <c r="G95" s="56"/>
      <c r="H95" s="56"/>
      <c r="I95" s="56"/>
      <c r="J95" s="56"/>
    </row>
    <row r="96" spans="2:10" x14ac:dyDescent="0.35">
      <c r="B96" s="264">
        <v>46174</v>
      </c>
      <c r="C96" s="225"/>
      <c r="D96" s="56"/>
      <c r="E96" s="56"/>
      <c r="F96" s="56"/>
      <c r="G96" s="56"/>
      <c r="H96" s="56"/>
      <c r="I96" s="56"/>
      <c r="J96" s="56"/>
    </row>
    <row r="97" spans="2:10" x14ac:dyDescent="0.35">
      <c r="B97" s="264">
        <v>46204</v>
      </c>
      <c r="C97" s="225"/>
      <c r="D97" s="56"/>
      <c r="E97" s="56"/>
      <c r="F97" s="56"/>
      <c r="G97" s="56"/>
      <c r="H97" s="56"/>
      <c r="I97" s="56"/>
      <c r="J97" s="56"/>
    </row>
    <row r="98" spans="2:10" x14ac:dyDescent="0.35">
      <c r="B98" s="264">
        <v>46235</v>
      </c>
      <c r="C98" s="225"/>
      <c r="D98" s="56"/>
      <c r="E98" s="56"/>
      <c r="F98" s="56"/>
      <c r="G98" s="56"/>
      <c r="H98" s="56"/>
      <c r="I98" s="56"/>
      <c r="J98" s="56"/>
    </row>
    <row r="99" spans="2:10" x14ac:dyDescent="0.35">
      <c r="B99" s="264">
        <v>46266</v>
      </c>
      <c r="C99" s="225"/>
      <c r="D99" s="56"/>
      <c r="E99" s="56"/>
      <c r="F99" s="56"/>
      <c r="G99" s="56"/>
      <c r="H99" s="56"/>
      <c r="I99" s="56"/>
      <c r="J99" s="56"/>
    </row>
    <row r="100" spans="2:10" x14ac:dyDescent="0.35">
      <c r="B100" s="264">
        <v>46296</v>
      </c>
      <c r="C100" s="225"/>
      <c r="D100" s="56"/>
      <c r="E100" s="56"/>
      <c r="F100" s="56"/>
      <c r="G100" s="56"/>
      <c r="H100" s="56"/>
      <c r="I100" s="56"/>
      <c r="J100" s="56"/>
    </row>
    <row r="101" spans="2:10" x14ac:dyDescent="0.35">
      <c r="B101" s="264">
        <v>46327</v>
      </c>
      <c r="C101" s="225"/>
      <c r="D101" s="56"/>
      <c r="E101" s="56"/>
      <c r="F101" s="56"/>
      <c r="G101" s="56"/>
      <c r="H101" s="56"/>
      <c r="I101" s="56"/>
      <c r="J101" s="56"/>
    </row>
    <row r="102" spans="2:10" x14ac:dyDescent="0.35">
      <c r="B102" s="265">
        <v>46357</v>
      </c>
      <c r="C102" s="226"/>
      <c r="D102" s="56"/>
      <c r="E102" s="56"/>
      <c r="F102" s="56"/>
      <c r="G102" s="56"/>
      <c r="H102" s="56"/>
      <c r="I102" s="56"/>
      <c r="J102" s="56"/>
    </row>
  </sheetData>
  <mergeCells count="13">
    <mergeCell ref="B1:AC1"/>
    <mergeCell ref="B2:AC6"/>
    <mergeCell ref="E9:H9"/>
    <mergeCell ref="B8:C10"/>
    <mergeCell ref="I9:L9"/>
    <mergeCell ref="M9:P9"/>
    <mergeCell ref="AC9:AF9"/>
    <mergeCell ref="AC8:AN8"/>
    <mergeCell ref="D8:AB8"/>
    <mergeCell ref="AK9:AN9"/>
    <mergeCell ref="Q9:T9"/>
    <mergeCell ref="U9:X9"/>
    <mergeCell ref="AG9:AJ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69" t="s">
        <v>53</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0" ht="14.25" customHeight="1" x14ac:dyDescent="0.35">
      <c r="B2" s="1270" t="s">
        <v>277</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0"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0"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0"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row>
    <row r="6" spans="2:30" ht="38.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274" t="s">
        <v>278</v>
      </c>
      <c r="C8" s="1275"/>
      <c r="D8" s="1287" t="s">
        <v>279</v>
      </c>
      <c r="E8" s="1288"/>
      <c r="F8" s="1288"/>
      <c r="G8" s="1288"/>
      <c r="H8" s="1288"/>
      <c r="I8" s="1288"/>
      <c r="J8" s="1288"/>
      <c r="K8" s="1288"/>
      <c r="L8" s="1288"/>
      <c r="M8" s="1288"/>
      <c r="N8" s="1288"/>
      <c r="O8" s="1288"/>
      <c r="P8" s="1288"/>
      <c r="Q8" s="1288"/>
      <c r="R8" s="1288"/>
      <c r="S8" s="1288"/>
      <c r="T8" s="1289"/>
      <c r="U8" s="1290" t="s">
        <v>280</v>
      </c>
      <c r="V8" s="1291"/>
      <c r="W8" s="1291"/>
      <c r="X8" s="1291"/>
      <c r="Y8" s="1291"/>
      <c r="Z8" s="1291"/>
      <c r="AA8" s="1291"/>
      <c r="AB8" s="1291"/>
      <c r="AC8" s="1292"/>
    </row>
    <row r="9" spans="2:30" ht="12.75" customHeight="1" x14ac:dyDescent="0.35">
      <c r="B9" s="1276"/>
      <c r="C9" s="1277"/>
      <c r="D9" s="282">
        <v>2018</v>
      </c>
      <c r="E9" s="1293">
        <v>2019</v>
      </c>
      <c r="F9" s="1294"/>
      <c r="G9" s="1294"/>
      <c r="H9" s="1295"/>
      <c r="I9" s="1294">
        <v>2020</v>
      </c>
      <c r="J9" s="1294"/>
      <c r="K9" s="1294"/>
      <c r="L9" s="1294"/>
      <c r="M9" s="1293">
        <v>2021</v>
      </c>
      <c r="N9" s="1294"/>
      <c r="O9" s="1294"/>
      <c r="P9" s="1294"/>
      <c r="Q9" s="1296">
        <v>2022</v>
      </c>
      <c r="R9" s="1297"/>
      <c r="S9" s="288"/>
      <c r="T9" s="295"/>
      <c r="U9" s="1281">
        <v>2023</v>
      </c>
      <c r="V9" s="1286"/>
      <c r="W9" s="1286"/>
      <c r="X9" s="1285"/>
      <c r="Y9" s="1280">
        <v>2024</v>
      </c>
      <c r="Z9" s="1286"/>
      <c r="AA9" s="1286"/>
      <c r="AB9" s="1286"/>
      <c r="AC9" s="290">
        <v>2025</v>
      </c>
    </row>
    <row r="10" spans="2:30" ht="14.9" customHeight="1" x14ac:dyDescent="0.35">
      <c r="B10" s="1276"/>
      <c r="C10" s="1277"/>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60" t="s">
        <v>282</v>
      </c>
      <c r="V10" s="260" t="s">
        <v>283</v>
      </c>
      <c r="W10" s="260" t="s">
        <v>238</v>
      </c>
      <c r="X10" s="287" t="s">
        <v>281</v>
      </c>
      <c r="Y10" s="259" t="s">
        <v>282</v>
      </c>
      <c r="Z10" s="257" t="s">
        <v>283</v>
      </c>
      <c r="AA10" s="260" t="s">
        <v>238</v>
      </c>
      <c r="AB10" s="260" t="s">
        <v>281</v>
      </c>
      <c r="AC10" s="291" t="s">
        <v>282</v>
      </c>
    </row>
    <row r="11" spans="2:30" x14ac:dyDescent="0.35">
      <c r="B11" s="244" t="s">
        <v>102</v>
      </c>
      <c r="C11" s="261" t="s">
        <v>284</v>
      </c>
      <c r="D11" s="246">
        <f>'Haver Pivoted'!GO14</f>
        <v>27.1</v>
      </c>
      <c r="E11" s="306">
        <f>'Haver Pivoted'!GP14</f>
        <v>29.6</v>
      </c>
      <c r="F11" s="306">
        <f>'Haver Pivoted'!GQ14</f>
        <v>27.3</v>
      </c>
      <c r="G11" s="306">
        <f>'Haver Pivoted'!GR14</f>
        <v>26.4</v>
      </c>
      <c r="H11" s="306">
        <f>'Haver Pivoted'!GS14</f>
        <v>26.7</v>
      </c>
      <c r="I11" s="306">
        <f>'Haver Pivoted'!GT14</f>
        <v>40.1</v>
      </c>
      <c r="J11" s="306">
        <f>'Haver Pivoted'!GU14</f>
        <v>951.5</v>
      </c>
      <c r="K11" s="306">
        <f>'Haver Pivoted'!GV14</f>
        <v>800</v>
      </c>
      <c r="L11" s="306">
        <f>'Haver Pivoted'!GW14</f>
        <v>322.7</v>
      </c>
      <c r="M11" s="306">
        <f>'Haver Pivoted'!GX14</f>
        <v>583.79999999999995</v>
      </c>
      <c r="N11" s="306">
        <f>'Haver Pivoted'!GY14</f>
        <v>440.8</v>
      </c>
      <c r="O11" s="306">
        <f>'Haver Pivoted'!GZ14</f>
        <v>212.8</v>
      </c>
      <c r="P11" s="306">
        <f>'Haver Pivoted'!HA14</f>
        <v>31.8</v>
      </c>
      <c r="Q11" s="306">
        <f>'Haver Pivoted'!HB14</f>
        <v>24.5</v>
      </c>
      <c r="R11" s="306">
        <f>'Haver Pivoted'!HC14</f>
        <v>21.7</v>
      </c>
      <c r="S11" s="286">
        <f>'Haver Pivoted'!HD14</f>
        <v>23.1</v>
      </c>
      <c r="T11" s="283">
        <f>'Haver Pivoted'!HE14</f>
        <v>25.9</v>
      </c>
      <c r="U11" s="283">
        <f>'Haver Pivoted'!HF14</f>
        <v>30.1</v>
      </c>
      <c r="V11" s="266">
        <f t="shared" ref="V11:AC11" si="0">V12+V13+V20</f>
        <v>39.551400000000001</v>
      </c>
      <c r="W11" s="266">
        <f t="shared" si="0"/>
        <v>42.131399999999999</v>
      </c>
      <c r="X11" s="266">
        <f t="shared" si="0"/>
        <v>43.980399999999996</v>
      </c>
      <c r="Y11" s="266">
        <f t="shared" si="0"/>
        <v>43.851399999999998</v>
      </c>
      <c r="Z11" s="266">
        <f t="shared" si="0"/>
        <v>42.509799999999991</v>
      </c>
      <c r="AA11" s="266">
        <f t="shared" si="0"/>
        <v>41.787399999999991</v>
      </c>
      <c r="AB11" s="266">
        <f t="shared" si="0"/>
        <v>41.271399999999993</v>
      </c>
      <c r="AC11" s="294">
        <f t="shared" si="0"/>
        <v>41.073599999999992</v>
      </c>
      <c r="AD11" s="235" t="s">
        <v>285</v>
      </c>
    </row>
    <row r="12" spans="2:30" x14ac:dyDescent="0.35">
      <c r="B12" s="254" t="s">
        <v>286</v>
      </c>
      <c r="C12" s="247" t="s">
        <v>287</v>
      </c>
      <c r="D12" s="263">
        <f>'Haver Pivoted'!GO63</f>
        <v>0</v>
      </c>
      <c r="E12" s="219">
        <f>'Haver Pivoted'!GP63</f>
        <v>0</v>
      </c>
      <c r="F12" s="219">
        <f>'Haver Pivoted'!GQ63</f>
        <v>0</v>
      </c>
      <c r="G12" s="219">
        <f>'Haver Pivoted'!GR63</f>
        <v>0</v>
      </c>
      <c r="H12" s="219">
        <f>'Haver Pivoted'!GS63</f>
        <v>0</v>
      </c>
      <c r="I12" s="219">
        <f>'Haver Pivoted'!GT63</f>
        <v>0</v>
      </c>
      <c r="J12" s="219">
        <f>'Haver Pivoted'!GU63</f>
        <v>0.1</v>
      </c>
      <c r="K12" s="219">
        <f>'Haver Pivoted'!GV63</f>
        <v>3.7</v>
      </c>
      <c r="L12" s="219">
        <f>'Haver Pivoted'!GW63</f>
        <v>12.9</v>
      </c>
      <c r="M12" s="219">
        <f>'Haver Pivoted'!GX63</f>
        <v>25.5</v>
      </c>
      <c r="N12" s="219">
        <f>'Haver Pivoted'!GY63</f>
        <v>3.8</v>
      </c>
      <c r="O12" s="219">
        <f>'Haver Pivoted'!GZ63</f>
        <v>1.8</v>
      </c>
      <c r="P12" s="219">
        <f>'Haver Pivoted'!HA63</f>
        <v>0.6</v>
      </c>
      <c r="Q12" s="219">
        <f>'Haver Pivoted'!HB63</f>
        <v>0.2</v>
      </c>
      <c r="R12" s="219">
        <f>'Haver Pivoted'!HC63</f>
        <v>0.1</v>
      </c>
      <c r="S12" s="215">
        <f>'Haver Pivoted'!HD63</f>
        <v>0</v>
      </c>
      <c r="T12" s="218">
        <f>'Haver Pivoted'!HE63</f>
        <v>0</v>
      </c>
      <c r="U12" s="218">
        <f>'Haver Pivoted'!HF63</f>
        <v>0</v>
      </c>
      <c r="V12" s="221">
        <f>U12*V23/U23</f>
        <v>0</v>
      </c>
      <c r="W12" s="221">
        <f t="shared" ref="W12:AB12" si="1">V12*W23/V23</f>
        <v>0</v>
      </c>
      <c r="X12" s="221">
        <f t="shared" si="1"/>
        <v>0</v>
      </c>
      <c r="Y12" s="221">
        <f t="shared" si="1"/>
        <v>0</v>
      </c>
      <c r="Z12" s="221">
        <f t="shared" si="1"/>
        <v>0</v>
      </c>
      <c r="AA12" s="221">
        <f t="shared" si="1"/>
        <v>0</v>
      </c>
      <c r="AB12" s="221">
        <f t="shared" si="1"/>
        <v>0</v>
      </c>
      <c r="AC12" s="300">
        <f>AB12*AC23/AB23</f>
        <v>0</v>
      </c>
    </row>
    <row r="13" spans="2:30" x14ac:dyDescent="0.35">
      <c r="B13" s="254" t="s">
        <v>288</v>
      </c>
      <c r="C13" s="247"/>
      <c r="D13" s="263"/>
      <c r="E13" s="219"/>
      <c r="F13" s="219"/>
      <c r="G13" s="219"/>
      <c r="H13" s="227">
        <f>SUM(H14:H17)</f>
        <v>0</v>
      </c>
      <c r="I13" s="227">
        <f t="shared" ref="I13:M13" si="2">SUM(I14:I17)</f>
        <v>0</v>
      </c>
      <c r="J13" s="227">
        <f t="shared" si="2"/>
        <v>779.7</v>
      </c>
      <c r="K13" s="227">
        <f t="shared" si="2"/>
        <v>582.6</v>
      </c>
      <c r="L13" s="227">
        <f t="shared" si="2"/>
        <v>216.5</v>
      </c>
      <c r="M13" s="227">
        <f t="shared" si="2"/>
        <v>497.6</v>
      </c>
      <c r="N13" s="232">
        <f>SUM(N14:N17)</f>
        <v>401.5</v>
      </c>
      <c r="O13" s="232">
        <f t="shared" ref="O13:AC13" si="3">SUM(O14:O17)</f>
        <v>207.4</v>
      </c>
      <c r="P13" s="232">
        <f t="shared" si="3"/>
        <v>5.5</v>
      </c>
      <c r="Q13" s="232">
        <v>0</v>
      </c>
      <c r="R13" s="232">
        <f t="shared" si="3"/>
        <v>1</v>
      </c>
      <c r="S13" s="292">
        <f t="shared" si="3"/>
        <v>0.5</v>
      </c>
      <c r="T13" s="301">
        <f t="shared" si="3"/>
        <v>0.30000000000000004</v>
      </c>
      <c r="U13" s="301">
        <f t="shared" si="3"/>
        <v>0</v>
      </c>
      <c r="V13" s="221">
        <f t="shared" si="3"/>
        <v>0</v>
      </c>
      <c r="W13" s="221">
        <f t="shared" si="3"/>
        <v>0</v>
      </c>
      <c r="X13" s="221">
        <f t="shared" si="3"/>
        <v>0</v>
      </c>
      <c r="Y13" s="221">
        <f t="shared" si="3"/>
        <v>0</v>
      </c>
      <c r="Z13" s="221">
        <f t="shared" si="3"/>
        <v>0</v>
      </c>
      <c r="AA13" s="221">
        <f t="shared" si="3"/>
        <v>0</v>
      </c>
      <c r="AB13" s="221">
        <f t="shared" si="3"/>
        <v>0</v>
      </c>
      <c r="AC13" s="300">
        <f t="shared" si="3"/>
        <v>0</v>
      </c>
    </row>
    <row r="14" spans="2:30" ht="18" customHeight="1" x14ac:dyDescent="0.35">
      <c r="B14" s="240" t="s">
        <v>289</v>
      </c>
      <c r="C14" s="241" t="s">
        <v>287</v>
      </c>
      <c r="D14" s="262">
        <f>'Haver Pivoted'!GO63</f>
        <v>0</v>
      </c>
      <c r="E14" s="231">
        <f>'Haver Pivoted'!GP63</f>
        <v>0</v>
      </c>
      <c r="F14" s="231">
        <f>'Haver Pivoted'!GQ63</f>
        <v>0</v>
      </c>
      <c r="G14" s="231">
        <f>'Haver Pivoted'!GR63</f>
        <v>0</v>
      </c>
      <c r="H14" s="231">
        <f>'Haver Pivoted'!GS63</f>
        <v>0</v>
      </c>
      <c r="I14" s="231">
        <f>'Haver Pivoted'!GT63</f>
        <v>0</v>
      </c>
      <c r="J14" s="231">
        <f>'Haver Pivoted'!GU63</f>
        <v>0.1</v>
      </c>
      <c r="K14" s="231">
        <f>'Haver Pivoted'!GV63</f>
        <v>3.7</v>
      </c>
      <c r="L14" s="231">
        <f>'Haver Pivoted'!GW63</f>
        <v>12.9</v>
      </c>
      <c r="M14" s="231">
        <f>'Haver Pivoted'!GX63</f>
        <v>25.5</v>
      </c>
      <c r="N14" s="231">
        <f>'Haver Pivoted'!GY63</f>
        <v>3.8</v>
      </c>
      <c r="O14" s="231">
        <f>'Haver Pivoted'!GZ63</f>
        <v>1.8</v>
      </c>
      <c r="P14" s="231">
        <f>'Haver Pivoted'!HA63</f>
        <v>0.6</v>
      </c>
      <c r="Q14" s="231">
        <f>'Haver Pivoted'!HB63</f>
        <v>0.2</v>
      </c>
      <c r="R14" s="231">
        <f>'Haver Pivoted'!HC63</f>
        <v>0.1</v>
      </c>
      <c r="S14" s="233">
        <f>'Haver Pivoted'!HD63</f>
        <v>0</v>
      </c>
      <c r="T14" s="299">
        <f>'Haver Pivoted'!HE63</f>
        <v>0</v>
      </c>
      <c r="U14" s="299">
        <f>'Haver Pivoted'!HF63</f>
        <v>0</v>
      </c>
      <c r="V14" s="221">
        <f t="shared" ref="V14:X14" si="4">V12</f>
        <v>0</v>
      </c>
      <c r="W14" s="221">
        <f t="shared" si="4"/>
        <v>0</v>
      </c>
      <c r="X14" s="221">
        <f t="shared" si="4"/>
        <v>0</v>
      </c>
      <c r="Y14" s="221">
        <f>Y12</f>
        <v>0</v>
      </c>
      <c r="Z14" s="221">
        <f t="shared" ref="Z14:AC14" si="5">Z12</f>
        <v>0</v>
      </c>
      <c r="AA14" s="221">
        <f t="shared" si="5"/>
        <v>0</v>
      </c>
      <c r="AB14" s="221">
        <f t="shared" si="5"/>
        <v>0</v>
      </c>
      <c r="AC14" s="300">
        <f t="shared" si="5"/>
        <v>0</v>
      </c>
    </row>
    <row r="15" spans="2:30" ht="18" customHeight="1" x14ac:dyDescent="0.35">
      <c r="B15" s="240" t="s">
        <v>290</v>
      </c>
      <c r="C15" s="241" t="s">
        <v>291</v>
      </c>
      <c r="D15" s="262">
        <f>'Haver Pivoted'!GO59</f>
        <v>0</v>
      </c>
      <c r="E15" s="231">
        <f>'Haver Pivoted'!GP59</f>
        <v>0</v>
      </c>
      <c r="F15" s="231">
        <f>'Haver Pivoted'!GQ59</f>
        <v>0</v>
      </c>
      <c r="G15" s="231">
        <f>'Haver Pivoted'!GR59</f>
        <v>0</v>
      </c>
      <c r="H15" s="231">
        <f>'Haver Pivoted'!GS59</f>
        <v>0</v>
      </c>
      <c r="I15" s="231">
        <f>'Haver Pivoted'!GT59</f>
        <v>0</v>
      </c>
      <c r="J15" s="231">
        <f>'Haver Pivoted'!GU59</f>
        <v>6.3</v>
      </c>
      <c r="K15" s="231">
        <f>'Haver Pivoted'!GV59</f>
        <v>26.7</v>
      </c>
      <c r="L15" s="231">
        <f>'Haver Pivoted'!GW59</f>
        <v>82.1</v>
      </c>
      <c r="M15" s="231">
        <f>'Haver Pivoted'!GX59</f>
        <v>94.7</v>
      </c>
      <c r="N15" s="231">
        <f>'Haver Pivoted'!GY59</f>
        <v>92.1</v>
      </c>
      <c r="O15" s="231">
        <f>'Haver Pivoted'!GZ59</f>
        <v>51.6</v>
      </c>
      <c r="P15" s="231">
        <f>'Haver Pivoted'!HA59</f>
        <v>2.8</v>
      </c>
      <c r="Q15" s="231">
        <f>'Haver Pivoted'!HB59</f>
        <v>0.8</v>
      </c>
      <c r="R15" s="231">
        <f>'Haver Pivoted'!HC59</f>
        <v>0.5</v>
      </c>
      <c r="S15" s="233">
        <f>'Haver Pivoted'!HD59</f>
        <v>0.3</v>
      </c>
      <c r="T15" s="299">
        <f>'Haver Pivoted'!HE59</f>
        <v>0.2</v>
      </c>
      <c r="U15" s="299">
        <f>'Haver Pivoted'!HF59</f>
        <v>0</v>
      </c>
      <c r="V15" s="221">
        <f t="shared" ref="V15:AB17" si="6">U15*V$23/U$23</f>
        <v>0</v>
      </c>
      <c r="W15" s="221">
        <f t="shared" si="6"/>
        <v>0</v>
      </c>
      <c r="X15" s="221">
        <f t="shared" si="6"/>
        <v>0</v>
      </c>
      <c r="Y15" s="221">
        <f t="shared" si="6"/>
        <v>0</v>
      </c>
      <c r="Z15" s="221">
        <f t="shared" si="6"/>
        <v>0</v>
      </c>
      <c r="AA15" s="221">
        <f t="shared" si="6"/>
        <v>0</v>
      </c>
      <c r="AB15" s="221">
        <f t="shared" si="6"/>
        <v>0</v>
      </c>
      <c r="AC15" s="300">
        <f>AB15*AC$23/AB$23</f>
        <v>0</v>
      </c>
    </row>
    <row r="16" spans="2:30" ht="18" customHeight="1" x14ac:dyDescent="0.35">
      <c r="B16" s="240" t="s">
        <v>292</v>
      </c>
      <c r="C16" s="241" t="s">
        <v>293</v>
      </c>
      <c r="D16" s="262">
        <f>'Haver Pivoted'!GO60</f>
        <v>0</v>
      </c>
      <c r="E16" s="231">
        <f>'Haver Pivoted'!GP60</f>
        <v>0</v>
      </c>
      <c r="F16" s="231">
        <f>'Haver Pivoted'!GQ60</f>
        <v>0</v>
      </c>
      <c r="G16" s="231">
        <f>'Haver Pivoted'!GR60</f>
        <v>0</v>
      </c>
      <c r="H16" s="231">
        <f>'Haver Pivoted'!GS60</f>
        <v>0</v>
      </c>
      <c r="I16" s="231">
        <f>'Haver Pivoted'!GT60</f>
        <v>0</v>
      </c>
      <c r="J16" s="231">
        <f>'Haver Pivoted'!GU60</f>
        <v>74.400000000000006</v>
      </c>
      <c r="K16" s="231">
        <f>'Haver Pivoted'!GV60</f>
        <v>138.30000000000001</v>
      </c>
      <c r="L16" s="231">
        <f>'Haver Pivoted'!GW60</f>
        <v>106.8</v>
      </c>
      <c r="M16" s="231">
        <f>'Haver Pivoted'!GX60</f>
        <v>89.2</v>
      </c>
      <c r="N16" s="231">
        <f>'Haver Pivoted'!GY60</f>
        <v>72.3</v>
      </c>
      <c r="O16" s="231">
        <f>'Haver Pivoted'!GZ60</f>
        <v>43.5</v>
      </c>
      <c r="P16" s="231">
        <f>'Haver Pivoted'!HA60</f>
        <v>2.1</v>
      </c>
      <c r="Q16" s="231">
        <f>'Haver Pivoted'!HB60</f>
        <v>0.8</v>
      </c>
      <c r="R16" s="231">
        <f>'Haver Pivoted'!HC60</f>
        <v>0.4</v>
      </c>
      <c r="S16" s="233">
        <f>'Haver Pivoted'!HD60</f>
        <v>0.2</v>
      </c>
      <c r="T16" s="299">
        <f>'Haver Pivoted'!HE60</f>
        <v>0.1</v>
      </c>
      <c r="U16" s="299">
        <f>'Haver Pivoted'!HF60</f>
        <v>0</v>
      </c>
      <c r="V16" s="221">
        <f t="shared" si="6"/>
        <v>0</v>
      </c>
      <c r="W16" s="221">
        <f t="shared" si="6"/>
        <v>0</v>
      </c>
      <c r="X16" s="221">
        <f t="shared" si="6"/>
        <v>0</v>
      </c>
      <c r="Y16" s="221">
        <f t="shared" si="6"/>
        <v>0</v>
      </c>
      <c r="Z16" s="221">
        <f t="shared" si="6"/>
        <v>0</v>
      </c>
      <c r="AA16" s="221">
        <f t="shared" si="6"/>
        <v>0</v>
      </c>
      <c r="AB16" s="221">
        <f t="shared" si="6"/>
        <v>0</v>
      </c>
      <c r="AC16" s="300">
        <f>AB16*AC$23/AB$23</f>
        <v>0</v>
      </c>
    </row>
    <row r="17" spans="1:32" ht="18" customHeight="1" x14ac:dyDescent="0.35">
      <c r="B17" s="240" t="s">
        <v>294</v>
      </c>
      <c r="C17" s="241" t="s">
        <v>295</v>
      </c>
      <c r="D17" s="262">
        <f>'Haver Pivoted'!GO61</f>
        <v>0</v>
      </c>
      <c r="E17" s="231">
        <f>'Haver Pivoted'!GP61</f>
        <v>0</v>
      </c>
      <c r="F17" s="231">
        <f>'Haver Pivoted'!GQ61</f>
        <v>0</v>
      </c>
      <c r="G17" s="231">
        <f>'Haver Pivoted'!GR61</f>
        <v>0</v>
      </c>
      <c r="H17" s="231">
        <f>'Haver Pivoted'!GS61</f>
        <v>0</v>
      </c>
      <c r="I17" s="231">
        <f>'Haver Pivoted'!GT61</f>
        <v>0</v>
      </c>
      <c r="J17" s="231">
        <f>'Haver Pivoted'!GU61</f>
        <v>698.9</v>
      </c>
      <c r="K17" s="231">
        <f>'Haver Pivoted'!GV61</f>
        <v>413.9</v>
      </c>
      <c r="L17" s="231">
        <f>'Haver Pivoted'!GW61</f>
        <v>14.7</v>
      </c>
      <c r="M17" s="231">
        <f>'Haver Pivoted'!GX61</f>
        <v>288.2</v>
      </c>
      <c r="N17" s="231">
        <f>'Haver Pivoted'!GY61</f>
        <v>233.3</v>
      </c>
      <c r="O17" s="231">
        <f>'Haver Pivoted'!GZ61</f>
        <v>110.5</v>
      </c>
      <c r="P17" s="231">
        <f>'Haver Pivoted'!HA61</f>
        <v>0</v>
      </c>
      <c r="Q17" s="231">
        <f>'Haver Pivoted'!HB61</f>
        <v>0</v>
      </c>
      <c r="R17" s="231">
        <f>'Haver Pivoted'!HC61</f>
        <v>0</v>
      </c>
      <c r="S17" s="233">
        <f>'Haver Pivoted'!HD61</f>
        <v>0</v>
      </c>
      <c r="T17" s="299">
        <f>'Haver Pivoted'!HE61</f>
        <v>0</v>
      </c>
      <c r="U17" s="299">
        <f>'Haver Pivoted'!HF61</f>
        <v>0</v>
      </c>
      <c r="V17" s="221">
        <f t="shared" si="6"/>
        <v>0</v>
      </c>
      <c r="W17" s="221">
        <f t="shared" si="6"/>
        <v>0</v>
      </c>
      <c r="X17" s="221">
        <f t="shared" si="6"/>
        <v>0</v>
      </c>
      <c r="Y17" s="221">
        <f t="shared" si="6"/>
        <v>0</v>
      </c>
      <c r="Z17" s="221">
        <f t="shared" si="6"/>
        <v>0</v>
      </c>
      <c r="AA17" s="221">
        <f t="shared" si="6"/>
        <v>0</v>
      </c>
      <c r="AB17" s="221">
        <f t="shared" si="6"/>
        <v>0</v>
      </c>
      <c r="AC17" s="300">
        <f>AB17*AC$23/AB$23</f>
        <v>0</v>
      </c>
    </row>
    <row r="18" spans="1:32" x14ac:dyDescent="0.35">
      <c r="B18" s="242" t="s">
        <v>158</v>
      </c>
      <c r="C18" s="235" t="s">
        <v>296</v>
      </c>
      <c r="D18" s="263">
        <f>'Haver Pivoted'!GO64</f>
        <v>0</v>
      </c>
      <c r="E18" s="219">
        <f>'Haver Pivoted'!GP64</f>
        <v>0</v>
      </c>
      <c r="F18" s="219">
        <f>'Haver Pivoted'!GQ64</f>
        <v>0</v>
      </c>
      <c r="G18" s="219">
        <f>'Haver Pivoted'!GR64</f>
        <v>0</v>
      </c>
      <c r="H18" s="219">
        <f>'Haver Pivoted'!GS64</f>
        <v>0</v>
      </c>
      <c r="I18" s="219">
        <f>'Haver Pivoted'!GT64</f>
        <v>0</v>
      </c>
      <c r="J18" s="219">
        <f>'Haver Pivoted'!GU64</f>
        <v>0</v>
      </c>
      <c r="K18" s="219">
        <f>'Haver Pivoted'!GV64</f>
        <v>106.2</v>
      </c>
      <c r="L18" s="219">
        <f>'Haver Pivoted'!GW64</f>
        <v>35.9</v>
      </c>
      <c r="M18" s="219">
        <f>'Haver Pivoted'!GX64</f>
        <v>1.6</v>
      </c>
      <c r="N18" s="219">
        <f>'Haver Pivoted'!GY64</f>
        <v>0.6</v>
      </c>
      <c r="O18" s="219">
        <f>'Haver Pivoted'!GZ64</f>
        <v>0.1</v>
      </c>
      <c r="P18" s="219">
        <f>'Haver Pivoted'!HA64</f>
        <v>0</v>
      </c>
      <c r="Q18" s="231">
        <f>'Haver Pivoted'!HB64</f>
        <v>0</v>
      </c>
      <c r="R18" s="231">
        <f>'Haver Pivoted'!HC64</f>
        <v>0</v>
      </c>
      <c r="S18" s="233">
        <f>'Haver Pivoted'!HD64</f>
        <v>0</v>
      </c>
      <c r="T18" s="299">
        <f>'Haver Pivoted'!HE64</f>
        <v>0</v>
      </c>
      <c r="U18" s="299">
        <f>'Haver Pivoted'!HF64</f>
        <v>0</v>
      </c>
      <c r="V18" s="221"/>
      <c r="W18" s="221"/>
      <c r="X18" s="221"/>
      <c r="Y18" s="221"/>
      <c r="Z18" s="221"/>
      <c r="AA18" s="221"/>
      <c r="AB18" s="221"/>
      <c r="AC18" s="300"/>
    </row>
    <row r="19" spans="1:32" ht="14.9" customHeight="1" x14ac:dyDescent="0.35">
      <c r="B19" s="258" t="s">
        <v>297</v>
      </c>
      <c r="C19" s="248"/>
      <c r="D19" s="252">
        <f t="shared" ref="D19:N19" si="7">D11-D20</f>
        <v>0</v>
      </c>
      <c r="E19" s="229">
        <f t="shared" si="7"/>
        <v>0</v>
      </c>
      <c r="F19" s="229">
        <f t="shared" si="7"/>
        <v>0</v>
      </c>
      <c r="G19" s="229">
        <f t="shared" si="7"/>
        <v>0</v>
      </c>
      <c r="H19" s="229">
        <f t="shared" si="7"/>
        <v>0</v>
      </c>
      <c r="I19" s="229">
        <f t="shared" si="7"/>
        <v>0</v>
      </c>
      <c r="J19" s="229">
        <f t="shared" si="7"/>
        <v>779.80000000000007</v>
      </c>
      <c r="K19" s="229">
        <f t="shared" si="7"/>
        <v>586.29999999999995</v>
      </c>
      <c r="L19" s="229">
        <f t="shared" si="7"/>
        <v>229.4</v>
      </c>
      <c r="M19" s="229">
        <f t="shared" si="7"/>
        <v>523.1</v>
      </c>
      <c r="N19" s="230">
        <f t="shared" si="7"/>
        <v>405.3</v>
      </c>
      <c r="O19" s="230">
        <f>O11-O20</f>
        <v>209.20000000000002</v>
      </c>
      <c r="P19" s="230">
        <f t="shared" ref="P19" si="8">P11-P20</f>
        <v>6.1000000000000014</v>
      </c>
      <c r="Q19" s="230">
        <f>Q11-Q20</f>
        <v>0.19999999999999929</v>
      </c>
      <c r="R19" s="230">
        <f>R11-R20</f>
        <v>1.1000000000000014</v>
      </c>
      <c r="S19" s="293">
        <f>S11-S20</f>
        <v>0.5</v>
      </c>
      <c r="T19" s="298">
        <f>T11-T20</f>
        <v>0.30000000000000071</v>
      </c>
      <c r="U19" s="298">
        <f>U11-U20</f>
        <v>0</v>
      </c>
      <c r="V19" s="234">
        <f t="shared" ref="V19:AC19" si="9">V11-V20</f>
        <v>0</v>
      </c>
      <c r="W19" s="234">
        <f t="shared" si="9"/>
        <v>0</v>
      </c>
      <c r="X19" s="234">
        <f t="shared" si="9"/>
        <v>0</v>
      </c>
      <c r="Y19" s="234">
        <f t="shared" si="9"/>
        <v>0</v>
      </c>
      <c r="Z19" s="234">
        <f t="shared" si="9"/>
        <v>0</v>
      </c>
      <c r="AA19" s="234">
        <f t="shared" si="9"/>
        <v>0</v>
      </c>
      <c r="AB19" s="234">
        <f t="shared" si="9"/>
        <v>0</v>
      </c>
      <c r="AC19" s="234">
        <f t="shared" si="9"/>
        <v>0</v>
      </c>
    </row>
    <row r="20" spans="1:32" ht="14.9" customHeight="1" x14ac:dyDescent="0.35">
      <c r="B20" s="258" t="s">
        <v>298</v>
      </c>
      <c r="C20" s="248"/>
      <c r="D20" s="252">
        <f t="shared" ref="D20:H20" si="10">D11</f>
        <v>27.1</v>
      </c>
      <c r="E20" s="229">
        <f t="shared" si="10"/>
        <v>29.6</v>
      </c>
      <c r="F20" s="229">
        <f t="shared" si="10"/>
        <v>27.3</v>
      </c>
      <c r="G20" s="229">
        <f t="shared" si="10"/>
        <v>26.4</v>
      </c>
      <c r="H20" s="229">
        <f t="shared" si="10"/>
        <v>26.7</v>
      </c>
      <c r="I20" s="229">
        <f>I11</f>
        <v>40.1</v>
      </c>
      <c r="J20" s="229">
        <f>J11-J13-J12</f>
        <v>171.69999999999996</v>
      </c>
      <c r="K20" s="229">
        <f>K11-K13-K12</f>
        <v>213.7</v>
      </c>
      <c r="L20" s="229">
        <f>L11-L13-L12</f>
        <v>93.299999999999983</v>
      </c>
      <c r="M20" s="229">
        <f>M11-M13-M12</f>
        <v>60.699999999999932</v>
      </c>
      <c r="N20" s="230">
        <f t="shared" ref="N20:U20" si="11">N11-N12-N13</f>
        <v>35.5</v>
      </c>
      <c r="O20" s="230">
        <f t="shared" si="11"/>
        <v>3.5999999999999943</v>
      </c>
      <c r="P20" s="230">
        <f t="shared" si="11"/>
        <v>25.7</v>
      </c>
      <c r="Q20" s="231">
        <f t="shared" si="11"/>
        <v>24.3</v>
      </c>
      <c r="R20" s="231">
        <f t="shared" si="11"/>
        <v>20.599999999999998</v>
      </c>
      <c r="S20" s="233">
        <f t="shared" si="11"/>
        <v>22.6</v>
      </c>
      <c r="T20" s="299">
        <f t="shared" si="11"/>
        <v>25.599999999999998</v>
      </c>
      <c r="U20" s="299">
        <f t="shared" si="11"/>
        <v>30.1</v>
      </c>
      <c r="V20" s="234">
        <f t="shared" ref="V20:AB20" si="12">U20*V23/U23</f>
        <v>39.551400000000001</v>
      </c>
      <c r="W20" s="234">
        <f t="shared" si="12"/>
        <v>42.131399999999999</v>
      </c>
      <c r="X20" s="234">
        <f t="shared" si="12"/>
        <v>43.980399999999996</v>
      </c>
      <c r="Y20" s="234">
        <f t="shared" si="12"/>
        <v>43.851399999999998</v>
      </c>
      <c r="Z20" s="234">
        <f t="shared" si="12"/>
        <v>42.509799999999991</v>
      </c>
      <c r="AA20" s="234">
        <f t="shared" si="12"/>
        <v>41.787399999999991</v>
      </c>
      <c r="AB20" s="234">
        <f t="shared" si="12"/>
        <v>41.271399999999993</v>
      </c>
      <c r="AC20" s="297">
        <f>AB20*AC23/AB23</f>
        <v>41.073599999999992</v>
      </c>
      <c r="AD20" s="253" t="s">
        <v>299</v>
      </c>
    </row>
    <row r="21" spans="1:32" x14ac:dyDescent="0.35">
      <c r="B21" s="242"/>
      <c r="C21" s="243"/>
      <c r="D21" s="262"/>
      <c r="E21" s="231"/>
      <c r="F21" s="231"/>
      <c r="G21" s="231"/>
      <c r="H21" s="227"/>
      <c r="I21" s="227"/>
      <c r="J21" s="227"/>
      <c r="K21" s="227"/>
      <c r="L21" s="227"/>
      <c r="M21" s="227"/>
      <c r="N21" s="227"/>
      <c r="O21" s="227"/>
      <c r="P21" s="227"/>
      <c r="Q21" s="227"/>
      <c r="R21" s="227"/>
      <c r="S21" s="227"/>
      <c r="T21" s="309"/>
      <c r="U21" s="227"/>
      <c r="V21" s="221"/>
      <c r="W21" s="221"/>
      <c r="X21" s="221"/>
      <c r="Y21" s="221"/>
      <c r="Z21" s="221"/>
      <c r="AA21" s="221"/>
      <c r="AB21" s="221"/>
      <c r="AC21" s="300"/>
    </row>
    <row r="22" spans="1:32" x14ac:dyDescent="0.35">
      <c r="B22" s="235" t="s">
        <v>1744</v>
      </c>
      <c r="C22" s="243"/>
      <c r="D22" s="231"/>
      <c r="E22" s="231"/>
      <c r="F22" s="231"/>
      <c r="G22" s="231"/>
      <c r="H22" s="227"/>
      <c r="I22" s="227"/>
      <c r="J22" s="227"/>
      <c r="K22" s="227"/>
      <c r="L22" s="227"/>
      <c r="M22" s="227"/>
      <c r="N22" s="227"/>
      <c r="O22" s="227"/>
      <c r="P22" s="227"/>
      <c r="Q22" s="227"/>
      <c r="R22" s="227"/>
      <c r="S22" s="227"/>
      <c r="T22" s="245"/>
      <c r="U22" s="224"/>
      <c r="V22" s="223">
        <v>4.5990000000000002</v>
      </c>
      <c r="W22" s="223">
        <v>4.899</v>
      </c>
      <c r="X22" s="223">
        <v>5.1139999999999999</v>
      </c>
      <c r="Y22" s="223">
        <v>5.0990000000000002</v>
      </c>
      <c r="Z22" s="223">
        <v>4.9429999999999996</v>
      </c>
      <c r="AA22" s="223">
        <v>4.859</v>
      </c>
      <c r="AB22" s="223">
        <v>4.7990000000000004</v>
      </c>
      <c r="AC22" s="223">
        <v>4.7759999999999998</v>
      </c>
    </row>
    <row r="23" spans="1:32" x14ac:dyDescent="0.35">
      <c r="B23" s="242" t="s">
        <v>1803</v>
      </c>
      <c r="C23" s="302"/>
      <c r="D23" s="303"/>
      <c r="E23" s="304"/>
      <c r="F23" s="304"/>
      <c r="G23" s="304"/>
      <c r="H23" s="305"/>
      <c r="I23" s="305"/>
      <c r="J23" s="305"/>
      <c r="K23" s="305"/>
      <c r="L23" s="305"/>
      <c r="M23" s="305">
        <f>GETPIVOTDATA("Monthly UR",$E$28,"Quarters",M24,"Years",M25)</f>
        <v>6.166666666666667</v>
      </c>
      <c r="N23" s="305">
        <f t="shared" ref="N23:U23" si="13">GETPIVOTDATA("Monthly UR",$E$28,"Quarters",N24,"Years",N25)</f>
        <v>5.7666666666666657</v>
      </c>
      <c r="O23" s="305">
        <f t="shared" si="13"/>
        <v>5.1333333333333337</v>
      </c>
      <c r="P23" s="305">
        <f t="shared" si="13"/>
        <v>4.2333333333333334</v>
      </c>
      <c r="Q23" s="305">
        <f t="shared" si="13"/>
        <v>3.8000000000000003</v>
      </c>
      <c r="R23" s="305">
        <f t="shared" si="13"/>
        <v>3.6</v>
      </c>
      <c r="S23" s="305">
        <f t="shared" si="13"/>
        <v>3.5666666666666664</v>
      </c>
      <c r="T23" s="305">
        <f t="shared" si="13"/>
        <v>3.6</v>
      </c>
      <c r="U23" s="305">
        <f t="shared" si="13"/>
        <v>3.5</v>
      </c>
      <c r="V23" s="310">
        <v>4.5990000000000002</v>
      </c>
      <c r="W23" s="310">
        <v>4.899</v>
      </c>
      <c r="X23" s="310">
        <v>5.1139999999999999</v>
      </c>
      <c r="Y23" s="310">
        <v>5.0990000000000002</v>
      </c>
      <c r="Z23" s="310">
        <v>4.9429999999999996</v>
      </c>
      <c r="AA23" s="310">
        <v>4.859</v>
      </c>
      <c r="AB23" s="310">
        <v>4.7990000000000004</v>
      </c>
      <c r="AC23" s="311">
        <v>4.7759999999999998</v>
      </c>
      <c r="AD23" s="224" t="s">
        <v>300</v>
      </c>
    </row>
    <row r="24" spans="1:32" ht="15.75" customHeight="1" x14ac:dyDescent="0.35">
      <c r="B24" s="307" t="s">
        <v>1817</v>
      </c>
      <c r="C24" s="296"/>
      <c r="D24" s="289"/>
      <c r="E24" s="289"/>
      <c r="F24" s="289"/>
      <c r="G24" s="289"/>
      <c r="H24" s="289"/>
      <c r="I24" s="289"/>
      <c r="J24" s="289"/>
      <c r="K24" s="289"/>
      <c r="L24" s="289"/>
      <c r="M24" s="289">
        <v>1</v>
      </c>
      <c r="N24" s="289">
        <v>2</v>
      </c>
      <c r="O24" s="289">
        <v>3</v>
      </c>
      <c r="P24" s="289">
        <v>4</v>
      </c>
      <c r="Q24" s="289">
        <v>1</v>
      </c>
      <c r="R24" s="289">
        <v>2</v>
      </c>
      <c r="S24" s="289">
        <v>3</v>
      </c>
      <c r="T24" s="289">
        <v>4</v>
      </c>
      <c r="U24" s="289">
        <v>1</v>
      </c>
      <c r="V24" s="289">
        <v>2</v>
      </c>
      <c r="W24" s="289">
        <v>3</v>
      </c>
      <c r="X24" s="289">
        <v>4</v>
      </c>
      <c r="Y24" s="289">
        <v>1</v>
      </c>
      <c r="Z24" s="289">
        <v>2</v>
      </c>
      <c r="AA24" s="289">
        <v>3</v>
      </c>
      <c r="AB24" s="289">
        <v>4</v>
      </c>
      <c r="AC24" s="289">
        <v>1</v>
      </c>
      <c r="AD24" s="219">
        <v>2</v>
      </c>
      <c r="AE24" s="219">
        <v>3</v>
      </c>
      <c r="AF24" s="219">
        <v>4</v>
      </c>
    </row>
    <row r="25" spans="1:32" x14ac:dyDescent="0.35">
      <c r="B25" s="308" t="s">
        <v>1818</v>
      </c>
      <c r="C25" s="296"/>
      <c r="D25" s="289"/>
      <c r="E25" s="289"/>
      <c r="F25" s="289"/>
      <c r="G25" s="289"/>
      <c r="H25" s="289"/>
      <c r="I25" s="289"/>
      <c r="J25" s="289"/>
      <c r="K25" s="289"/>
      <c r="L25" s="289"/>
      <c r="M25" s="289">
        <v>2021</v>
      </c>
      <c r="N25" s="289">
        <v>2021</v>
      </c>
      <c r="O25" s="289">
        <v>2021</v>
      </c>
      <c r="P25" s="289">
        <v>2021</v>
      </c>
      <c r="Q25" s="289">
        <v>2022</v>
      </c>
      <c r="R25" s="289">
        <v>2022</v>
      </c>
      <c r="S25" s="289">
        <v>2022</v>
      </c>
      <c r="T25" s="289">
        <v>2022</v>
      </c>
      <c r="U25" s="289">
        <v>2023</v>
      </c>
      <c r="V25" s="289">
        <v>2023</v>
      </c>
      <c r="W25" s="289">
        <v>2023</v>
      </c>
      <c r="X25" s="289">
        <v>2023</v>
      </c>
      <c r="Y25" s="289">
        <v>2024</v>
      </c>
      <c r="Z25" s="289">
        <v>2024</v>
      </c>
      <c r="AA25" s="289">
        <v>2024</v>
      </c>
      <c r="AB25" s="289">
        <v>2024</v>
      </c>
      <c r="AC25" s="289">
        <v>2025</v>
      </c>
      <c r="AD25" s="224"/>
    </row>
    <row r="26" spans="1:32" x14ac:dyDescent="0.35">
      <c r="C26" s="235"/>
      <c r="D26" s="219"/>
      <c r="E26" s="219"/>
      <c r="F26" s="219"/>
      <c r="G26" s="219"/>
      <c r="H26" s="227"/>
      <c r="I26" s="227"/>
      <c r="J26" s="227"/>
      <c r="K26" s="227"/>
      <c r="L26" s="227"/>
      <c r="M26" s="227"/>
      <c r="N26" s="227"/>
      <c r="O26" s="227"/>
      <c r="P26" s="227"/>
      <c r="AD26" s="224"/>
    </row>
    <row r="27" spans="1:32" x14ac:dyDescent="0.35">
      <c r="M27" s="235"/>
      <c r="N27" s="235"/>
      <c r="O27" s="235"/>
    </row>
    <row r="28" spans="1:32" ht="43.5" customHeight="1" x14ac:dyDescent="0.35">
      <c r="B28" s="269" t="s">
        <v>301</v>
      </c>
      <c r="C28" s="270" t="s">
        <v>302</v>
      </c>
      <c r="D28" s="267"/>
      <c r="E28" s="14" t="s">
        <v>1807</v>
      </c>
      <c r="F28" s="14" t="s">
        <v>1812</v>
      </c>
      <c r="G28" s="14"/>
      <c r="H28" s="14"/>
      <c r="I28" s="14"/>
      <c r="J28" s="14"/>
      <c r="O28" s="271"/>
    </row>
    <row r="29" spans="1:32" x14ac:dyDescent="0.35">
      <c r="A29" s="56"/>
      <c r="B29" s="264">
        <v>44197</v>
      </c>
      <c r="C29" s="225">
        <v>6.3</v>
      </c>
      <c r="D29" s="268"/>
      <c r="E29" s="43" t="s">
        <v>1742</v>
      </c>
      <c r="F29" s="56"/>
      <c r="G29" s="56"/>
      <c r="H29" s="71"/>
      <c r="I29" s="56"/>
      <c r="J29" s="71"/>
      <c r="O29" s="235"/>
    </row>
    <row r="30" spans="1:32" x14ac:dyDescent="0.35">
      <c r="A30" s="56"/>
      <c r="B30" s="264">
        <v>44228</v>
      </c>
      <c r="C30" s="225">
        <v>6.2</v>
      </c>
      <c r="D30" s="268"/>
      <c r="E30" s="112" t="s">
        <v>1808</v>
      </c>
      <c r="F30" s="208">
        <v>6.166666666666667</v>
      </c>
      <c r="G30" s="56"/>
      <c r="H30" s="71"/>
      <c r="I30" s="56"/>
      <c r="J30" s="71"/>
      <c r="O30" s="235"/>
    </row>
    <row r="31" spans="1:32" x14ac:dyDescent="0.35">
      <c r="A31" s="56"/>
      <c r="B31" s="264">
        <v>44256</v>
      </c>
      <c r="C31" s="225">
        <v>6</v>
      </c>
      <c r="D31" s="268"/>
      <c r="E31" s="112" t="s">
        <v>1809</v>
      </c>
      <c r="F31" s="208">
        <v>5.7666666666666657</v>
      </c>
      <c r="G31" s="56"/>
      <c r="H31" s="71"/>
      <c r="I31" s="56"/>
      <c r="J31" s="71"/>
      <c r="O31" s="235"/>
    </row>
    <row r="32" spans="1:32" x14ac:dyDescent="0.35">
      <c r="A32" s="56"/>
      <c r="B32" s="264">
        <v>44287</v>
      </c>
      <c r="C32" s="225">
        <v>6.1</v>
      </c>
      <c r="D32" s="268"/>
      <c r="E32" s="112" t="s">
        <v>1810</v>
      </c>
      <c r="F32" s="208">
        <v>5.1333333333333337</v>
      </c>
      <c r="G32" s="56"/>
      <c r="H32" s="71"/>
      <c r="I32" s="56"/>
      <c r="J32" s="71"/>
      <c r="O32" s="235"/>
    </row>
    <row r="33" spans="1:38" x14ac:dyDescent="0.35">
      <c r="A33" s="56"/>
      <c r="B33" s="264">
        <v>44317</v>
      </c>
      <c r="C33" s="225">
        <v>5.8</v>
      </c>
      <c r="D33" s="268"/>
      <c r="E33" s="112" t="s">
        <v>1811</v>
      </c>
      <c r="F33" s="208">
        <v>4.2333333333333334</v>
      </c>
      <c r="G33" s="56"/>
      <c r="H33" s="71"/>
      <c r="I33" s="56"/>
      <c r="J33" s="71"/>
      <c r="O33" s="235"/>
    </row>
    <row r="34" spans="1:38" x14ac:dyDescent="0.35">
      <c r="A34" s="56"/>
      <c r="B34" s="264">
        <v>44348</v>
      </c>
      <c r="C34" s="225">
        <v>5.4</v>
      </c>
      <c r="D34" s="268"/>
      <c r="E34" s="43" t="s">
        <v>1731</v>
      </c>
      <c r="F34" s="208"/>
      <c r="G34" s="56"/>
      <c r="H34" s="71"/>
      <c r="I34" s="56"/>
      <c r="J34" s="71"/>
      <c r="O34" s="235"/>
    </row>
    <row r="35" spans="1:38" x14ac:dyDescent="0.35">
      <c r="A35" s="56"/>
      <c r="B35" s="264">
        <v>44378</v>
      </c>
      <c r="C35" s="225">
        <v>5.4</v>
      </c>
      <c r="D35" s="268"/>
      <c r="E35" s="112" t="s">
        <v>1808</v>
      </c>
      <c r="F35" s="208">
        <v>3.8000000000000003</v>
      </c>
      <c r="G35" s="56"/>
      <c r="H35" s="71"/>
      <c r="I35" s="56"/>
      <c r="J35" s="71"/>
      <c r="O35" s="235"/>
    </row>
    <row r="36" spans="1:38" x14ac:dyDescent="0.35">
      <c r="A36" s="56"/>
      <c r="B36" s="264">
        <v>44409</v>
      </c>
      <c r="C36" s="225">
        <v>5.2</v>
      </c>
      <c r="D36" s="268"/>
      <c r="E36" s="112" t="s">
        <v>1809</v>
      </c>
      <c r="F36" s="208">
        <v>3.6</v>
      </c>
      <c r="G36" s="56"/>
      <c r="H36" s="71"/>
      <c r="I36" s="56"/>
      <c r="J36" s="71"/>
      <c r="O36" s="235"/>
    </row>
    <row r="37" spans="1:38" x14ac:dyDescent="0.35">
      <c r="A37" s="56"/>
      <c r="B37" s="264">
        <v>44440</v>
      </c>
      <c r="C37" s="225">
        <v>4.8</v>
      </c>
      <c r="D37" s="268"/>
      <c r="E37" s="112" t="s">
        <v>1810</v>
      </c>
      <c r="F37" s="208">
        <v>3.5666666666666664</v>
      </c>
      <c r="G37" s="56"/>
      <c r="H37" s="71"/>
      <c r="I37" s="56"/>
      <c r="J37" s="71"/>
      <c r="O37" s="235"/>
    </row>
    <row r="38" spans="1:38" x14ac:dyDescent="0.35">
      <c r="A38" s="56"/>
      <c r="B38" s="264">
        <v>44470</v>
      </c>
      <c r="C38" s="225">
        <v>4.5999999999999996</v>
      </c>
      <c r="D38" s="268"/>
      <c r="E38" s="112" t="s">
        <v>1811</v>
      </c>
      <c r="F38" s="208">
        <v>3.6</v>
      </c>
      <c r="G38" s="56"/>
      <c r="H38" s="71"/>
      <c r="I38" s="56"/>
      <c r="J38" s="71"/>
      <c r="O38" s="235"/>
    </row>
    <row r="39" spans="1:38" x14ac:dyDescent="0.35">
      <c r="A39" s="56"/>
      <c r="B39" s="264">
        <v>44501</v>
      </c>
      <c r="C39" s="225">
        <v>4.2</v>
      </c>
      <c r="D39" s="268"/>
      <c r="E39" s="43" t="s">
        <v>1813</v>
      </c>
      <c r="F39" s="208"/>
      <c r="G39" s="56"/>
      <c r="H39" s="71"/>
      <c r="I39" s="56"/>
      <c r="J39" s="71"/>
      <c r="O39" s="235"/>
      <c r="AD39" s="235"/>
      <c r="AE39" s="235"/>
      <c r="AF39" s="235"/>
      <c r="AG39" s="235"/>
      <c r="AH39" s="235"/>
      <c r="AI39" s="235"/>
      <c r="AJ39" s="235"/>
      <c r="AK39" s="235"/>
      <c r="AL39" s="235"/>
    </row>
    <row r="40" spans="1:38" x14ac:dyDescent="0.35">
      <c r="A40" s="56"/>
      <c r="B40" s="264">
        <v>44531</v>
      </c>
      <c r="C40" s="225">
        <v>3.9</v>
      </c>
      <c r="D40" s="268"/>
      <c r="E40" s="112" t="s">
        <v>1808</v>
      </c>
      <c r="F40" s="208">
        <v>3.5</v>
      </c>
      <c r="G40" s="56"/>
      <c r="H40" s="71"/>
      <c r="I40" s="56"/>
      <c r="J40" s="71"/>
      <c r="O40" s="235"/>
      <c r="AD40" s="235"/>
      <c r="AE40" s="235"/>
      <c r="AF40" s="235"/>
      <c r="AG40" s="235"/>
      <c r="AH40" s="235"/>
      <c r="AI40" s="235"/>
      <c r="AJ40" s="235"/>
      <c r="AK40" s="235"/>
      <c r="AL40" s="235"/>
    </row>
    <row r="41" spans="1:38" x14ac:dyDescent="0.35">
      <c r="A41" s="56"/>
      <c r="B41" s="264">
        <v>44562</v>
      </c>
      <c r="C41" s="225">
        <v>4</v>
      </c>
      <c r="D41" s="56"/>
      <c r="E41" s="112" t="s">
        <v>1809</v>
      </c>
      <c r="F41" s="208"/>
      <c r="G41" s="56"/>
      <c r="H41" s="71"/>
      <c r="I41" s="56"/>
      <c r="J41" s="71"/>
      <c r="O41" s="235"/>
    </row>
    <row r="42" spans="1:38" x14ac:dyDescent="0.35">
      <c r="A42" s="56"/>
      <c r="B42" s="264">
        <v>44593</v>
      </c>
      <c r="C42" s="225">
        <v>3.8</v>
      </c>
      <c r="D42" s="56"/>
      <c r="E42" s="112" t="s">
        <v>1810</v>
      </c>
      <c r="F42" s="208"/>
      <c r="G42" s="56"/>
      <c r="H42" s="71"/>
      <c r="I42" s="56"/>
      <c r="J42" s="71"/>
    </row>
    <row r="43" spans="1:38" x14ac:dyDescent="0.35">
      <c r="A43" s="56"/>
      <c r="B43" s="264">
        <v>44621</v>
      </c>
      <c r="C43" s="225">
        <v>3.6</v>
      </c>
      <c r="D43" s="56"/>
      <c r="E43" s="112" t="s">
        <v>1811</v>
      </c>
      <c r="F43" s="208"/>
      <c r="G43" s="56"/>
      <c r="H43" s="71"/>
      <c r="I43" s="56"/>
      <c r="J43" s="71"/>
    </row>
    <row r="44" spans="1:38" x14ac:dyDescent="0.35">
      <c r="A44" s="56"/>
      <c r="B44" s="264">
        <v>44652</v>
      </c>
      <c r="C44" s="225">
        <v>3.6</v>
      </c>
      <c r="D44" s="56"/>
      <c r="E44" s="43" t="s">
        <v>1814</v>
      </c>
      <c r="F44" s="208"/>
      <c r="G44" s="56"/>
      <c r="H44" s="71"/>
      <c r="I44" s="56"/>
      <c r="J44" s="71"/>
    </row>
    <row r="45" spans="1:38" x14ac:dyDescent="0.35">
      <c r="A45" s="56"/>
      <c r="B45" s="264">
        <v>44682</v>
      </c>
      <c r="C45" s="225">
        <v>3.6</v>
      </c>
      <c r="D45" s="56"/>
      <c r="E45" s="112" t="s">
        <v>1808</v>
      </c>
      <c r="F45" s="208"/>
      <c r="G45" s="56"/>
      <c r="H45" s="71"/>
      <c r="I45" s="56"/>
      <c r="J45" s="71"/>
    </row>
    <row r="46" spans="1:38" x14ac:dyDescent="0.35">
      <c r="A46" s="56"/>
      <c r="B46" s="264">
        <v>44713</v>
      </c>
      <c r="C46" s="225">
        <v>3.6</v>
      </c>
      <c r="D46" s="56"/>
      <c r="E46" s="112" t="s">
        <v>1809</v>
      </c>
      <c r="F46" s="208"/>
      <c r="G46" s="56"/>
      <c r="H46" s="71"/>
      <c r="I46" s="56"/>
      <c r="J46" s="71"/>
    </row>
    <row r="47" spans="1:38" x14ac:dyDescent="0.35">
      <c r="A47" s="56"/>
      <c r="B47" s="264">
        <v>44743</v>
      </c>
      <c r="C47" s="225">
        <v>3.5</v>
      </c>
      <c r="D47" s="56"/>
      <c r="E47" s="112" t="s">
        <v>1810</v>
      </c>
      <c r="F47" s="208"/>
      <c r="G47" s="56"/>
      <c r="H47" s="71"/>
      <c r="I47" s="56"/>
      <c r="J47" s="71"/>
    </row>
    <row r="48" spans="1:38" x14ac:dyDescent="0.35">
      <c r="A48" s="56"/>
      <c r="B48" s="264">
        <v>44774</v>
      </c>
      <c r="C48" s="225">
        <v>3.7</v>
      </c>
      <c r="D48" s="56"/>
      <c r="E48" s="112" t="s">
        <v>1811</v>
      </c>
      <c r="F48" s="208"/>
      <c r="G48" s="56"/>
      <c r="H48" s="71"/>
      <c r="I48" s="56"/>
      <c r="J48" s="71"/>
    </row>
    <row r="49" spans="2:10" x14ac:dyDescent="0.35">
      <c r="B49" s="264">
        <v>44805</v>
      </c>
      <c r="C49" s="225">
        <v>3.5</v>
      </c>
      <c r="D49" s="56"/>
      <c r="E49" s="43" t="s">
        <v>1815</v>
      </c>
      <c r="F49" s="208"/>
      <c r="G49" s="56"/>
      <c r="H49" s="56"/>
      <c r="I49" s="56"/>
      <c r="J49" s="56"/>
    </row>
    <row r="50" spans="2:10" x14ac:dyDescent="0.35">
      <c r="B50" s="264">
        <v>44835</v>
      </c>
      <c r="C50" s="225">
        <v>3.7</v>
      </c>
      <c r="D50" s="56"/>
      <c r="E50" s="112" t="s">
        <v>1808</v>
      </c>
      <c r="F50" s="208"/>
      <c r="G50" s="56"/>
      <c r="H50" s="56"/>
      <c r="I50" s="56"/>
      <c r="J50" s="56"/>
    </row>
    <row r="51" spans="2:10" x14ac:dyDescent="0.35">
      <c r="B51" s="264">
        <v>44866</v>
      </c>
      <c r="C51" s="225">
        <v>3.6</v>
      </c>
      <c r="D51" s="56"/>
      <c r="E51" s="112" t="s">
        <v>1809</v>
      </c>
      <c r="F51" s="208"/>
      <c r="G51" s="56"/>
      <c r="H51" s="56"/>
      <c r="I51" s="56"/>
      <c r="J51" s="56"/>
    </row>
    <row r="52" spans="2:10" x14ac:dyDescent="0.35">
      <c r="B52" s="264">
        <v>44896</v>
      </c>
      <c r="C52" s="225">
        <v>3.5</v>
      </c>
      <c r="D52" s="56"/>
      <c r="E52" s="112" t="s">
        <v>1810</v>
      </c>
      <c r="F52" s="208"/>
      <c r="G52" s="56"/>
      <c r="H52" s="56"/>
      <c r="I52" s="56"/>
      <c r="J52" s="56"/>
    </row>
    <row r="53" spans="2:10" x14ac:dyDescent="0.35">
      <c r="B53" s="264">
        <v>44927</v>
      </c>
      <c r="C53" s="225">
        <v>3.4</v>
      </c>
      <c r="D53" s="56"/>
      <c r="E53" s="112" t="s">
        <v>1811</v>
      </c>
      <c r="F53" s="208"/>
      <c r="G53" s="56"/>
      <c r="H53" s="56"/>
      <c r="I53" s="56"/>
      <c r="J53" s="56"/>
    </row>
    <row r="54" spans="2:10" x14ac:dyDescent="0.35">
      <c r="B54" s="264">
        <v>44958</v>
      </c>
      <c r="C54" s="225">
        <v>3.6</v>
      </c>
      <c r="D54" s="56"/>
      <c r="E54" s="43" t="s">
        <v>1816</v>
      </c>
      <c r="F54" s="208"/>
      <c r="G54" s="56"/>
      <c r="H54" s="56"/>
      <c r="I54" s="56"/>
      <c r="J54" s="56"/>
    </row>
    <row r="55" spans="2:10" x14ac:dyDescent="0.35">
      <c r="B55" s="264">
        <v>44986</v>
      </c>
      <c r="C55" s="225">
        <v>3.5</v>
      </c>
      <c r="D55" s="56"/>
      <c r="E55" s="112" t="s">
        <v>1808</v>
      </c>
      <c r="F55" s="208"/>
      <c r="G55" s="56"/>
      <c r="H55" s="56"/>
      <c r="I55" s="56"/>
      <c r="J55" s="56"/>
    </row>
    <row r="56" spans="2:10" x14ac:dyDescent="0.35">
      <c r="B56" s="264">
        <v>45017</v>
      </c>
      <c r="C56" s="225"/>
      <c r="D56" s="56"/>
      <c r="E56" s="112" t="s">
        <v>1809</v>
      </c>
      <c r="F56" s="208"/>
      <c r="G56" s="56"/>
      <c r="H56" s="56"/>
      <c r="I56" s="56"/>
      <c r="J56" s="56"/>
    </row>
    <row r="57" spans="2:10" x14ac:dyDescent="0.35">
      <c r="B57" s="264">
        <v>45047</v>
      </c>
      <c r="C57" s="225"/>
      <c r="D57" s="56"/>
      <c r="E57" s="112" t="s">
        <v>1810</v>
      </c>
      <c r="F57" s="208"/>
      <c r="G57" s="56"/>
      <c r="H57" s="56"/>
      <c r="I57" s="56"/>
      <c r="J57" s="56"/>
    </row>
    <row r="58" spans="2:10" x14ac:dyDescent="0.35">
      <c r="B58" s="264">
        <v>45078</v>
      </c>
      <c r="C58" s="225"/>
      <c r="D58" s="56"/>
      <c r="E58" s="112" t="s">
        <v>1811</v>
      </c>
      <c r="F58" s="208"/>
      <c r="G58" s="56"/>
      <c r="H58" s="56"/>
      <c r="I58" s="56"/>
      <c r="J58" s="56"/>
    </row>
    <row r="59" spans="2:10" x14ac:dyDescent="0.35">
      <c r="B59" s="264">
        <v>45108</v>
      </c>
      <c r="C59" s="225"/>
      <c r="D59" s="56"/>
      <c r="E59" s="56"/>
      <c r="F59" s="56"/>
      <c r="G59" s="56"/>
      <c r="H59" s="56"/>
      <c r="I59" s="56"/>
      <c r="J59" s="56"/>
    </row>
    <row r="60" spans="2:10" x14ac:dyDescent="0.35">
      <c r="B60" s="264">
        <v>45139</v>
      </c>
      <c r="C60" s="225"/>
      <c r="D60" s="56"/>
      <c r="E60" s="56"/>
      <c r="F60" s="56"/>
      <c r="G60" s="56"/>
      <c r="H60" s="56"/>
      <c r="I60" s="56"/>
      <c r="J60" s="56"/>
    </row>
    <row r="61" spans="2:10" x14ac:dyDescent="0.35">
      <c r="B61" s="264">
        <v>45170</v>
      </c>
      <c r="C61" s="225"/>
      <c r="D61" s="56"/>
      <c r="E61" s="56"/>
      <c r="F61" s="56"/>
      <c r="G61" s="56"/>
      <c r="H61" s="56"/>
      <c r="I61" s="56"/>
      <c r="J61" s="56"/>
    </row>
    <row r="62" spans="2:10" x14ac:dyDescent="0.35">
      <c r="B62" s="264">
        <v>45200</v>
      </c>
      <c r="C62" s="225"/>
      <c r="D62" s="56"/>
      <c r="E62" s="56"/>
      <c r="F62" s="56"/>
      <c r="G62" s="56"/>
      <c r="H62" s="56"/>
      <c r="I62" s="56"/>
      <c r="J62" s="56"/>
    </row>
    <row r="63" spans="2:10" x14ac:dyDescent="0.35">
      <c r="B63" s="264">
        <v>45231</v>
      </c>
      <c r="C63" s="225"/>
      <c r="D63" s="56"/>
      <c r="E63" s="56"/>
      <c r="F63" s="56"/>
      <c r="G63" s="56"/>
      <c r="H63" s="56"/>
      <c r="I63" s="56"/>
      <c r="J63" s="56"/>
    </row>
    <row r="64" spans="2:10" x14ac:dyDescent="0.35">
      <c r="B64" s="264">
        <v>45261</v>
      </c>
      <c r="C64" s="225"/>
      <c r="D64" s="56"/>
      <c r="E64" s="56"/>
      <c r="F64" s="56"/>
      <c r="G64" s="56"/>
      <c r="H64" s="56"/>
      <c r="I64" s="56"/>
      <c r="J64" s="56"/>
    </row>
    <row r="65" spans="2:10" x14ac:dyDescent="0.35">
      <c r="B65" s="264">
        <v>45292</v>
      </c>
      <c r="C65" s="225"/>
      <c r="D65" s="56"/>
      <c r="E65" s="56"/>
      <c r="F65" s="56"/>
      <c r="G65" s="56"/>
      <c r="H65" s="56"/>
      <c r="I65" s="56"/>
      <c r="J65" s="56"/>
    </row>
    <row r="66" spans="2:10" x14ac:dyDescent="0.35">
      <c r="B66" s="264">
        <v>45323</v>
      </c>
      <c r="C66" s="225"/>
      <c r="D66" s="56"/>
      <c r="E66" s="56"/>
      <c r="F66" s="56"/>
      <c r="G66" s="56"/>
      <c r="H66" s="56"/>
      <c r="I66" s="56"/>
      <c r="J66" s="56"/>
    </row>
    <row r="67" spans="2:10" x14ac:dyDescent="0.35">
      <c r="B67" s="264">
        <v>45352</v>
      </c>
      <c r="C67" s="225"/>
      <c r="D67" s="56"/>
      <c r="E67" s="56"/>
      <c r="F67" s="56"/>
      <c r="G67" s="56"/>
      <c r="H67" s="56"/>
      <c r="I67" s="56"/>
      <c r="J67" s="56"/>
    </row>
    <row r="68" spans="2:10" x14ac:dyDescent="0.35">
      <c r="B68" s="264">
        <v>45383</v>
      </c>
      <c r="C68" s="225"/>
      <c r="D68" s="56"/>
      <c r="E68" s="56"/>
      <c r="F68" s="56"/>
      <c r="G68" s="56"/>
      <c r="H68" s="56"/>
      <c r="I68" s="56"/>
      <c r="J68" s="56"/>
    </row>
    <row r="69" spans="2:10" x14ac:dyDescent="0.35">
      <c r="B69" s="264">
        <v>45413</v>
      </c>
      <c r="C69" s="225"/>
      <c r="D69" s="56"/>
      <c r="E69" s="56"/>
      <c r="F69" s="56"/>
      <c r="G69" s="56"/>
      <c r="H69" s="56"/>
      <c r="I69" s="56"/>
      <c r="J69" s="56"/>
    </row>
    <row r="70" spans="2:10" x14ac:dyDescent="0.35">
      <c r="B70" s="264">
        <v>45444</v>
      </c>
      <c r="C70" s="225"/>
      <c r="D70" s="56"/>
      <c r="E70" s="56"/>
      <c r="F70" s="56"/>
      <c r="G70" s="56"/>
      <c r="H70" s="56"/>
      <c r="I70" s="56"/>
      <c r="J70" s="56"/>
    </row>
    <row r="71" spans="2:10" x14ac:dyDescent="0.35">
      <c r="B71" s="264">
        <v>45474</v>
      </c>
      <c r="C71" s="225"/>
      <c r="D71" s="56"/>
      <c r="E71" s="56"/>
      <c r="F71" s="56"/>
      <c r="G71" s="56"/>
      <c r="H71" s="56"/>
      <c r="I71" s="56"/>
      <c r="J71" s="56"/>
    </row>
    <row r="72" spans="2:10" x14ac:dyDescent="0.35">
      <c r="B72" s="264">
        <v>45505</v>
      </c>
      <c r="C72" s="225"/>
      <c r="D72" s="56"/>
      <c r="E72" s="56"/>
      <c r="F72" s="56"/>
      <c r="G72" s="56"/>
      <c r="H72" s="56"/>
      <c r="I72" s="56"/>
      <c r="J72" s="56"/>
    </row>
    <row r="73" spans="2:10" x14ac:dyDescent="0.35">
      <c r="B73" s="264">
        <v>45536</v>
      </c>
      <c r="C73" s="225"/>
      <c r="D73" s="56"/>
      <c r="E73" s="56"/>
      <c r="F73" s="56"/>
      <c r="G73" s="56"/>
      <c r="H73" s="56"/>
      <c r="I73" s="56"/>
      <c r="J73" s="56"/>
    </row>
    <row r="74" spans="2:10" x14ac:dyDescent="0.35">
      <c r="B74" s="264">
        <v>45566</v>
      </c>
      <c r="C74" s="225"/>
      <c r="D74" s="56"/>
      <c r="E74" s="56"/>
      <c r="F74" s="56"/>
      <c r="G74" s="56"/>
      <c r="H74" s="56"/>
      <c r="I74" s="56"/>
      <c r="J74" s="56"/>
    </row>
    <row r="75" spans="2:10" x14ac:dyDescent="0.35">
      <c r="B75" s="264">
        <v>45597</v>
      </c>
      <c r="C75" s="225"/>
      <c r="D75" s="56"/>
      <c r="E75" s="56"/>
      <c r="F75" s="56"/>
      <c r="G75" s="56"/>
      <c r="H75" s="56"/>
      <c r="I75" s="56"/>
      <c r="J75" s="56"/>
    </row>
    <row r="76" spans="2:10" x14ac:dyDescent="0.35">
      <c r="B76" s="264">
        <v>45627</v>
      </c>
      <c r="C76" s="225"/>
      <c r="D76" s="56"/>
      <c r="E76" s="56"/>
      <c r="F76" s="56"/>
      <c r="G76" s="56"/>
      <c r="H76" s="56"/>
      <c r="I76" s="56"/>
      <c r="J76" s="56"/>
    </row>
    <row r="77" spans="2:10" x14ac:dyDescent="0.35">
      <c r="B77" s="264">
        <v>45658</v>
      </c>
      <c r="C77" s="225"/>
      <c r="D77" s="56"/>
      <c r="E77" s="56"/>
      <c r="F77" s="56"/>
      <c r="G77" s="56"/>
      <c r="H77" s="56"/>
      <c r="I77" s="56"/>
      <c r="J77" s="56"/>
    </row>
    <row r="78" spans="2:10" x14ac:dyDescent="0.35">
      <c r="B78" s="264">
        <v>45689</v>
      </c>
      <c r="C78" s="225"/>
      <c r="D78" s="56"/>
      <c r="E78" s="56"/>
      <c r="F78" s="56"/>
      <c r="G78" s="56"/>
      <c r="H78" s="56"/>
      <c r="I78" s="56"/>
      <c r="J78" s="56"/>
    </row>
    <row r="79" spans="2:10" x14ac:dyDescent="0.35">
      <c r="B79" s="264">
        <v>45717</v>
      </c>
      <c r="C79" s="225"/>
      <c r="D79" s="56"/>
      <c r="E79" s="56"/>
      <c r="F79" s="56"/>
      <c r="G79" s="56"/>
      <c r="H79" s="56"/>
      <c r="I79" s="56"/>
      <c r="J79" s="56"/>
    </row>
    <row r="80" spans="2:10" x14ac:dyDescent="0.35">
      <c r="B80" s="264">
        <v>45748</v>
      </c>
      <c r="C80" s="225"/>
      <c r="D80" s="56"/>
      <c r="E80" s="56"/>
      <c r="F80" s="56"/>
      <c r="G80" s="56"/>
      <c r="H80" s="56"/>
      <c r="I80" s="56"/>
      <c r="J80" s="56"/>
    </row>
    <row r="81" spans="2:10" x14ac:dyDescent="0.35">
      <c r="B81" s="264">
        <v>45778</v>
      </c>
      <c r="C81" s="225"/>
      <c r="D81" s="56"/>
      <c r="E81" s="56"/>
      <c r="F81" s="56"/>
      <c r="G81" s="56"/>
      <c r="H81" s="56"/>
      <c r="I81" s="56"/>
      <c r="J81" s="56"/>
    </row>
    <row r="82" spans="2:10" x14ac:dyDescent="0.35">
      <c r="B82" s="264">
        <v>45809</v>
      </c>
      <c r="C82" s="225"/>
      <c r="D82" s="56"/>
      <c r="E82" s="56"/>
      <c r="F82" s="56"/>
      <c r="G82" s="56"/>
      <c r="H82" s="56"/>
      <c r="I82" s="56"/>
      <c r="J82" s="56"/>
    </row>
    <row r="83" spans="2:10" x14ac:dyDescent="0.35">
      <c r="B83" s="264">
        <v>45839</v>
      </c>
      <c r="C83" s="225"/>
      <c r="D83" s="56"/>
      <c r="E83" s="56"/>
      <c r="F83" s="56"/>
      <c r="G83" s="56"/>
      <c r="H83" s="56"/>
      <c r="I83" s="56"/>
      <c r="J83" s="56"/>
    </row>
    <row r="84" spans="2:10" x14ac:dyDescent="0.35">
      <c r="B84" s="264">
        <v>45870</v>
      </c>
      <c r="C84" s="225"/>
      <c r="D84" s="56"/>
      <c r="E84" s="56"/>
      <c r="F84" s="56"/>
      <c r="G84" s="56"/>
      <c r="H84" s="56"/>
      <c r="I84" s="56"/>
      <c r="J84" s="56"/>
    </row>
    <row r="85" spans="2:10" x14ac:dyDescent="0.35">
      <c r="B85" s="264">
        <v>45901</v>
      </c>
      <c r="C85" s="225"/>
      <c r="D85" s="56"/>
      <c r="E85" s="56"/>
      <c r="F85" s="56"/>
      <c r="G85" s="56"/>
      <c r="H85" s="56"/>
      <c r="I85" s="56"/>
      <c r="J85" s="56"/>
    </row>
    <row r="86" spans="2:10" x14ac:dyDescent="0.35">
      <c r="B86" s="264">
        <v>45931</v>
      </c>
      <c r="C86" s="225"/>
      <c r="D86" s="56"/>
      <c r="E86" s="56"/>
      <c r="F86" s="56"/>
      <c r="G86" s="56"/>
      <c r="H86" s="56"/>
      <c r="I86" s="56"/>
      <c r="J86" s="56"/>
    </row>
    <row r="87" spans="2:10" x14ac:dyDescent="0.35">
      <c r="B87" s="264">
        <v>45962</v>
      </c>
      <c r="C87" s="225"/>
      <c r="D87" s="56"/>
      <c r="E87" s="56"/>
      <c r="F87" s="56"/>
      <c r="G87" s="56"/>
      <c r="H87" s="56"/>
      <c r="I87" s="56"/>
      <c r="J87" s="56"/>
    </row>
    <row r="88" spans="2:10" x14ac:dyDescent="0.35">
      <c r="B88" s="264">
        <v>45992</v>
      </c>
      <c r="C88" s="225"/>
      <c r="D88" s="56"/>
      <c r="E88" s="56"/>
      <c r="F88" s="56"/>
      <c r="G88" s="56"/>
      <c r="H88" s="56"/>
      <c r="I88" s="56"/>
      <c r="J88" s="56"/>
    </row>
    <row r="89" spans="2:10" x14ac:dyDescent="0.35">
      <c r="B89" s="264">
        <v>46023</v>
      </c>
      <c r="C89" s="225"/>
      <c r="D89" s="56"/>
      <c r="E89" s="56"/>
      <c r="F89" s="56"/>
      <c r="G89" s="56"/>
      <c r="H89" s="56"/>
      <c r="I89" s="56"/>
      <c r="J89" s="56"/>
    </row>
    <row r="90" spans="2:10" x14ac:dyDescent="0.35">
      <c r="B90" s="264">
        <v>46054</v>
      </c>
      <c r="C90" s="225"/>
      <c r="D90" s="56"/>
      <c r="E90" s="56"/>
      <c r="F90" s="56"/>
      <c r="G90" s="56"/>
      <c r="H90" s="56"/>
      <c r="I90" s="56"/>
      <c r="J90" s="56"/>
    </row>
    <row r="91" spans="2:10" x14ac:dyDescent="0.35">
      <c r="B91" s="264">
        <v>46082</v>
      </c>
      <c r="C91" s="225"/>
      <c r="D91" s="56"/>
      <c r="E91" s="56"/>
      <c r="F91" s="56"/>
      <c r="G91" s="56"/>
      <c r="H91" s="56"/>
      <c r="I91" s="56"/>
      <c r="J91" s="56"/>
    </row>
    <row r="92" spans="2:10" x14ac:dyDescent="0.35">
      <c r="B92" s="264">
        <v>46113</v>
      </c>
      <c r="C92" s="225"/>
      <c r="D92" s="56"/>
      <c r="E92" s="56"/>
      <c r="F92" s="56"/>
      <c r="G92" s="56"/>
      <c r="H92" s="56"/>
      <c r="I92" s="56"/>
      <c r="J92" s="56"/>
    </row>
    <row r="93" spans="2:10" x14ac:dyDescent="0.35">
      <c r="B93" s="264">
        <v>46143</v>
      </c>
      <c r="C93" s="225"/>
      <c r="D93" s="56"/>
      <c r="E93" s="56"/>
      <c r="F93" s="56"/>
      <c r="G93" s="56"/>
      <c r="H93" s="56"/>
      <c r="I93" s="56"/>
      <c r="J93" s="56"/>
    </row>
    <row r="94" spans="2:10" x14ac:dyDescent="0.35">
      <c r="B94" s="264">
        <v>46174</v>
      </c>
      <c r="C94" s="225"/>
      <c r="D94" s="56"/>
      <c r="E94" s="56"/>
      <c r="F94" s="56"/>
      <c r="G94" s="56"/>
      <c r="H94" s="56"/>
      <c r="I94" s="56"/>
      <c r="J94" s="56"/>
    </row>
    <row r="95" spans="2:10" x14ac:dyDescent="0.35">
      <c r="B95" s="264">
        <v>46204</v>
      </c>
      <c r="C95" s="225"/>
      <c r="D95" s="56"/>
      <c r="E95" s="56"/>
      <c r="F95" s="56"/>
      <c r="G95" s="56"/>
      <c r="H95" s="56"/>
      <c r="I95" s="56"/>
      <c r="J95" s="56"/>
    </row>
    <row r="96" spans="2:10" x14ac:dyDescent="0.35">
      <c r="B96" s="264">
        <v>46235</v>
      </c>
      <c r="C96" s="225"/>
      <c r="D96" s="56"/>
      <c r="E96" s="56"/>
      <c r="F96" s="56"/>
      <c r="G96" s="56"/>
      <c r="H96" s="56"/>
      <c r="I96" s="56"/>
      <c r="J96" s="56"/>
    </row>
    <row r="97" spans="2:10" x14ac:dyDescent="0.35">
      <c r="B97" s="264">
        <v>46266</v>
      </c>
      <c r="C97" s="225"/>
      <c r="D97" s="56"/>
      <c r="E97" s="56"/>
      <c r="F97" s="56"/>
      <c r="G97" s="56"/>
      <c r="H97" s="56"/>
      <c r="I97" s="56"/>
      <c r="J97" s="56"/>
    </row>
    <row r="98" spans="2:10" x14ac:dyDescent="0.35">
      <c r="B98" s="264">
        <v>46296</v>
      </c>
      <c r="C98" s="225"/>
      <c r="D98" s="56"/>
      <c r="E98" s="56"/>
      <c r="F98" s="56"/>
      <c r="G98" s="56"/>
      <c r="H98" s="56"/>
      <c r="I98" s="56"/>
      <c r="J98" s="56"/>
    </row>
    <row r="99" spans="2:10" x14ac:dyDescent="0.35">
      <c r="B99" s="264">
        <v>46327</v>
      </c>
      <c r="C99" s="225"/>
      <c r="D99" s="56"/>
      <c r="E99" s="56"/>
      <c r="F99" s="56"/>
      <c r="G99" s="56"/>
      <c r="H99" s="56"/>
      <c r="I99" s="56"/>
      <c r="J99" s="56"/>
    </row>
    <row r="100" spans="2:10" x14ac:dyDescent="0.35">
      <c r="B100" s="265">
        <v>46357</v>
      </c>
      <c r="C100" s="226"/>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C53" activePane="bottomRight" state="frozen"/>
      <selection pane="topRight" activeCell="C1" sqref="C1"/>
      <selection pane="bottomLeft" activeCell="A5" sqref="A5"/>
      <selection pane="bottomRight" activeCell="AB73" sqref="AB73"/>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69" t="s">
        <v>192</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212"/>
      <c r="AA1" s="212"/>
      <c r="AB1" s="212"/>
      <c r="AC1" s="212"/>
      <c r="AD1" s="212"/>
      <c r="AE1" s="212"/>
      <c r="AF1" s="212"/>
      <c r="AG1" s="212"/>
      <c r="AH1" s="212"/>
      <c r="AI1" s="212"/>
      <c r="AJ1" s="212"/>
      <c r="AK1" s="212"/>
      <c r="AL1" s="212"/>
      <c r="AM1" s="212"/>
      <c r="AN1" s="212"/>
      <c r="AO1" s="317"/>
      <c r="AP1" s="317"/>
    </row>
    <row r="2" spans="2:45" ht="14.25" customHeight="1" x14ac:dyDescent="0.35">
      <c r="B2" s="1270" t="s">
        <v>331</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c r="AD2" s="213"/>
      <c r="AE2" s="213"/>
      <c r="AF2" s="213"/>
      <c r="AG2" s="213"/>
      <c r="AH2" s="213"/>
      <c r="AI2" s="213"/>
      <c r="AJ2" s="213"/>
      <c r="AK2" s="213"/>
      <c r="AL2" s="213"/>
      <c r="AM2" s="213"/>
      <c r="AN2" s="213"/>
      <c r="AO2" s="213"/>
      <c r="AP2" s="213"/>
    </row>
    <row r="3" spans="2:45" ht="50.9" customHeight="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c r="AD3" s="213"/>
      <c r="AE3" s="213"/>
      <c r="AF3" s="213"/>
      <c r="AG3" s="213"/>
      <c r="AH3" s="213"/>
      <c r="AI3" s="213"/>
      <c r="AJ3" s="213"/>
      <c r="AK3" s="213"/>
      <c r="AL3" s="213"/>
      <c r="AM3" s="213"/>
      <c r="AN3" s="213"/>
      <c r="AO3" s="213"/>
      <c r="AP3" s="213"/>
    </row>
    <row r="4" spans="2:45" ht="5.25" customHeight="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c r="AD4" s="213"/>
      <c r="AE4" s="213"/>
      <c r="AF4" s="213"/>
      <c r="AG4" s="213"/>
      <c r="AH4" s="213"/>
      <c r="AI4" s="213"/>
      <c r="AJ4" s="213"/>
      <c r="AK4" s="213"/>
      <c r="AL4" s="213"/>
      <c r="AM4" s="213"/>
      <c r="AN4" s="213"/>
      <c r="AO4" s="213"/>
      <c r="AP4" s="213"/>
    </row>
    <row r="5" spans="2:45" x14ac:dyDescent="0.35">
      <c r="B5" s="395" t="s">
        <v>332</v>
      </c>
    </row>
    <row r="6" spans="2:45" ht="14.9" customHeight="1" x14ac:dyDescent="0.35">
      <c r="B6" s="1274" t="s">
        <v>333</v>
      </c>
      <c r="C6" s="1275"/>
      <c r="D6" s="1298" t="s">
        <v>279</v>
      </c>
      <c r="E6" s="1299"/>
      <c r="F6" s="1299"/>
      <c r="G6" s="1299"/>
      <c r="H6" s="1299"/>
      <c r="I6" s="1299"/>
      <c r="J6" s="1299"/>
      <c r="K6" s="1299"/>
      <c r="L6" s="1299"/>
      <c r="M6" s="1299"/>
      <c r="N6" s="1299"/>
      <c r="O6" s="1299"/>
      <c r="P6" s="1299"/>
      <c r="Q6" s="1299"/>
      <c r="R6" s="1299"/>
      <c r="S6" s="1299"/>
      <c r="T6" s="1299"/>
      <c r="U6" s="1299"/>
      <c r="V6" s="1299"/>
      <c r="W6" s="1299"/>
      <c r="X6" s="1299"/>
      <c r="Y6" s="1299"/>
      <c r="Z6" s="1299"/>
      <c r="AA6" s="1299"/>
      <c r="AB6" s="1300"/>
      <c r="AC6" s="1302" t="s">
        <v>280</v>
      </c>
      <c r="AD6" s="1282"/>
      <c r="AE6" s="1282"/>
      <c r="AF6" s="1282"/>
      <c r="AG6" s="1282"/>
      <c r="AH6" s="1282"/>
      <c r="AI6" s="1282"/>
      <c r="AJ6" s="1282"/>
      <c r="AK6" s="1282"/>
      <c r="AL6" s="1282"/>
      <c r="AM6" s="1282"/>
      <c r="AN6" s="1283"/>
      <c r="AO6" s="1305" t="s">
        <v>334</v>
      </c>
      <c r="AP6" s="1305" t="s">
        <v>335</v>
      </c>
    </row>
    <row r="7" spans="2:45" ht="24" customHeight="1" x14ac:dyDescent="0.35">
      <c r="B7" s="1276"/>
      <c r="C7" s="1277"/>
      <c r="D7" s="214">
        <v>2018</v>
      </c>
      <c r="E7" s="1271">
        <v>2019</v>
      </c>
      <c r="F7" s="1272"/>
      <c r="G7" s="1272"/>
      <c r="H7" s="1273"/>
      <c r="I7" s="1271">
        <v>2020</v>
      </c>
      <c r="J7" s="1272"/>
      <c r="K7" s="1272"/>
      <c r="L7" s="1272"/>
      <c r="M7" s="1271">
        <v>2021</v>
      </c>
      <c r="N7" s="1272"/>
      <c r="O7" s="1272"/>
      <c r="P7" s="1272"/>
      <c r="Q7" s="1271">
        <v>2022</v>
      </c>
      <c r="R7" s="1272"/>
      <c r="S7" s="1272"/>
      <c r="T7" s="1272"/>
      <c r="U7" s="318"/>
      <c r="V7" s="319">
        <v>2023</v>
      </c>
      <c r="W7" s="319"/>
      <c r="X7" s="320"/>
      <c r="Y7" s="280"/>
      <c r="Z7" s="217">
        <v>2024</v>
      </c>
      <c r="AA7" s="217"/>
      <c r="AB7" s="216"/>
      <c r="AC7" s="1313">
        <v>2025</v>
      </c>
      <c r="AD7" s="1314"/>
      <c r="AE7" s="1314"/>
      <c r="AF7" s="1314"/>
      <c r="AG7" s="1280">
        <v>2026</v>
      </c>
      <c r="AH7" s="1281"/>
      <c r="AI7" s="1281"/>
      <c r="AJ7" s="1285"/>
      <c r="AK7" s="1280">
        <v>2027</v>
      </c>
      <c r="AL7" s="1281"/>
      <c r="AM7" s="1281"/>
      <c r="AN7" s="1285"/>
      <c r="AO7" s="1306"/>
      <c r="AP7" s="1306"/>
    </row>
    <row r="8" spans="2:45" ht="14.25" customHeight="1" x14ac:dyDescent="0.35">
      <c r="B8" s="1278"/>
      <c r="C8" s="1279"/>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14" t="s">
        <v>282</v>
      </c>
      <c r="R8" s="215" t="s">
        <v>283</v>
      </c>
      <c r="S8" s="215" t="s">
        <v>238</v>
      </c>
      <c r="T8" s="215" t="s">
        <v>281</v>
      </c>
      <c r="U8" s="273" t="s">
        <v>282</v>
      </c>
      <c r="V8" s="274" t="s">
        <v>283</v>
      </c>
      <c r="W8" s="274" t="s">
        <v>238</v>
      </c>
      <c r="X8" s="272" t="s">
        <v>281</v>
      </c>
      <c r="Y8" s="273" t="s">
        <v>282</v>
      </c>
      <c r="Z8" s="279" t="s">
        <v>283</v>
      </c>
      <c r="AA8" s="274" t="s">
        <v>238</v>
      </c>
      <c r="AB8" s="272" t="s">
        <v>281</v>
      </c>
      <c r="AC8" s="259" t="s">
        <v>282</v>
      </c>
      <c r="AD8" s="257" t="s">
        <v>283</v>
      </c>
      <c r="AE8" s="260" t="s">
        <v>238</v>
      </c>
      <c r="AF8" s="260" t="s">
        <v>281</v>
      </c>
      <c r="AG8" s="259" t="s">
        <v>282</v>
      </c>
      <c r="AH8" s="260" t="s">
        <v>283</v>
      </c>
      <c r="AI8" s="260" t="s">
        <v>238</v>
      </c>
      <c r="AJ8" s="287" t="s">
        <v>281</v>
      </c>
      <c r="AK8" s="259" t="s">
        <v>282</v>
      </c>
      <c r="AL8" s="260" t="s">
        <v>283</v>
      </c>
      <c r="AM8" s="260" t="s">
        <v>238</v>
      </c>
      <c r="AN8" s="287" t="s">
        <v>281</v>
      </c>
      <c r="AO8" s="1307"/>
      <c r="AP8" s="1307"/>
    </row>
    <row r="9" spans="2:45" ht="23.9" customHeight="1" x14ac:dyDescent="0.35">
      <c r="B9" s="351" t="s">
        <v>336</v>
      </c>
      <c r="C9" s="411" t="s">
        <v>337</v>
      </c>
      <c r="D9" s="363">
        <f>'Haver Pivoted'!GO32</f>
        <v>590.1</v>
      </c>
      <c r="E9" s="364">
        <f>'Haver Pivoted'!GP32</f>
        <v>591.20000000000005</v>
      </c>
      <c r="F9" s="364">
        <f>'Haver Pivoted'!GQ32</f>
        <v>610.70000000000005</v>
      </c>
      <c r="G9" s="364">
        <f>'Haver Pivoted'!GR32</f>
        <v>608.79999999999995</v>
      </c>
      <c r="H9" s="364">
        <f>'Haver Pivoted'!GS32</f>
        <v>625</v>
      </c>
      <c r="I9" s="364">
        <f>'Haver Pivoted'!GT32</f>
        <v>635</v>
      </c>
      <c r="J9" s="364">
        <f>'Haver Pivoted'!GU32</f>
        <v>1387</v>
      </c>
      <c r="K9" s="364">
        <f>'Haver Pivoted'!GV32</f>
        <v>734.9</v>
      </c>
      <c r="L9" s="364">
        <f>'Haver Pivoted'!GW32</f>
        <v>757.9</v>
      </c>
      <c r="M9" s="364">
        <f>'Haver Pivoted'!GX32</f>
        <v>777.7</v>
      </c>
      <c r="N9" s="364">
        <f>'Haver Pivoted'!GY32</f>
        <v>1640.8</v>
      </c>
      <c r="O9" s="364">
        <f>'Haver Pivoted'!GZ32</f>
        <v>1085.5999999999999</v>
      </c>
      <c r="P9" s="364">
        <f>'Haver Pivoted'!HA32</f>
        <v>936.3</v>
      </c>
      <c r="Q9" s="364">
        <f>'Haver Pivoted'!HB32</f>
        <v>930</v>
      </c>
      <c r="R9" s="364">
        <f>'Haver Pivoted'!HC32</f>
        <v>951.4</v>
      </c>
      <c r="S9" s="365">
        <f>'Haver Pivoted'!HD32</f>
        <v>956.4</v>
      </c>
      <c r="T9" s="365">
        <f>'Haver Pivoted'!HE32</f>
        <v>955.4</v>
      </c>
      <c r="U9" s="340">
        <f>'Haver Pivoted'!HF32</f>
        <v>977.7</v>
      </c>
      <c r="V9" s="340">
        <f>'Haver Pivoted'!HG32</f>
        <v>967.9</v>
      </c>
      <c r="W9" s="340">
        <f>'Haver Pivoted'!HH32</f>
        <v>915.6</v>
      </c>
      <c r="X9" s="340">
        <f>'Haver Pivoted'!HI32</f>
        <v>941.4</v>
      </c>
      <c r="Y9" s="340">
        <f>'Haver Pivoted'!HJ32</f>
        <v>941</v>
      </c>
      <c r="Z9" s="340">
        <f>'Haver Pivoted'!HK32</f>
        <v>949.1</v>
      </c>
      <c r="AA9" s="340">
        <f>'Haver Pivoted'!HL32</f>
        <v>981.6</v>
      </c>
      <c r="AB9" s="340">
        <f>'Haver Pivoted'!HM32</f>
        <v>981.1</v>
      </c>
      <c r="AC9" s="342">
        <f>AC10+AC11</f>
        <v>990.17434238549208</v>
      </c>
      <c r="AD9" s="342">
        <f>AD10+AD11</f>
        <v>1007.6364363471888</v>
      </c>
      <c r="AE9" s="342">
        <f>AE10+AE11</f>
        <v>1000.8572126888835</v>
      </c>
      <c r="AF9" s="342">
        <f>AF10+AF11</f>
        <v>1013.2104343484164</v>
      </c>
      <c r="AG9" s="342">
        <f t="shared" ref="AG9:AM9" si="0">AG10+AG11</f>
        <v>1026.450047778673</v>
      </c>
      <c r="AH9" s="342">
        <f t="shared" si="0"/>
        <v>1039.9752665340736</v>
      </c>
      <c r="AI9" s="342">
        <f t="shared" si="0"/>
        <v>1053.7123100149261</v>
      </c>
      <c r="AJ9" s="342">
        <f t="shared" si="0"/>
        <v>1067.5321871158358</v>
      </c>
      <c r="AK9" s="342">
        <f t="shared" si="0"/>
        <v>1081.6996370874413</v>
      </c>
      <c r="AL9" s="342">
        <f t="shared" si="0"/>
        <v>1096.0685133030174</v>
      </c>
      <c r="AM9" s="342">
        <f t="shared" si="0"/>
        <v>1110.6148567883788</v>
      </c>
      <c r="AN9" s="342" t="e">
        <f>AN10+AN11</f>
        <v>#DIV/0!</v>
      </c>
      <c r="AO9" s="382"/>
      <c r="AP9" s="412"/>
    </row>
    <row r="10" spans="2:45" ht="27.65" customHeight="1" x14ac:dyDescent="0.35">
      <c r="B10" s="418" t="s">
        <v>133</v>
      </c>
      <c r="C10" s="231" t="s">
        <v>338</v>
      </c>
      <c r="D10" s="369">
        <f>'Haver Pivoted'!GO40</f>
        <v>391.92099999999999</v>
      </c>
      <c r="E10" s="54">
        <f>'Haver Pivoted'!GP40</f>
        <v>405.36799999999999</v>
      </c>
      <c r="F10" s="54">
        <f>'Haver Pivoted'!GQ40</f>
        <v>414.19600000000003</v>
      </c>
      <c r="G10" s="54">
        <f>'Haver Pivoted'!GR40</f>
        <v>418.68599999999998</v>
      </c>
      <c r="H10" s="54">
        <f>'Haver Pivoted'!GS40</f>
        <v>416.185</v>
      </c>
      <c r="I10" s="54">
        <f>'Haver Pivoted'!GT40</f>
        <v>422.89</v>
      </c>
      <c r="J10" s="54">
        <f>'Haver Pivoted'!GU40</f>
        <v>502.90600000000001</v>
      </c>
      <c r="K10" s="54">
        <f>'Haver Pivoted'!GV40</f>
        <v>484.48</v>
      </c>
      <c r="L10" s="54">
        <f>'Haver Pivoted'!GW40</f>
        <v>509.88400000000001</v>
      </c>
      <c r="M10" s="54">
        <f>'Haver Pivoted'!GX40</f>
        <v>499.42899999999997</v>
      </c>
      <c r="N10" s="54">
        <f>'Haver Pivoted'!GY40</f>
        <v>520.79</v>
      </c>
      <c r="O10" s="54">
        <f>'Haver Pivoted'!GZ40</f>
        <v>545.32600000000002</v>
      </c>
      <c r="P10" s="427">
        <f>'Haver Pivoted'!HA40</f>
        <v>567.61</v>
      </c>
      <c r="Q10" s="54">
        <f>'Haver Pivoted'!HB40</f>
        <v>589.92700000000002</v>
      </c>
      <c r="R10" s="54">
        <f>'Haver Pivoted'!HC40</f>
        <v>585.74599999999998</v>
      </c>
      <c r="S10" s="339">
        <f>'Haver Pivoted'!HD40</f>
        <v>617.88900000000001</v>
      </c>
      <c r="T10" s="339">
        <f>'Haver Pivoted'!HE40</f>
        <v>611.67999999999995</v>
      </c>
      <c r="U10" s="339">
        <f>'Haver Pivoted'!HF40</f>
        <v>632.66</v>
      </c>
      <c r="V10" s="339">
        <f>'Haver Pivoted'!HG40</f>
        <v>628.88699999999994</v>
      </c>
      <c r="W10" s="339">
        <f>'Haver Pivoted'!HH40</f>
        <v>585.98400000000004</v>
      </c>
      <c r="X10" s="339">
        <f>'Haver Pivoted'!HI40</f>
        <v>612.03399999999999</v>
      </c>
      <c r="Y10" s="339">
        <f>'Haver Pivoted'!HJ40</f>
        <v>618.72699999999998</v>
      </c>
      <c r="Z10" s="339">
        <f>'Haver Pivoted'!HK40</f>
        <v>628.15700000000004</v>
      </c>
      <c r="AA10" s="339">
        <f>'Haver Pivoted'!HL40</f>
        <v>641.23699999999997</v>
      </c>
      <c r="AB10" s="339">
        <f>'Haver Pivoted'!HM40</f>
        <v>655.17499999999995</v>
      </c>
      <c r="AC10" s="343">
        <f>Medicaid!AC29</f>
        <v>661.27117981628589</v>
      </c>
      <c r="AD10" s="343">
        <f>Medicaid!AD29</f>
        <v>674.72576616221306</v>
      </c>
      <c r="AE10" s="343">
        <f>Medicaid!AE29</f>
        <v>689.58740069290093</v>
      </c>
      <c r="AF10" s="343">
        <f>Medicaid!AF29</f>
        <v>698.87355434841629</v>
      </c>
      <c r="AG10" s="343">
        <f>Medicaid!AG29</f>
        <v>709.01587870669846</v>
      </c>
      <c r="AH10" s="343">
        <f>Medicaid!AH29</f>
        <v>719.41328954169887</v>
      </c>
      <c r="AI10" s="343">
        <f>Medicaid!AI29</f>
        <v>729.99170553910426</v>
      </c>
      <c r="AJ10" s="343">
        <f>Medicaid!AJ29</f>
        <v>740.62183191583563</v>
      </c>
      <c r="AK10" s="343">
        <f>Medicaid!AK29</f>
        <v>751.56810125258789</v>
      </c>
      <c r="AL10" s="343">
        <f>Medicaid!AL29</f>
        <v>762.6840572309477</v>
      </c>
      <c r="AM10" s="343">
        <f>Medicaid!AM29</f>
        <v>773.94542813352416</v>
      </c>
      <c r="AN10" s="343" t="e">
        <f>Medicaid!AN29</f>
        <v>#DIV/0!</v>
      </c>
      <c r="AO10" s="355"/>
      <c r="AP10" s="401"/>
    </row>
    <row r="11" spans="2:45" ht="17.25" customHeight="1" x14ac:dyDescent="0.35">
      <c r="B11" s="242" t="s">
        <v>339</v>
      </c>
      <c r="C11" s="231"/>
      <c r="D11" s="369">
        <f t="shared" ref="D11:G11" si="1">D9-D10</f>
        <v>198.17900000000003</v>
      </c>
      <c r="E11" s="54">
        <f t="shared" si="1"/>
        <v>185.83200000000005</v>
      </c>
      <c r="F11" s="54">
        <f t="shared" si="1"/>
        <v>196.50400000000002</v>
      </c>
      <c r="G11" s="54">
        <f t="shared" si="1"/>
        <v>190.11399999999998</v>
      </c>
      <c r="H11" s="54">
        <f>H9-H10</f>
        <v>208.815</v>
      </c>
      <c r="I11" s="54">
        <f t="shared" ref="I11:N11" si="2">I9-I10</f>
        <v>212.11</v>
      </c>
      <c r="J11" s="54">
        <f t="shared" si="2"/>
        <v>884.09400000000005</v>
      </c>
      <c r="K11" s="54">
        <f t="shared" si="2"/>
        <v>250.41999999999996</v>
      </c>
      <c r="L11" s="54">
        <f t="shared" si="2"/>
        <v>248.01599999999996</v>
      </c>
      <c r="M11" s="54">
        <f t="shared" si="2"/>
        <v>278.27100000000007</v>
      </c>
      <c r="N11" s="54">
        <f t="shared" si="2"/>
        <v>1120.01</v>
      </c>
      <c r="O11" s="54">
        <f t="shared" ref="O11:T11" si="3">O9-O10</f>
        <v>540.27399999999989</v>
      </c>
      <c r="P11" s="427">
        <f t="shared" si="3"/>
        <v>368.68999999999994</v>
      </c>
      <c r="Q11" s="54">
        <f t="shared" si="3"/>
        <v>340.07299999999998</v>
      </c>
      <c r="R11" s="54">
        <f t="shared" si="3"/>
        <v>365.654</v>
      </c>
      <c r="S11" s="339">
        <f t="shared" si="3"/>
        <v>338.51099999999997</v>
      </c>
      <c r="T11" s="339">
        <f t="shared" si="3"/>
        <v>343.72</v>
      </c>
      <c r="U11" s="339">
        <f t="shared" ref="U11:Z11" si="4">U9-U10</f>
        <v>345.04000000000008</v>
      </c>
      <c r="V11" s="339">
        <f t="shared" si="4"/>
        <v>339.01300000000003</v>
      </c>
      <c r="W11" s="339">
        <f t="shared" si="4"/>
        <v>329.61599999999999</v>
      </c>
      <c r="X11" s="339">
        <f t="shared" si="4"/>
        <v>329.36599999999999</v>
      </c>
      <c r="Y11" s="339">
        <f t="shared" si="4"/>
        <v>322.27300000000002</v>
      </c>
      <c r="Z11" s="339">
        <f t="shared" si="4"/>
        <v>320.94299999999998</v>
      </c>
      <c r="AA11" s="339">
        <f t="shared" ref="AA11:AB11" si="5">AA9-AA10</f>
        <v>340.36300000000006</v>
      </c>
      <c r="AB11" s="339">
        <f t="shared" si="5"/>
        <v>325.92500000000007</v>
      </c>
      <c r="AC11" s="343">
        <f t="shared" ref="AC11:AH11" si="6">SUM(AC12:AC20)</f>
        <v>328.90316256920624</v>
      </c>
      <c r="AD11" s="343">
        <f t="shared" si="6"/>
        <v>332.91067018497574</v>
      </c>
      <c r="AE11" s="343">
        <f t="shared" si="6"/>
        <v>311.26981199598254</v>
      </c>
      <c r="AF11" s="343">
        <f t="shared" si="6"/>
        <v>314.33688000000006</v>
      </c>
      <c r="AG11" s="343">
        <f t="shared" si="6"/>
        <v>317.43416907197451</v>
      </c>
      <c r="AH11" s="343">
        <f t="shared" si="6"/>
        <v>320.56197699237475</v>
      </c>
      <c r="AI11" s="343">
        <f t="shared" ref="AI11:AM11" si="7">SUM(AI12:AI20)</f>
        <v>323.7206044758218</v>
      </c>
      <c r="AJ11" s="343">
        <f t="shared" si="7"/>
        <v>326.91035520000003</v>
      </c>
      <c r="AK11" s="343">
        <f t="shared" si="7"/>
        <v>330.13153583485342</v>
      </c>
      <c r="AL11" s="343">
        <f t="shared" si="7"/>
        <v>333.38445607206972</v>
      </c>
      <c r="AM11" s="343">
        <f t="shared" si="7"/>
        <v>336.66942865485464</v>
      </c>
      <c r="AN11" s="343">
        <f>SUM(AN12:AN20)</f>
        <v>339.98676940799999</v>
      </c>
      <c r="AO11" s="355"/>
      <c r="AP11" s="401"/>
    </row>
    <row r="12" spans="2:45" ht="16.399999999999999" customHeight="1" x14ac:dyDescent="0.35">
      <c r="B12" s="360" t="s">
        <v>149</v>
      </c>
      <c r="C12" s="39" t="s">
        <v>340</v>
      </c>
      <c r="D12" s="422"/>
      <c r="E12" s="39"/>
      <c r="F12" s="39"/>
      <c r="G12" s="39"/>
      <c r="H12" s="54"/>
      <c r="I12" s="54"/>
      <c r="J12" s="54">
        <f>'Haver Pivoted'!GU56</f>
        <v>597.9</v>
      </c>
      <c r="K12" s="54"/>
      <c r="L12" s="54"/>
      <c r="M12" s="54"/>
      <c r="N12" s="54"/>
      <c r="O12" s="37">
        <v>0</v>
      </c>
      <c r="P12" s="232">
        <v>0</v>
      </c>
      <c r="Q12" s="37">
        <v>0</v>
      </c>
      <c r="R12" s="37">
        <v>0</v>
      </c>
      <c r="S12" s="37">
        <v>0</v>
      </c>
      <c r="T12" s="37">
        <v>0</v>
      </c>
      <c r="U12" s="37">
        <v>0</v>
      </c>
      <c r="V12" s="37">
        <v>0</v>
      </c>
      <c r="W12" s="37">
        <v>0</v>
      </c>
      <c r="X12" s="343">
        <v>0</v>
      </c>
      <c r="Y12" s="343">
        <v>0</v>
      </c>
      <c r="Z12" s="343">
        <v>0</v>
      </c>
      <c r="AA12" s="343">
        <v>0</v>
      </c>
      <c r="AB12" s="343">
        <v>0</v>
      </c>
      <c r="AC12" s="343">
        <v>0</v>
      </c>
      <c r="AD12" s="343">
        <v>0</v>
      </c>
      <c r="AE12" s="343"/>
      <c r="AF12" s="343"/>
      <c r="AG12" s="343"/>
      <c r="AH12" s="343"/>
      <c r="AI12" s="343"/>
      <c r="AJ12" s="343"/>
      <c r="AK12" s="343"/>
      <c r="AL12" s="343"/>
      <c r="AM12" s="343"/>
      <c r="AN12" s="343"/>
      <c r="AO12" s="355">
        <f t="shared" ref="AO12:AO17" si="8">SUM(I12:Y12)/4</f>
        <v>149.47499999999999</v>
      </c>
      <c r="AP12" s="401">
        <f>AO24</f>
        <v>150</v>
      </c>
    </row>
    <row r="13" spans="2:45" x14ac:dyDescent="0.35">
      <c r="B13" s="360" t="s">
        <v>150</v>
      </c>
      <c r="C13" s="39" t="s">
        <v>341</v>
      </c>
      <c r="D13" s="422"/>
      <c r="E13" s="39"/>
      <c r="F13" s="39"/>
      <c r="G13" s="39"/>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27">
        <f>'Haver Pivoted'!HA57</f>
        <v>87.2</v>
      </c>
      <c r="Q13" s="54">
        <f>'Haver Pivoted'!HB57</f>
        <v>72.400000000000006</v>
      </c>
      <c r="R13" s="54">
        <f>'Haver Pivoted'!HC57</f>
        <v>85.9</v>
      </c>
      <c r="S13" s="339">
        <f>'Haver Pivoted'!HD57</f>
        <v>68.3</v>
      </c>
      <c r="T13" s="339">
        <f>'Haver Pivoted'!HE57</f>
        <v>64</v>
      </c>
      <c r="U13" s="341">
        <f>U25+U29+U35</f>
        <v>60.929333333333297</v>
      </c>
      <c r="V13" s="341">
        <f t="shared" ref="V13:AC13" si="9">V25+V29+V35</f>
        <v>60.929333333333297</v>
      </c>
      <c r="W13" s="341">
        <f>W25+W29+W35</f>
        <v>60.929333333333297</v>
      </c>
      <c r="X13" s="341">
        <f t="shared" si="9"/>
        <v>54.244333333333302</v>
      </c>
      <c r="Y13" s="341">
        <f t="shared" si="9"/>
        <v>50.911000000000001</v>
      </c>
      <c r="Z13" s="341">
        <f t="shared" si="9"/>
        <v>31.911000000000001</v>
      </c>
      <c r="AA13" s="341">
        <f t="shared" si="9"/>
        <v>31.911000000000001</v>
      </c>
      <c r="AB13" s="341">
        <f t="shared" si="9"/>
        <v>23.099</v>
      </c>
      <c r="AC13" s="341">
        <f t="shared" si="9"/>
        <v>23.099</v>
      </c>
      <c r="AD13" s="341">
        <f>AD25+AD29+AD35</f>
        <v>23.099</v>
      </c>
      <c r="AE13" s="341"/>
      <c r="AF13" s="341"/>
      <c r="AG13" s="341"/>
      <c r="AH13" s="341"/>
      <c r="AI13" s="341"/>
      <c r="AJ13" s="341"/>
      <c r="AK13" s="341"/>
      <c r="AL13" s="341"/>
      <c r="AM13" s="341"/>
      <c r="AN13" s="341"/>
      <c r="AO13" s="355">
        <f t="shared" si="8"/>
        <v>225.58583333333326</v>
      </c>
      <c r="AP13" s="401">
        <f>AO25+AO29+AO35</f>
        <v>225.76349999999994</v>
      </c>
      <c r="AQ13" s="43">
        <f>SUM(J13:R13)/4</f>
        <v>120.52500000000001</v>
      </c>
    </row>
    <row r="14" spans="2:45" x14ac:dyDescent="0.35">
      <c r="B14" s="360" t="s">
        <v>152</v>
      </c>
      <c r="C14" s="36" t="s">
        <v>306</v>
      </c>
      <c r="D14" s="357"/>
      <c r="E14" s="36"/>
      <c r="F14" s="36"/>
      <c r="G14" s="36"/>
      <c r="H14" s="54"/>
      <c r="I14" s="54"/>
      <c r="J14" s="54">
        <f>'Haver Pivoted'!GU58</f>
        <v>64.400000000000006</v>
      </c>
      <c r="K14" s="54">
        <f>'Haver Pivoted'!GV58</f>
        <v>23.4</v>
      </c>
      <c r="L14" s="54">
        <f>'Haver Pivoted'!GW58</f>
        <v>13.8</v>
      </c>
      <c r="M14" s="54">
        <f>'Haver Pivoted'!GX58</f>
        <v>12</v>
      </c>
      <c r="N14" s="54">
        <f>'Haver Pivoted'!GY58</f>
        <v>7.5</v>
      </c>
      <c r="O14" s="54">
        <f>'Haver Pivoted'!GZ58</f>
        <v>10.5</v>
      </c>
      <c r="P14" s="427">
        <f>'Haver Pivoted'!HA58</f>
        <v>18</v>
      </c>
      <c r="Q14" s="54">
        <f>'Haver Pivoted'!HB58</f>
        <v>15</v>
      </c>
      <c r="R14" s="54">
        <f>'Haver Pivoted'!HC58</f>
        <v>11.2</v>
      </c>
      <c r="S14" s="339">
        <f>'Haver Pivoted'!HD58</f>
        <v>7.5</v>
      </c>
      <c r="T14" s="339">
        <f>'Haver Pivoted'!HE58</f>
        <v>6.2</v>
      </c>
      <c r="U14" s="339">
        <f>'Haver Pivoted'!HF58</f>
        <v>0</v>
      </c>
      <c r="V14" s="339">
        <f>'Haver Pivoted'!HG58</f>
        <v>0</v>
      </c>
      <c r="W14" s="339">
        <f>'Haver Pivoted'!HH58</f>
        <v>0</v>
      </c>
      <c r="X14" s="339">
        <f>'Haver Pivoted'!HI58</f>
        <v>0</v>
      </c>
      <c r="Y14" s="339">
        <f>'Haver Pivoted'!HJ58</f>
        <v>0</v>
      </c>
      <c r="Z14" s="339">
        <f>'Haver Pivoted'!HK58</f>
        <v>0</v>
      </c>
      <c r="AA14" s="339">
        <f>'Haver Pivoted'!HL58</f>
        <v>0</v>
      </c>
      <c r="AB14" s="339">
        <f>'Haver Pivoted'!HM58</f>
        <v>0</v>
      </c>
      <c r="AC14" s="343">
        <f>'Provider Relief (expired)'!AC12</f>
        <v>0</v>
      </c>
      <c r="AD14" s="343">
        <f>'Provider Relief (expired)'!AD12</f>
        <v>0</v>
      </c>
      <c r="AE14" s="343"/>
      <c r="AF14" s="343"/>
      <c r="AG14" s="343"/>
      <c r="AH14" s="343"/>
      <c r="AI14" s="343"/>
      <c r="AJ14" s="343"/>
      <c r="AK14" s="343"/>
      <c r="AL14" s="343"/>
      <c r="AM14" s="343"/>
      <c r="AN14" s="343"/>
      <c r="AO14" s="355">
        <f t="shared" si="8"/>
        <v>47.375</v>
      </c>
      <c r="AP14" s="401">
        <f>AO26+AO30+AO36</f>
        <v>34.125000000000007</v>
      </c>
    </row>
    <row r="15" spans="2:45" ht="15.75" customHeight="1" x14ac:dyDescent="0.35">
      <c r="B15" s="360" t="s">
        <v>342</v>
      </c>
      <c r="C15" s="36"/>
      <c r="D15" s="357"/>
      <c r="E15" s="36"/>
      <c r="F15" s="36"/>
      <c r="G15" s="36"/>
      <c r="H15" s="54"/>
      <c r="I15" s="54"/>
      <c r="J15" s="54"/>
      <c r="K15" s="54"/>
      <c r="L15" s="54"/>
      <c r="M15" s="54">
        <f>M28</f>
        <v>9.6666666666666661</v>
      </c>
      <c r="N15" s="37">
        <f t="shared" ref="N15:AC15" si="10">N28</f>
        <v>9.6666666666666661</v>
      </c>
      <c r="O15" s="37">
        <f t="shared" si="10"/>
        <v>9.6666666666666661</v>
      </c>
      <c r="P15" s="232">
        <f>P28</f>
        <v>9.6666666666666661</v>
      </c>
      <c r="Q15" s="37">
        <f>Q28</f>
        <v>9.6666666666666661</v>
      </c>
      <c r="R15" s="37">
        <f t="shared" si="10"/>
        <v>9.6666666666666661</v>
      </c>
      <c r="S15" s="37">
        <f t="shared" si="10"/>
        <v>9.6666666666666661</v>
      </c>
      <c r="T15" s="37">
        <f t="shared" si="10"/>
        <v>9.6666666666666661</v>
      </c>
      <c r="U15" s="37">
        <f t="shared" si="10"/>
        <v>9.6666666666666661</v>
      </c>
      <c r="V15" s="37">
        <f t="shared" si="10"/>
        <v>9.6666666666666661</v>
      </c>
      <c r="W15" s="37">
        <f t="shared" si="10"/>
        <v>9.6666666666666661</v>
      </c>
      <c r="X15" s="343">
        <f t="shared" si="10"/>
        <v>9.6666666666666661</v>
      </c>
      <c r="Y15" s="343">
        <f t="shared" si="10"/>
        <v>0</v>
      </c>
      <c r="Z15" s="343">
        <f t="shared" si="10"/>
        <v>0</v>
      </c>
      <c r="AA15" s="343">
        <f t="shared" si="10"/>
        <v>0</v>
      </c>
      <c r="AB15" s="343">
        <f t="shared" si="10"/>
        <v>0</v>
      </c>
      <c r="AC15" s="343">
        <f t="shared" si="10"/>
        <v>0</v>
      </c>
      <c r="AD15" s="343">
        <f t="shared" ref="AD15" si="11">AD28</f>
        <v>0</v>
      </c>
      <c r="AE15" s="343"/>
      <c r="AF15" s="343"/>
      <c r="AG15" s="343"/>
      <c r="AH15" s="343"/>
      <c r="AI15" s="343"/>
      <c r="AJ15" s="343"/>
      <c r="AK15" s="343"/>
      <c r="AL15" s="343"/>
      <c r="AM15" s="343"/>
      <c r="AN15" s="343"/>
      <c r="AO15" s="355">
        <f t="shared" si="8"/>
        <v>29.000000000000004</v>
      </c>
      <c r="AP15" s="402">
        <f>AO28</f>
        <v>29.000000000000004</v>
      </c>
      <c r="AQ15" s="372" t="s">
        <v>343</v>
      </c>
      <c r="AR15" s="372"/>
      <c r="AS15" s="372"/>
    </row>
    <row r="16" spans="2:45" ht="31.4" customHeight="1" x14ac:dyDescent="0.35">
      <c r="B16" s="360" t="s">
        <v>344</v>
      </c>
      <c r="C16" s="36"/>
      <c r="D16" s="357"/>
      <c r="E16" s="36"/>
      <c r="F16" s="36"/>
      <c r="G16" s="36"/>
      <c r="H16" s="54"/>
      <c r="I16" s="54"/>
      <c r="J16" s="54"/>
      <c r="K16" s="54"/>
      <c r="L16" s="54"/>
      <c r="M16" s="54">
        <f>M32+M31</f>
        <v>12</v>
      </c>
      <c r="N16" s="37">
        <f>N32+N31</f>
        <v>12</v>
      </c>
      <c r="O16" s="37">
        <f>O32+O31</f>
        <v>12</v>
      </c>
      <c r="P16" s="232">
        <f t="shared" ref="P16:AC16" si="12">P32+P31</f>
        <v>12</v>
      </c>
      <c r="Q16" s="37">
        <f t="shared" si="12"/>
        <v>12</v>
      </c>
      <c r="R16" s="37">
        <f t="shared" si="12"/>
        <v>12</v>
      </c>
      <c r="S16" s="37">
        <f t="shared" si="12"/>
        <v>12</v>
      </c>
      <c r="T16" s="37">
        <f t="shared" si="12"/>
        <v>12</v>
      </c>
      <c r="U16" s="37">
        <f t="shared" si="12"/>
        <v>12</v>
      </c>
      <c r="V16" s="37">
        <f t="shared" si="12"/>
        <v>12</v>
      </c>
      <c r="W16" s="37">
        <f t="shared" si="12"/>
        <v>12</v>
      </c>
      <c r="X16" s="343">
        <f t="shared" si="12"/>
        <v>12</v>
      </c>
      <c r="Y16" s="343">
        <f t="shared" si="12"/>
        <v>0</v>
      </c>
      <c r="Z16" s="343">
        <f t="shared" si="12"/>
        <v>0</v>
      </c>
      <c r="AA16" s="343">
        <f t="shared" si="12"/>
        <v>0</v>
      </c>
      <c r="AB16" s="343">
        <f t="shared" si="12"/>
        <v>0</v>
      </c>
      <c r="AC16" s="343">
        <f t="shared" si="12"/>
        <v>0</v>
      </c>
      <c r="AD16" s="343">
        <f t="shared" ref="AD16" si="13">AD32+AD31</f>
        <v>0</v>
      </c>
      <c r="AE16" s="343"/>
      <c r="AF16" s="343"/>
      <c r="AG16" s="343"/>
      <c r="AH16" s="343"/>
      <c r="AI16" s="343"/>
      <c r="AJ16" s="343"/>
      <c r="AK16" s="343"/>
      <c r="AL16" s="343"/>
      <c r="AM16" s="343"/>
      <c r="AN16" s="343"/>
      <c r="AO16" s="355">
        <f t="shared" si="8"/>
        <v>36</v>
      </c>
      <c r="AP16" s="401">
        <f>SUM(AO31:AO32)+AO37</f>
        <v>130.3365</v>
      </c>
      <c r="AQ16" s="372" t="s">
        <v>345</v>
      </c>
      <c r="AR16" s="372"/>
      <c r="AS16" s="372"/>
    </row>
    <row r="17" spans="1:45" x14ac:dyDescent="0.35">
      <c r="B17" s="360" t="s">
        <v>346</v>
      </c>
      <c r="C17" s="36"/>
      <c r="D17" s="357"/>
      <c r="E17" s="36"/>
      <c r="F17" s="36"/>
      <c r="G17" s="36"/>
      <c r="H17" s="54"/>
      <c r="I17" s="54"/>
      <c r="J17" s="54"/>
      <c r="K17" s="54"/>
      <c r="L17" s="54"/>
      <c r="M17" s="54"/>
      <c r="N17" s="37">
        <f>N37</f>
        <v>59.256</v>
      </c>
      <c r="O17" s="37">
        <f>O37</f>
        <v>59.256</v>
      </c>
      <c r="P17" s="232">
        <f>P37</f>
        <v>35.671000000000006</v>
      </c>
      <c r="Q17" s="37">
        <f>Q37</f>
        <v>35.671000000000006</v>
      </c>
      <c r="R17" s="37">
        <f t="shared" ref="R17:AC17" si="14">R37</f>
        <v>35.671000000000006</v>
      </c>
      <c r="S17" s="37">
        <f t="shared" si="14"/>
        <v>35.671000000000006</v>
      </c>
      <c r="T17" s="37">
        <f t="shared" si="14"/>
        <v>24.216000000000001</v>
      </c>
      <c r="U17" s="37">
        <f t="shared" si="14"/>
        <v>24.216000000000001</v>
      </c>
      <c r="V17" s="37">
        <f t="shared" si="14"/>
        <v>24.216000000000001</v>
      </c>
      <c r="W17" s="37">
        <f t="shared" si="14"/>
        <v>24.216000000000001</v>
      </c>
      <c r="X17" s="343">
        <f t="shared" si="14"/>
        <v>9.6430000000000007</v>
      </c>
      <c r="Y17" s="343">
        <f t="shared" si="14"/>
        <v>9.6430000000000007</v>
      </c>
      <c r="Z17" s="343">
        <f t="shared" si="14"/>
        <v>9.6430000000000007</v>
      </c>
      <c r="AA17" s="343">
        <f t="shared" si="14"/>
        <v>9.6430000000000007</v>
      </c>
      <c r="AB17" s="343">
        <f t="shared" si="14"/>
        <v>4.5789999999999997</v>
      </c>
      <c r="AC17" s="343">
        <f t="shared" si="14"/>
        <v>4.5789999999999997</v>
      </c>
      <c r="AD17" s="343">
        <f>AD37</f>
        <v>4.5789999999999997</v>
      </c>
      <c r="AE17" s="343"/>
      <c r="AF17" s="343"/>
      <c r="AG17" s="343"/>
      <c r="AH17" s="343"/>
      <c r="AI17" s="343"/>
      <c r="AJ17" s="343"/>
      <c r="AK17" s="343"/>
      <c r="AL17" s="343"/>
      <c r="AM17" s="343"/>
      <c r="AN17" s="343"/>
      <c r="AO17" s="355">
        <f t="shared" si="8"/>
        <v>94.336500000000001</v>
      </c>
      <c r="AP17" s="401"/>
      <c r="AQ17" s="372"/>
      <c r="AR17" s="372"/>
      <c r="AS17" s="372"/>
    </row>
    <row r="18" spans="1:45" ht="54" customHeight="1" x14ac:dyDescent="0.35">
      <c r="B18" s="408" t="s">
        <v>778</v>
      </c>
      <c r="C18" s="36"/>
      <c r="D18" s="357"/>
      <c r="E18" s="36"/>
      <c r="F18" s="36"/>
      <c r="G18" s="36"/>
      <c r="H18" s="54"/>
      <c r="I18" s="54"/>
      <c r="J18" s="54"/>
      <c r="K18" s="54"/>
      <c r="L18" s="54"/>
      <c r="M18" s="54"/>
      <c r="N18" s="37">
        <v>-40</v>
      </c>
      <c r="O18" s="37">
        <v>-40</v>
      </c>
      <c r="P18" s="232">
        <f>-51</f>
        <v>-51</v>
      </c>
      <c r="Q18" s="37">
        <f>-51</f>
        <v>-51</v>
      </c>
      <c r="R18" s="37">
        <v>-51</v>
      </c>
      <c r="S18" s="37">
        <f>-51</f>
        <v>-51</v>
      </c>
      <c r="T18" s="37">
        <v>0</v>
      </c>
      <c r="U18" s="37">
        <v>0</v>
      </c>
      <c r="V18" s="37">
        <v>0</v>
      </c>
      <c r="W18" s="37">
        <v>0</v>
      </c>
      <c r="X18" s="343">
        <v>-4</v>
      </c>
      <c r="Y18" s="343">
        <v>-4</v>
      </c>
      <c r="Z18" s="343">
        <v>-4</v>
      </c>
      <c r="AA18" s="343">
        <v>-4</v>
      </c>
      <c r="AB18" s="343">
        <v>-4</v>
      </c>
      <c r="AC18" s="343">
        <v>-4</v>
      </c>
      <c r="AD18" s="343">
        <v>-3</v>
      </c>
      <c r="AE18" s="343">
        <v>0</v>
      </c>
      <c r="AF18" s="343">
        <v>0</v>
      </c>
      <c r="AG18" s="343">
        <v>0</v>
      </c>
      <c r="AH18" s="343">
        <v>0</v>
      </c>
      <c r="AI18" s="343">
        <v>0</v>
      </c>
      <c r="AJ18" s="343">
        <v>0</v>
      </c>
      <c r="AK18" s="343">
        <v>0</v>
      </c>
      <c r="AL18" s="343">
        <v>0</v>
      </c>
      <c r="AM18" s="343">
        <v>0</v>
      </c>
      <c r="AN18" s="343">
        <v>0</v>
      </c>
      <c r="AO18" s="355"/>
      <c r="AP18" s="401"/>
      <c r="AQ18" s="372"/>
      <c r="AR18" s="372"/>
      <c r="AS18" s="372"/>
    </row>
    <row r="19" spans="1:45" ht="15.75" customHeight="1" x14ac:dyDescent="0.35">
      <c r="B19" s="360" t="s">
        <v>347</v>
      </c>
      <c r="C19" s="39" t="s">
        <v>348</v>
      </c>
      <c r="D19" s="357"/>
      <c r="E19" s="36"/>
      <c r="F19" s="36"/>
      <c r="G19" s="36"/>
      <c r="H19" s="54"/>
      <c r="I19" s="54"/>
      <c r="J19" s="54"/>
      <c r="K19" s="54">
        <f>'Haver Pivoted'!GV56</f>
        <v>0</v>
      </c>
      <c r="L19" s="54">
        <f>'Haver Pivoted'!GW56</f>
        <v>0</v>
      </c>
      <c r="M19" s="54">
        <f>'Haver Pivoted'!GX56</f>
        <v>0</v>
      </c>
      <c r="N19" s="54">
        <f>'Haver Pivoted'!GY56</f>
        <v>785.9</v>
      </c>
      <c r="O19" s="54">
        <f>'Haver Pivoted'!GZ56</f>
        <v>187.9</v>
      </c>
      <c r="P19" s="427">
        <f>'Haver Pivoted'!HA56</f>
        <v>9.1999999999999993</v>
      </c>
      <c r="Q19" s="54">
        <f>'Haver Pivoted'!HB56</f>
        <v>0.6</v>
      </c>
      <c r="R19" s="54">
        <f>'Haver Pivoted'!HC56</f>
        <v>0</v>
      </c>
      <c r="S19" s="339">
        <f>'Haver Pivoted'!HD56</f>
        <v>0</v>
      </c>
      <c r="T19" s="339">
        <f>'Haver Pivoted'!HE56</f>
        <v>0</v>
      </c>
      <c r="U19" s="339">
        <f>'Haver Pivoted'!HF56</f>
        <v>0</v>
      </c>
      <c r="V19" s="339">
        <f>'Haver Pivoted'!HG56</f>
        <v>0</v>
      </c>
      <c r="W19" s="339">
        <f>'Haver Pivoted'!HH56</f>
        <v>0</v>
      </c>
      <c r="X19" s="339">
        <f>'Haver Pivoted'!HI56</f>
        <v>0</v>
      </c>
      <c r="Y19" s="339">
        <f>'Haver Pivoted'!HJ56</f>
        <v>0</v>
      </c>
      <c r="Z19" s="339">
        <f>'Haver Pivoted'!HK56</f>
        <v>0</v>
      </c>
      <c r="AA19" s="339">
        <f>'Haver Pivoted'!HL56</f>
        <v>0</v>
      </c>
      <c r="AB19" s="339">
        <f>'Haver Pivoted'!HM56</f>
        <v>0</v>
      </c>
      <c r="AC19" s="336">
        <f t="shared" ref="AC19" si="15">AC34</f>
        <v>0</v>
      </c>
      <c r="AD19" s="336">
        <f t="shared" ref="AD19" si="16">AD34</f>
        <v>0</v>
      </c>
      <c r="AE19" s="336">
        <v>0</v>
      </c>
      <c r="AF19" s="336">
        <v>0</v>
      </c>
      <c r="AG19" s="336">
        <v>0</v>
      </c>
      <c r="AH19" s="336">
        <v>0</v>
      </c>
      <c r="AI19" s="336">
        <v>0</v>
      </c>
      <c r="AJ19" s="336">
        <v>0</v>
      </c>
      <c r="AK19" s="336">
        <v>0</v>
      </c>
      <c r="AL19" s="336">
        <v>0</v>
      </c>
      <c r="AM19" s="336">
        <v>0</v>
      </c>
      <c r="AN19" s="336">
        <v>0</v>
      </c>
      <c r="AO19" s="355">
        <f>SUM(I19:Y19)/4</f>
        <v>245.9</v>
      </c>
      <c r="AP19" s="401">
        <f>AO34</f>
        <v>362.04999999999995</v>
      </c>
      <c r="AQ19" s="393"/>
      <c r="AS19" s="372"/>
    </row>
    <row r="20" spans="1:45" ht="15.75" customHeight="1" x14ac:dyDescent="0.35">
      <c r="A20" s="374"/>
      <c r="B20" s="373" t="s">
        <v>349</v>
      </c>
      <c r="C20" s="385"/>
      <c r="D20" s="383">
        <f t="shared" ref="D20:T20" si="17">D11-SUM(D12:D19)</f>
        <v>198.17900000000003</v>
      </c>
      <c r="E20" s="385">
        <f t="shared" si="17"/>
        <v>185.83200000000005</v>
      </c>
      <c r="F20" s="385">
        <f t="shared" si="17"/>
        <v>196.50400000000002</v>
      </c>
      <c r="G20" s="385">
        <f t="shared" si="17"/>
        <v>190.11399999999998</v>
      </c>
      <c r="H20" s="385">
        <f t="shared" si="17"/>
        <v>208.815</v>
      </c>
      <c r="I20" s="385">
        <f t="shared" si="17"/>
        <v>212.11</v>
      </c>
      <c r="J20" s="385">
        <f t="shared" si="17"/>
        <v>193.39400000000012</v>
      </c>
      <c r="K20" s="385">
        <f t="shared" si="17"/>
        <v>211.21999999999997</v>
      </c>
      <c r="L20" s="385">
        <f t="shared" si="17"/>
        <v>219.01599999999996</v>
      </c>
      <c r="M20" s="385">
        <f t="shared" si="17"/>
        <v>215.70433333333341</v>
      </c>
      <c r="N20" s="385">
        <f t="shared" si="17"/>
        <v>218.08733333333339</v>
      </c>
      <c r="O20" s="385">
        <f t="shared" si="17"/>
        <v>220.25133333333321</v>
      </c>
      <c r="P20" s="326">
        <f t="shared" si="17"/>
        <v>247.95233333333329</v>
      </c>
      <c r="Q20" s="385">
        <f t="shared" si="17"/>
        <v>245.7353333333333</v>
      </c>
      <c r="R20" s="385">
        <f t="shared" si="17"/>
        <v>262.2163333333333</v>
      </c>
      <c r="S20" s="362">
        <f t="shared" si="17"/>
        <v>256.37333333333328</v>
      </c>
      <c r="T20" s="362">
        <f t="shared" si="17"/>
        <v>227.63733333333334</v>
      </c>
      <c r="U20" s="362">
        <f t="shared" ref="U20:Z20" si="18">U11-SUM(U12:U19)</f>
        <v>238.22800000000012</v>
      </c>
      <c r="V20" s="362">
        <f t="shared" si="18"/>
        <v>232.20100000000008</v>
      </c>
      <c r="W20" s="362">
        <f t="shared" si="18"/>
        <v>222.80400000000003</v>
      </c>
      <c r="X20" s="362">
        <f t="shared" si="18"/>
        <v>247.81200000000001</v>
      </c>
      <c r="Y20" s="362">
        <f t="shared" si="18"/>
        <v>265.71900000000005</v>
      </c>
      <c r="Z20" s="362">
        <f t="shared" si="18"/>
        <v>283.38900000000001</v>
      </c>
      <c r="AA20" s="362">
        <f>AA11-SUM(AA12:AA19)</f>
        <v>302.80900000000008</v>
      </c>
      <c r="AB20" s="362">
        <f>AB11-SUM(AB12:AB19)</f>
        <v>302.24700000000007</v>
      </c>
      <c r="AC20" s="257">
        <f t="shared" ref="AC20" si="19">AB20*(1.04)^0.25</f>
        <v>305.22516256920625</v>
      </c>
      <c r="AD20" s="257">
        <f>AC20*(1.04)^0.25</f>
        <v>308.23267018497575</v>
      </c>
      <c r="AE20" s="257">
        <f t="shared" ref="AE20:AI20" si="20">AD20*(1.04)^0.25</f>
        <v>311.26981199598254</v>
      </c>
      <c r="AF20" s="257">
        <f>AE20*(1.04)^0.25</f>
        <v>314.33688000000006</v>
      </c>
      <c r="AG20" s="257">
        <f t="shared" si="20"/>
        <v>317.43416907197451</v>
      </c>
      <c r="AH20" s="257">
        <f t="shared" si="20"/>
        <v>320.56197699237475</v>
      </c>
      <c r="AI20" s="257">
        <f t="shared" si="20"/>
        <v>323.7206044758218</v>
      </c>
      <c r="AJ20" s="257">
        <f>AI20*(1.04)^0.25</f>
        <v>326.91035520000003</v>
      </c>
      <c r="AK20" s="257">
        <f>AJ20*(1.04)^0.25</f>
        <v>330.13153583485342</v>
      </c>
      <c r="AL20" s="257">
        <f>AK20*(1.04)^0.25</f>
        <v>333.38445607206972</v>
      </c>
      <c r="AM20" s="257">
        <f>AL20*(1.04)^0.25</f>
        <v>336.66942865485464</v>
      </c>
      <c r="AN20" s="257">
        <f>AM20*(1.04)^0.25</f>
        <v>339.98676940799999</v>
      </c>
      <c r="AO20" s="406"/>
      <c r="AP20" s="403"/>
      <c r="AQ20" s="372" t="s">
        <v>350</v>
      </c>
      <c r="AR20" s="372"/>
      <c r="AS20" s="372"/>
    </row>
    <row r="21" spans="1:45" ht="15.75" customHeight="1" x14ac:dyDescent="0.35">
      <c r="A21" s="10"/>
      <c r="B21" s="345"/>
      <c r="C21" s="36"/>
      <c r="D21" s="36"/>
      <c r="E21" s="36"/>
      <c r="F21" s="36"/>
      <c r="G21" s="36"/>
      <c r="H21" s="36"/>
      <c r="I21" s="36"/>
      <c r="J21" s="36"/>
      <c r="K21" s="36"/>
      <c r="L21" s="36"/>
      <c r="M21" s="36"/>
      <c r="N21" s="36"/>
      <c r="O21" s="36"/>
      <c r="P21" s="377"/>
      <c r="Q21" s="36"/>
      <c r="R21" s="36"/>
      <c r="AO21" s="232"/>
      <c r="AP21" s="377"/>
      <c r="AQ21" s="372"/>
      <c r="AR21" s="372"/>
      <c r="AS21" s="372"/>
    </row>
    <row r="22" spans="1:45" ht="27" customHeight="1" x14ac:dyDescent="0.35">
      <c r="B22" s="1308" t="s">
        <v>352</v>
      </c>
      <c r="C22" s="1309"/>
      <c r="D22" s="1309"/>
      <c r="E22" s="1309"/>
      <c r="F22" s="1309"/>
      <c r="G22" s="1309"/>
      <c r="H22" s="1309"/>
      <c r="I22" s="1309"/>
      <c r="J22" s="1309"/>
      <c r="K22" s="1309"/>
      <c r="L22" s="1309"/>
      <c r="M22" s="1309"/>
      <c r="N22" s="1309"/>
      <c r="O22" s="1309"/>
      <c r="P22" s="1309"/>
      <c r="Q22" s="1309"/>
      <c r="R22" s="1309"/>
      <c r="S22" s="1309"/>
      <c r="T22" s="1309"/>
      <c r="U22" s="1309"/>
      <c r="V22" s="1309"/>
      <c r="W22" s="1309"/>
      <c r="X22" s="1309"/>
      <c r="Y22" s="1309"/>
      <c r="Z22" s="1309"/>
      <c r="AA22" s="1309"/>
      <c r="AB22" s="1309"/>
      <c r="AC22" s="1309"/>
      <c r="AD22" s="316"/>
      <c r="AE22" s="316"/>
      <c r="AF22" s="316"/>
      <c r="AG22" s="316"/>
      <c r="AH22" s="316"/>
      <c r="AI22" s="316"/>
      <c r="AJ22" s="316"/>
      <c r="AK22" s="316"/>
      <c r="AL22" s="316"/>
      <c r="AM22" s="316"/>
      <c r="AN22" s="316"/>
      <c r="AO22" s="348" t="s">
        <v>334</v>
      </c>
      <c r="AP22" s="404"/>
    </row>
    <row r="23" spans="1:45" ht="17.899999999999999" customHeight="1" x14ac:dyDescent="0.35">
      <c r="B23" s="410" t="s">
        <v>353</v>
      </c>
      <c r="C23" s="36"/>
      <c r="D23" s="357"/>
      <c r="E23" s="36"/>
      <c r="F23" s="36"/>
      <c r="G23" s="36"/>
      <c r="H23" s="37"/>
      <c r="I23" s="37"/>
      <c r="J23" s="331">
        <f>SUM(J24:J26)</f>
        <v>692.8</v>
      </c>
      <c r="K23" s="331">
        <f t="shared" ref="K23:P23" si="21">SUM(K24:K26)</f>
        <v>39.200000000000003</v>
      </c>
      <c r="L23" s="331">
        <f t="shared" si="21"/>
        <v>29</v>
      </c>
      <c r="M23" s="331">
        <f t="shared" si="21"/>
        <v>27</v>
      </c>
      <c r="N23" s="331">
        <f t="shared" si="21"/>
        <v>18</v>
      </c>
      <c r="O23" s="331">
        <f t="shared" si="21"/>
        <v>0</v>
      </c>
      <c r="P23" s="228">
        <f t="shared" si="21"/>
        <v>0</v>
      </c>
      <c r="Q23" s="331"/>
      <c r="R23" s="331"/>
      <c r="S23" s="331"/>
      <c r="T23" s="336"/>
      <c r="U23" s="336"/>
      <c r="V23" s="336"/>
      <c r="W23" s="336"/>
      <c r="X23" s="336"/>
      <c r="Y23" s="336"/>
      <c r="Z23" s="336"/>
      <c r="AA23" s="336"/>
      <c r="AB23" s="336"/>
      <c r="AC23" s="336"/>
      <c r="AD23" s="336"/>
      <c r="AE23" s="336"/>
      <c r="AF23" s="336"/>
      <c r="AG23" s="336"/>
      <c r="AH23" s="336"/>
      <c r="AI23" s="336"/>
      <c r="AJ23" s="336"/>
      <c r="AK23" s="336"/>
      <c r="AL23" s="336"/>
      <c r="AM23" s="336"/>
      <c r="AN23" s="336"/>
      <c r="AO23" s="355">
        <f t="shared" ref="AO23:AO36" si="22">SUM(I23:Y23)/4</f>
        <v>201.5</v>
      </c>
      <c r="AP23" s="1303" t="s">
        <v>354</v>
      </c>
      <c r="AQ23" s="1304"/>
    </row>
    <row r="24" spans="1:45" x14ac:dyDescent="0.35">
      <c r="B24" s="375" t="s">
        <v>149</v>
      </c>
      <c r="C24" s="36"/>
      <c r="D24" s="357"/>
      <c r="E24" s="36"/>
      <c r="F24" s="36"/>
      <c r="G24" s="36"/>
      <c r="H24" s="37"/>
      <c r="I24" s="37"/>
      <c r="J24" s="331">
        <f>C44*4</f>
        <v>600</v>
      </c>
      <c r="K24" s="331"/>
      <c r="L24" s="331"/>
      <c r="M24" s="331"/>
      <c r="N24" s="331"/>
      <c r="O24" s="331"/>
      <c r="P24" s="228"/>
      <c r="Q24" s="331"/>
      <c r="R24" s="331"/>
      <c r="S24" s="331"/>
      <c r="T24" s="336"/>
      <c r="U24" s="336"/>
      <c r="V24" s="336"/>
      <c r="W24" s="336"/>
      <c r="X24" s="336"/>
      <c r="Y24" s="336"/>
      <c r="Z24" s="336"/>
      <c r="AA24" s="336"/>
      <c r="AB24" s="336"/>
      <c r="AC24" s="336"/>
      <c r="AD24" s="336"/>
      <c r="AE24" s="336"/>
      <c r="AF24" s="336"/>
      <c r="AG24" s="336"/>
      <c r="AH24" s="336"/>
      <c r="AI24" s="336"/>
      <c r="AJ24" s="336"/>
      <c r="AK24" s="336"/>
      <c r="AL24" s="336"/>
      <c r="AM24" s="336"/>
      <c r="AN24" s="336"/>
      <c r="AO24" s="355">
        <f t="shared" si="22"/>
        <v>150</v>
      </c>
      <c r="AP24" s="331"/>
    </row>
    <row r="25" spans="1:45" ht="15" customHeight="1" x14ac:dyDescent="0.35">
      <c r="B25" s="375" t="s">
        <v>150</v>
      </c>
      <c r="C25" s="36"/>
      <c r="D25" s="357"/>
      <c r="E25" s="36"/>
      <c r="F25" s="36"/>
      <c r="G25" s="36"/>
      <c r="H25" s="37"/>
      <c r="I25" s="37"/>
      <c r="J25" s="331">
        <v>28.4</v>
      </c>
      <c r="K25" s="331">
        <v>15.8</v>
      </c>
      <c r="L25" s="331">
        <v>15.2</v>
      </c>
      <c r="M25" s="331">
        <v>10.9</v>
      </c>
      <c r="N25" s="331">
        <v>18</v>
      </c>
      <c r="O25" s="331"/>
      <c r="P25" s="228"/>
      <c r="Q25" s="331"/>
      <c r="R25" s="331"/>
      <c r="S25" s="331">
        <v>20</v>
      </c>
      <c r="T25" s="371">
        <v>10</v>
      </c>
      <c r="U25" s="336"/>
      <c r="V25" s="336"/>
      <c r="W25" s="336"/>
      <c r="X25" s="336"/>
      <c r="Y25" s="336"/>
      <c r="Z25" s="336"/>
      <c r="AA25" s="336"/>
      <c r="AB25" s="336"/>
      <c r="AC25" s="336"/>
      <c r="AD25" s="336"/>
      <c r="AE25" s="336"/>
      <c r="AF25" s="336"/>
      <c r="AG25" s="336"/>
      <c r="AH25" s="336"/>
      <c r="AI25" s="336"/>
      <c r="AJ25" s="336"/>
      <c r="AK25" s="336"/>
      <c r="AL25" s="336"/>
      <c r="AM25" s="336"/>
      <c r="AN25" s="336"/>
      <c r="AO25" s="355">
        <f t="shared" si="22"/>
        <v>29.575000000000003</v>
      </c>
      <c r="AP25" s="331"/>
    </row>
    <row r="26" spans="1:45" x14ac:dyDescent="0.35">
      <c r="B26" s="375" t="s">
        <v>152</v>
      </c>
      <c r="C26" s="36"/>
      <c r="D26" s="357"/>
      <c r="E26" s="36"/>
      <c r="F26" s="36"/>
      <c r="G26" s="36"/>
      <c r="H26" s="37"/>
      <c r="I26" s="37"/>
      <c r="J26" s="231">
        <v>64.400000000000006</v>
      </c>
      <c r="K26" s="231">
        <v>23.4</v>
      </c>
      <c r="L26" s="231">
        <v>13.8</v>
      </c>
      <c r="M26" s="231">
        <v>16.100000000000001</v>
      </c>
      <c r="N26" s="331"/>
      <c r="O26" s="331"/>
      <c r="P26" s="228"/>
      <c r="Q26" s="331"/>
      <c r="R26" s="331"/>
      <c r="S26" s="331"/>
      <c r="T26" s="336"/>
      <c r="U26" s="336"/>
      <c r="V26" s="336"/>
      <c r="W26" s="336"/>
      <c r="X26" s="336"/>
      <c r="Y26" s="336"/>
      <c r="Z26" s="336"/>
      <c r="AA26" s="336"/>
      <c r="AB26" s="336"/>
      <c r="AC26" s="336"/>
      <c r="AD26" s="336"/>
      <c r="AE26" s="336"/>
      <c r="AF26" s="336"/>
      <c r="AG26" s="336"/>
      <c r="AH26" s="336"/>
      <c r="AI26" s="336"/>
      <c r="AJ26" s="336"/>
      <c r="AK26" s="336"/>
      <c r="AL26" s="336"/>
      <c r="AM26" s="336"/>
      <c r="AN26" s="336"/>
      <c r="AO26" s="355">
        <f t="shared" si="22"/>
        <v>29.425000000000004</v>
      </c>
      <c r="AP26" s="331"/>
    </row>
    <row r="27" spans="1:45" ht="16.5" customHeight="1" x14ac:dyDescent="0.35">
      <c r="B27" s="410" t="s">
        <v>355</v>
      </c>
      <c r="C27" s="36"/>
      <c r="D27" s="357"/>
      <c r="E27" s="36"/>
      <c r="F27" s="36"/>
      <c r="G27" s="36"/>
      <c r="H27" s="37"/>
      <c r="I27" s="37"/>
      <c r="J27" s="37"/>
      <c r="K27" s="37"/>
      <c r="L27" s="37"/>
      <c r="M27" s="331">
        <f>SUM(M28:M32)</f>
        <v>43</v>
      </c>
      <c r="N27" s="331">
        <f t="shared" ref="N27:AD27" si="23">SUM(N28:N32)</f>
        <v>70</v>
      </c>
      <c r="O27" s="331">
        <f t="shared" si="23"/>
        <v>59.999999999999964</v>
      </c>
      <c r="P27" s="228">
        <f t="shared" si="23"/>
        <v>50</v>
      </c>
      <c r="Q27" s="331">
        <f t="shared" si="23"/>
        <v>44.999999999999964</v>
      </c>
      <c r="R27" s="331">
        <f t="shared" si="23"/>
        <v>44.999999999999964</v>
      </c>
      <c r="S27" s="331">
        <f t="shared" si="23"/>
        <v>44.999999999999964</v>
      </c>
      <c r="T27" s="336">
        <f t="shared" si="23"/>
        <v>44.999999999999964</v>
      </c>
      <c r="U27" s="336">
        <f t="shared" si="23"/>
        <v>44.999999999999964</v>
      </c>
      <c r="V27" s="336">
        <f t="shared" si="23"/>
        <v>44.999999999999964</v>
      </c>
      <c r="W27" s="336">
        <f t="shared" si="23"/>
        <v>44.999999999999964</v>
      </c>
      <c r="X27" s="336">
        <f>SUM(X28:X32)</f>
        <v>44.999999999999964</v>
      </c>
      <c r="Y27" s="336">
        <f t="shared" si="23"/>
        <v>19</v>
      </c>
      <c r="Z27" s="336">
        <f t="shared" si="23"/>
        <v>0</v>
      </c>
      <c r="AA27" s="336">
        <f t="shared" si="23"/>
        <v>0</v>
      </c>
      <c r="AB27" s="336">
        <f t="shared" si="23"/>
        <v>0</v>
      </c>
      <c r="AC27" s="336">
        <f t="shared" si="23"/>
        <v>0</v>
      </c>
      <c r="AD27" s="336">
        <f t="shared" si="23"/>
        <v>0</v>
      </c>
      <c r="AE27" s="336"/>
      <c r="AF27" s="336"/>
      <c r="AG27" s="336"/>
      <c r="AH27" s="336"/>
      <c r="AI27" s="336"/>
      <c r="AJ27" s="336"/>
      <c r="AK27" s="336"/>
      <c r="AL27" s="336"/>
      <c r="AM27" s="336"/>
      <c r="AN27" s="336"/>
      <c r="AO27" s="355">
        <f t="shared" si="22"/>
        <v>150.49999999999991</v>
      </c>
      <c r="AP27" s="1303" t="s">
        <v>356</v>
      </c>
      <c r="AQ27" s="1304"/>
    </row>
    <row r="28" spans="1:45" x14ac:dyDescent="0.35">
      <c r="B28" s="375" t="s">
        <v>342</v>
      </c>
      <c r="C28" s="36"/>
      <c r="D28" s="357"/>
      <c r="E28" s="36"/>
      <c r="F28" s="36"/>
      <c r="G28" s="36"/>
      <c r="H28" s="37"/>
      <c r="I28" s="37"/>
      <c r="J28" s="37"/>
      <c r="K28" s="37"/>
      <c r="L28" s="37"/>
      <c r="M28" s="331">
        <f>C47/12*4</f>
        <v>9.6666666666666661</v>
      </c>
      <c r="N28" s="331">
        <f>M28</f>
        <v>9.6666666666666661</v>
      </c>
      <c r="O28" s="331">
        <f t="shared" ref="O28:X28" si="24">N28</f>
        <v>9.6666666666666661</v>
      </c>
      <c r="P28" s="228">
        <f t="shared" si="24"/>
        <v>9.6666666666666661</v>
      </c>
      <c r="Q28" s="331">
        <f t="shared" si="24"/>
        <v>9.6666666666666661</v>
      </c>
      <c r="R28" s="331">
        <f t="shared" si="24"/>
        <v>9.6666666666666661</v>
      </c>
      <c r="S28" s="331">
        <f t="shared" si="24"/>
        <v>9.6666666666666661</v>
      </c>
      <c r="T28" s="336">
        <f t="shared" si="24"/>
        <v>9.6666666666666661</v>
      </c>
      <c r="U28" s="336">
        <f t="shared" si="24"/>
        <v>9.6666666666666661</v>
      </c>
      <c r="V28" s="336">
        <f t="shared" si="24"/>
        <v>9.6666666666666661</v>
      </c>
      <c r="W28" s="336">
        <f t="shared" si="24"/>
        <v>9.6666666666666661</v>
      </c>
      <c r="X28" s="336">
        <f t="shared" si="24"/>
        <v>9.6666666666666661</v>
      </c>
      <c r="Y28" s="343"/>
      <c r="Z28" s="343"/>
      <c r="AA28" s="343"/>
      <c r="AB28" s="343"/>
      <c r="AC28" s="343"/>
      <c r="AD28" s="343"/>
      <c r="AE28" s="343"/>
      <c r="AF28" s="343"/>
      <c r="AG28" s="343"/>
      <c r="AH28" s="343"/>
      <c r="AI28" s="343"/>
      <c r="AJ28" s="343"/>
      <c r="AK28" s="343"/>
      <c r="AL28" s="343"/>
      <c r="AM28" s="343"/>
      <c r="AN28" s="343"/>
      <c r="AO28" s="355">
        <f t="shared" si="22"/>
        <v>29.000000000000004</v>
      </c>
      <c r="AP28" s="1303"/>
      <c r="AQ28" s="1304"/>
    </row>
    <row r="29" spans="1:45" ht="41.9" customHeight="1" x14ac:dyDescent="0.35">
      <c r="B29" s="375" t="s">
        <v>150</v>
      </c>
      <c r="C29" s="36"/>
      <c r="D29" s="357"/>
      <c r="E29" s="36"/>
      <c r="F29" s="36"/>
      <c r="G29" s="36"/>
      <c r="H29" s="37"/>
      <c r="I29" s="37"/>
      <c r="J29" s="37"/>
      <c r="K29" s="37"/>
      <c r="L29" s="37"/>
      <c r="M29" s="397">
        <f>C58/12*4 - 7</f>
        <v>20.333333333333332</v>
      </c>
      <c r="N29" s="397">
        <f>C58/12*4 + 20</f>
        <v>47.333333333333329</v>
      </c>
      <c r="O29" s="397">
        <v>37.3333333333333</v>
      </c>
      <c r="P29" s="327">
        <v>27.333333333333332</v>
      </c>
      <c r="Q29" s="397">
        <v>22.3333333333333</v>
      </c>
      <c r="R29" s="397">
        <v>22.3333333333333</v>
      </c>
      <c r="S29" s="397">
        <v>22.3333333333333</v>
      </c>
      <c r="T29" s="347">
        <v>22.3333333333333</v>
      </c>
      <c r="U29" s="347">
        <v>22.3333333333333</v>
      </c>
      <c r="V29" s="347">
        <v>22.3333333333333</v>
      </c>
      <c r="W29" s="347">
        <v>22.3333333333333</v>
      </c>
      <c r="X29" s="347">
        <v>22.3333333333333</v>
      </c>
      <c r="Y29" s="347">
        <v>19</v>
      </c>
      <c r="Z29" s="347"/>
      <c r="AA29" s="347"/>
      <c r="AB29" s="347"/>
      <c r="AC29" s="347"/>
      <c r="AD29" s="347"/>
      <c r="AE29" s="347"/>
      <c r="AF29" s="347"/>
      <c r="AG29" s="347"/>
      <c r="AH29" s="347"/>
      <c r="AI29" s="347"/>
      <c r="AJ29" s="347"/>
      <c r="AK29" s="347"/>
      <c r="AL29" s="347"/>
      <c r="AM29" s="347"/>
      <c r="AN29" s="347"/>
      <c r="AO29" s="355">
        <f t="shared" si="22"/>
        <v>82.499999999999943</v>
      </c>
      <c r="AP29" s="416" t="s">
        <v>357</v>
      </c>
    </row>
    <row r="30" spans="1:45" x14ac:dyDescent="0.35">
      <c r="B30" s="375" t="s">
        <v>152</v>
      </c>
      <c r="C30" s="36"/>
      <c r="D30" s="357"/>
      <c r="E30" s="36"/>
      <c r="F30" s="36"/>
      <c r="G30" s="36"/>
      <c r="H30" s="37"/>
      <c r="I30" s="37"/>
      <c r="J30" s="37"/>
      <c r="K30" s="37"/>
      <c r="L30" s="37"/>
      <c r="M30" s="331">
        <f>C59/12*4</f>
        <v>1</v>
      </c>
      <c r="N30" s="331">
        <f>C59/12*4</f>
        <v>1</v>
      </c>
      <c r="O30" s="331">
        <f t="shared" ref="O30:X30" si="25">$C$59/12*4</f>
        <v>1</v>
      </c>
      <c r="P30" s="228">
        <f t="shared" si="25"/>
        <v>1</v>
      </c>
      <c r="Q30" s="331">
        <f t="shared" si="25"/>
        <v>1</v>
      </c>
      <c r="R30" s="331">
        <f t="shared" si="25"/>
        <v>1</v>
      </c>
      <c r="S30" s="331">
        <f t="shared" si="25"/>
        <v>1</v>
      </c>
      <c r="T30" s="336">
        <f t="shared" si="25"/>
        <v>1</v>
      </c>
      <c r="U30" s="336">
        <f t="shared" si="25"/>
        <v>1</v>
      </c>
      <c r="V30" s="336">
        <f t="shared" si="25"/>
        <v>1</v>
      </c>
      <c r="W30" s="336">
        <f t="shared" si="25"/>
        <v>1</v>
      </c>
      <c r="X30" s="336">
        <f t="shared" si="25"/>
        <v>1</v>
      </c>
      <c r="Y30" s="343"/>
      <c r="Z30" s="343"/>
      <c r="AA30" s="343"/>
      <c r="AB30" s="343"/>
      <c r="AC30" s="343"/>
      <c r="AD30" s="343"/>
      <c r="AE30" s="343"/>
      <c r="AF30" s="343"/>
      <c r="AG30" s="343"/>
      <c r="AH30" s="343"/>
      <c r="AI30" s="343"/>
      <c r="AJ30" s="343"/>
      <c r="AK30" s="343"/>
      <c r="AL30" s="343"/>
      <c r="AM30" s="343"/>
      <c r="AN30" s="343"/>
      <c r="AO30" s="355">
        <f t="shared" si="22"/>
        <v>3</v>
      </c>
      <c r="AP30" s="37"/>
    </row>
    <row r="31" spans="1:45" ht="13.4" customHeight="1" x14ac:dyDescent="0.35">
      <c r="B31" s="375" t="s">
        <v>358</v>
      </c>
      <c r="C31" s="36"/>
      <c r="D31" s="357"/>
      <c r="E31" s="36"/>
      <c r="F31" s="36"/>
      <c r="G31" s="36"/>
      <c r="H31" s="37"/>
      <c r="I31" s="37"/>
      <c r="J31" s="37"/>
      <c r="K31" s="37"/>
      <c r="L31" s="37"/>
      <c r="M31" s="331">
        <f t="shared" ref="M31:X31" si="26">$C$60/12*4</f>
        <v>11.333333333333334</v>
      </c>
      <c r="N31" s="331">
        <f t="shared" si="26"/>
        <v>11.333333333333334</v>
      </c>
      <c r="O31" s="331">
        <f t="shared" si="26"/>
        <v>11.333333333333334</v>
      </c>
      <c r="P31" s="228">
        <f t="shared" si="26"/>
        <v>11.333333333333334</v>
      </c>
      <c r="Q31" s="331">
        <f t="shared" si="26"/>
        <v>11.333333333333334</v>
      </c>
      <c r="R31" s="331">
        <f t="shared" si="26"/>
        <v>11.333333333333334</v>
      </c>
      <c r="S31" s="331">
        <f t="shared" si="26"/>
        <v>11.333333333333334</v>
      </c>
      <c r="T31" s="336">
        <f t="shared" si="26"/>
        <v>11.333333333333334</v>
      </c>
      <c r="U31" s="336">
        <f t="shared" si="26"/>
        <v>11.333333333333334</v>
      </c>
      <c r="V31" s="336">
        <f t="shared" si="26"/>
        <v>11.333333333333334</v>
      </c>
      <c r="W31" s="336">
        <f t="shared" si="26"/>
        <v>11.333333333333334</v>
      </c>
      <c r="X31" s="336">
        <f t="shared" si="26"/>
        <v>11.333333333333334</v>
      </c>
      <c r="Y31" s="343"/>
      <c r="Z31" s="343"/>
      <c r="AA31" s="343"/>
      <c r="AB31" s="343"/>
      <c r="AC31" s="343"/>
      <c r="AD31" s="343"/>
      <c r="AE31" s="343"/>
      <c r="AF31" s="343"/>
      <c r="AG31" s="343"/>
      <c r="AH31" s="343"/>
      <c r="AI31" s="343"/>
      <c r="AJ31" s="343"/>
      <c r="AK31" s="343"/>
      <c r="AL31" s="343"/>
      <c r="AM31" s="343"/>
      <c r="AN31" s="343"/>
      <c r="AO31" s="355">
        <f t="shared" si="22"/>
        <v>33.999999999999993</v>
      </c>
      <c r="AP31" s="37"/>
    </row>
    <row r="32" spans="1:45" ht="29.25" customHeight="1" x14ac:dyDescent="0.35">
      <c r="B32" s="375" t="s">
        <v>359</v>
      </c>
      <c r="C32" s="36"/>
      <c r="D32" s="357"/>
      <c r="E32" s="36"/>
      <c r="F32" s="36"/>
      <c r="G32" s="36"/>
      <c r="H32" s="37"/>
      <c r="I32" s="37"/>
      <c r="J32" s="37"/>
      <c r="K32" s="37"/>
      <c r="L32" s="37"/>
      <c r="M32" s="331">
        <f t="shared" ref="M32:X32" si="27">$C$61/12*4</f>
        <v>0.66666666666666663</v>
      </c>
      <c r="N32" s="331">
        <f t="shared" si="27"/>
        <v>0.66666666666666663</v>
      </c>
      <c r="O32" s="331">
        <f t="shared" si="27"/>
        <v>0.66666666666666663</v>
      </c>
      <c r="P32" s="228">
        <f t="shared" si="27"/>
        <v>0.66666666666666663</v>
      </c>
      <c r="Q32" s="331">
        <f t="shared" si="27"/>
        <v>0.66666666666666663</v>
      </c>
      <c r="R32" s="331">
        <f t="shared" si="27"/>
        <v>0.66666666666666663</v>
      </c>
      <c r="S32" s="331">
        <f t="shared" si="27"/>
        <v>0.66666666666666663</v>
      </c>
      <c r="T32" s="336">
        <f t="shared" si="27"/>
        <v>0.66666666666666663</v>
      </c>
      <c r="U32" s="336">
        <f t="shared" si="27"/>
        <v>0.66666666666666663</v>
      </c>
      <c r="V32" s="336">
        <f t="shared" si="27"/>
        <v>0.66666666666666663</v>
      </c>
      <c r="W32" s="336">
        <f t="shared" si="27"/>
        <v>0.66666666666666663</v>
      </c>
      <c r="X32" s="336">
        <f t="shared" si="27"/>
        <v>0.66666666666666663</v>
      </c>
      <c r="Y32" s="343"/>
      <c r="Z32" s="343"/>
      <c r="AA32" s="343"/>
      <c r="AB32" s="343"/>
      <c r="AC32" s="343"/>
      <c r="AD32" s="343"/>
      <c r="AE32" s="343"/>
      <c r="AF32" s="343"/>
      <c r="AG32" s="343"/>
      <c r="AH32" s="343"/>
      <c r="AI32" s="343"/>
      <c r="AJ32" s="343"/>
      <c r="AK32" s="343"/>
      <c r="AL32" s="343"/>
      <c r="AM32" s="343"/>
      <c r="AN32" s="343"/>
      <c r="AO32" s="355">
        <f t="shared" si="22"/>
        <v>2</v>
      </c>
      <c r="AP32" s="37"/>
    </row>
    <row r="33" spans="1:99" ht="44.25" customHeight="1" x14ac:dyDescent="0.35">
      <c r="B33" s="410" t="s">
        <v>360</v>
      </c>
      <c r="C33" s="36"/>
      <c r="D33" s="357"/>
      <c r="E33" s="36"/>
      <c r="F33" s="36"/>
      <c r="G33" s="36"/>
      <c r="H33" s="37"/>
      <c r="I33" s="37"/>
      <c r="J33" s="37"/>
      <c r="K33" s="37"/>
      <c r="L33" s="37"/>
      <c r="M33" s="331"/>
      <c r="N33" s="331">
        <f t="shared" ref="N33:AC33" si="28">SUM(N34:N38)</f>
        <v>954.03959999999972</v>
      </c>
      <c r="O33" s="331">
        <f t="shared" si="28"/>
        <v>85.500399999999999</v>
      </c>
      <c r="P33" s="228">
        <f t="shared" si="28"/>
        <v>83.481000000000009</v>
      </c>
      <c r="Q33" s="331">
        <f t="shared" si="28"/>
        <v>662.76099999999997</v>
      </c>
      <c r="R33" s="331">
        <f t="shared" si="28"/>
        <v>83.481000000000009</v>
      </c>
      <c r="S33" s="331">
        <f t="shared" si="28"/>
        <v>83.481000000000009</v>
      </c>
      <c r="T33" s="336">
        <f t="shared" si="28"/>
        <v>62.811999999999998</v>
      </c>
      <c r="U33" s="336">
        <f t="shared" si="28"/>
        <v>62.811999999999998</v>
      </c>
      <c r="V33" s="336">
        <f t="shared" si="28"/>
        <v>62.811999999999998</v>
      </c>
      <c r="W33" s="336">
        <f t="shared" si="28"/>
        <v>62.811999999999998</v>
      </c>
      <c r="X33" s="336">
        <f t="shared" si="28"/>
        <v>41.554000000000002</v>
      </c>
      <c r="Y33" s="336">
        <f t="shared" si="28"/>
        <v>41.554000000000002</v>
      </c>
      <c r="Z33" s="336">
        <f t="shared" si="28"/>
        <v>41.554000000000002</v>
      </c>
      <c r="AA33" s="336">
        <f t="shared" si="28"/>
        <v>41.554000000000002</v>
      </c>
      <c r="AB33" s="336">
        <f t="shared" si="28"/>
        <v>27.678000000000001</v>
      </c>
      <c r="AC33" s="336">
        <f t="shared" si="28"/>
        <v>27.678000000000001</v>
      </c>
      <c r="AD33" s="336">
        <f>SUM(AD34:AD38)</f>
        <v>27.678000000000001</v>
      </c>
      <c r="AE33" s="336"/>
      <c r="AF33" s="336"/>
      <c r="AG33" s="336"/>
      <c r="AH33" s="336"/>
      <c r="AI33" s="336"/>
      <c r="AJ33" s="336"/>
      <c r="AK33" s="336"/>
      <c r="AL33" s="336"/>
      <c r="AM33" s="336"/>
      <c r="AN33" s="336"/>
      <c r="AO33" s="355">
        <f t="shared" si="22"/>
        <v>571.77499999999986</v>
      </c>
      <c r="AP33" s="1303" t="s">
        <v>361</v>
      </c>
      <c r="AQ33" s="1304"/>
    </row>
    <row r="34" spans="1:99" ht="17.899999999999999" customHeight="1" x14ac:dyDescent="0.35">
      <c r="B34" s="375" t="s">
        <v>347</v>
      </c>
      <c r="C34" s="36"/>
      <c r="D34" s="357"/>
      <c r="E34" s="36"/>
      <c r="F34" s="36"/>
      <c r="G34" s="36"/>
      <c r="H34" s="37"/>
      <c r="I34" s="37"/>
      <c r="J34" s="37"/>
      <c r="K34" s="37"/>
      <c r="L34" s="37"/>
      <c r="M34" s="331"/>
      <c r="N34" s="331">
        <f>0.6*C63*4</f>
        <v>868.91999999999985</v>
      </c>
      <c r="O34" s="331"/>
      <c r="P34" s="228"/>
      <c r="Q34" s="331">
        <f>0.4*C63*4</f>
        <v>579.28</v>
      </c>
      <c r="R34" s="331"/>
      <c r="S34" s="331"/>
      <c r="T34" s="336"/>
      <c r="U34" s="336"/>
      <c r="V34" s="336"/>
      <c r="W34" s="336"/>
      <c r="X34" s="336"/>
      <c r="Y34" s="336"/>
      <c r="Z34" s="336"/>
      <c r="AA34" s="336"/>
      <c r="AB34" s="336"/>
      <c r="AC34" s="336"/>
      <c r="AD34" s="336"/>
      <c r="AE34" s="336"/>
      <c r="AF34" s="336"/>
      <c r="AG34" s="336"/>
      <c r="AH34" s="336"/>
      <c r="AI34" s="336"/>
      <c r="AJ34" s="336"/>
      <c r="AK34" s="336"/>
      <c r="AL34" s="336"/>
      <c r="AM34" s="336"/>
      <c r="AN34" s="336"/>
      <c r="AO34" s="355">
        <f t="shared" si="22"/>
        <v>362.04999999999995</v>
      </c>
      <c r="AP34" s="393" t="s">
        <v>362</v>
      </c>
      <c r="AQ34" s="393"/>
    </row>
    <row r="35" spans="1:99" x14ac:dyDescent="0.35">
      <c r="B35" s="375" t="s">
        <v>150</v>
      </c>
      <c r="C35" s="36"/>
      <c r="D35" s="357"/>
      <c r="E35" s="36"/>
      <c r="F35" s="36"/>
      <c r="G35" s="36"/>
      <c r="H35" s="37"/>
      <c r="I35" s="37"/>
      <c r="J35" s="37"/>
      <c r="K35" s="37"/>
      <c r="L35" s="37"/>
      <c r="M35" s="331"/>
      <c r="N35" s="331">
        <f>'ARP Quarterly'!D9</f>
        <v>24.693999999999999</v>
      </c>
      <c r="O35" s="331">
        <f>'ARP Quarterly'!E9</f>
        <v>24.693999999999999</v>
      </c>
      <c r="P35" s="228">
        <f>'ARP Quarterly'!F9</f>
        <v>46.79</v>
      </c>
      <c r="Q35" s="331">
        <f>'ARP Quarterly'!G9</f>
        <v>46.79</v>
      </c>
      <c r="R35" s="331">
        <f>'ARP Quarterly'!H9</f>
        <v>46.79</v>
      </c>
      <c r="S35" s="331">
        <f>'ARP Quarterly'!I9</f>
        <v>46.79</v>
      </c>
      <c r="T35" s="336">
        <f>'ARP Quarterly'!J9</f>
        <v>38.595999999999997</v>
      </c>
      <c r="U35" s="336">
        <f>'ARP Quarterly'!K9</f>
        <v>38.595999999999997</v>
      </c>
      <c r="V35" s="336">
        <f>'ARP Quarterly'!L9</f>
        <v>38.595999999999997</v>
      </c>
      <c r="W35" s="336">
        <f>'ARP Quarterly'!M9</f>
        <v>38.595999999999997</v>
      </c>
      <c r="X35" s="336">
        <f>'ARP Quarterly'!N9</f>
        <v>31.911000000000001</v>
      </c>
      <c r="Y35" s="336">
        <f>'ARP Quarterly'!O9</f>
        <v>31.911000000000001</v>
      </c>
      <c r="Z35" s="336">
        <f>'ARP Quarterly'!P9</f>
        <v>31.911000000000001</v>
      </c>
      <c r="AA35" s="336">
        <f>'ARP Quarterly'!Q9</f>
        <v>31.911000000000001</v>
      </c>
      <c r="AB35" s="336">
        <f>'ARP Quarterly'!R9</f>
        <v>23.099</v>
      </c>
      <c r="AC35" s="336">
        <f>'ARP Quarterly'!S9</f>
        <v>23.099</v>
      </c>
      <c r="AD35" s="336">
        <f>'ARP Quarterly'!T9</f>
        <v>23.099</v>
      </c>
      <c r="AE35" s="336"/>
      <c r="AF35" s="336"/>
      <c r="AG35" s="336"/>
      <c r="AH35" s="336"/>
      <c r="AI35" s="336"/>
      <c r="AJ35" s="336"/>
      <c r="AK35" s="336"/>
      <c r="AL35" s="336"/>
      <c r="AM35" s="336"/>
      <c r="AN35" s="336"/>
      <c r="AO35" s="355">
        <f t="shared" si="22"/>
        <v>113.68849999999999</v>
      </c>
      <c r="AP35" s="331"/>
    </row>
    <row r="36" spans="1:99" x14ac:dyDescent="0.35">
      <c r="B36" s="375" t="s">
        <v>152</v>
      </c>
      <c r="C36" s="36"/>
      <c r="D36" s="357"/>
      <c r="E36" s="36"/>
      <c r="F36" s="36"/>
      <c r="G36" s="36"/>
      <c r="H36" s="37"/>
      <c r="I36" s="37"/>
      <c r="J36" s="37"/>
      <c r="K36" s="37"/>
      <c r="L36" s="37"/>
      <c r="M36" s="331"/>
      <c r="N36" s="331">
        <f>'ARP Quarterly'!D14</f>
        <v>1.1696</v>
      </c>
      <c r="O36" s="331">
        <f>'ARP Quarterly'!E14</f>
        <v>1.5503999999999998</v>
      </c>
      <c r="P36" s="228">
        <f>'ARP Quarterly'!F14</f>
        <v>1.02</v>
      </c>
      <c r="Q36" s="331">
        <f>'ARP Quarterly'!G14</f>
        <v>1.02</v>
      </c>
      <c r="R36" s="331">
        <f>'ARP Quarterly'!H14</f>
        <v>1.02</v>
      </c>
      <c r="S36" s="331">
        <f>'ARP Quarterly'!I14</f>
        <v>1.02</v>
      </c>
      <c r="T36" s="336">
        <f>'ARP Quarterly'!J14</f>
        <v>0</v>
      </c>
      <c r="U36" s="336">
        <f>'ARP Quarterly'!K14</f>
        <v>0</v>
      </c>
      <c r="V36" s="336">
        <f>'ARP Quarterly'!L14</f>
        <v>0</v>
      </c>
      <c r="W36" s="336">
        <f>'ARP Quarterly'!M14</f>
        <v>0</v>
      </c>
      <c r="X36" s="336">
        <f>'ARP Quarterly'!N14</f>
        <v>0</v>
      </c>
      <c r="Y36" s="336">
        <f>'ARP Quarterly'!O14</f>
        <v>0</v>
      </c>
      <c r="Z36" s="336">
        <f>'ARP Quarterly'!P14</f>
        <v>0</v>
      </c>
      <c r="AA36" s="336">
        <f>'ARP Quarterly'!Q14</f>
        <v>0</v>
      </c>
      <c r="AB36" s="336">
        <f>'ARP Quarterly'!R14</f>
        <v>0</v>
      </c>
      <c r="AC36" s="336">
        <f>'ARP Quarterly'!S14</f>
        <v>0</v>
      </c>
      <c r="AD36" s="336">
        <f>'ARP Quarterly'!T14</f>
        <v>0</v>
      </c>
      <c r="AE36" s="336"/>
      <c r="AF36" s="336"/>
      <c r="AG36" s="336"/>
      <c r="AH36" s="336"/>
      <c r="AI36" s="336"/>
      <c r="AJ36" s="336"/>
      <c r="AK36" s="336"/>
      <c r="AL36" s="336"/>
      <c r="AM36" s="336"/>
      <c r="AN36" s="336"/>
      <c r="AO36" s="355">
        <f t="shared" si="22"/>
        <v>1.6999999999999997</v>
      </c>
      <c r="AP36" s="331"/>
    </row>
    <row r="37" spans="1:99" x14ac:dyDescent="0.35">
      <c r="B37" s="375" t="s">
        <v>363</v>
      </c>
      <c r="C37" s="36"/>
      <c r="D37" s="357"/>
      <c r="E37" s="36"/>
      <c r="F37" s="36"/>
      <c r="G37" s="36"/>
      <c r="H37" s="37"/>
      <c r="I37" s="37"/>
      <c r="J37" s="37"/>
      <c r="K37" s="37"/>
      <c r="L37" s="37"/>
      <c r="M37" s="331"/>
      <c r="N37" s="331">
        <f>'ARP Quarterly'!D10</f>
        <v>59.256</v>
      </c>
      <c r="O37" s="331">
        <f>'ARP Quarterly'!E10</f>
        <v>59.256</v>
      </c>
      <c r="P37" s="228">
        <f>'ARP Quarterly'!F10</f>
        <v>35.671000000000006</v>
      </c>
      <c r="Q37" s="331">
        <f>'ARP Quarterly'!G10</f>
        <v>35.671000000000006</v>
      </c>
      <c r="R37" s="331">
        <f>'ARP Quarterly'!H10</f>
        <v>35.671000000000006</v>
      </c>
      <c r="S37" s="331">
        <f>'ARP Quarterly'!I10</f>
        <v>35.671000000000006</v>
      </c>
      <c r="T37" s="336">
        <f>'ARP Quarterly'!J10</f>
        <v>24.216000000000001</v>
      </c>
      <c r="U37" s="336">
        <f>'ARP Quarterly'!K10</f>
        <v>24.216000000000001</v>
      </c>
      <c r="V37" s="336">
        <f>'ARP Quarterly'!L10</f>
        <v>24.216000000000001</v>
      </c>
      <c r="W37" s="336">
        <f>'ARP Quarterly'!M10</f>
        <v>24.216000000000001</v>
      </c>
      <c r="X37" s="336">
        <f>'ARP Quarterly'!N10</f>
        <v>9.6430000000000007</v>
      </c>
      <c r="Y37" s="336">
        <f>'ARP Quarterly'!O10</f>
        <v>9.6430000000000007</v>
      </c>
      <c r="Z37" s="336">
        <f>'ARP Quarterly'!P10</f>
        <v>9.6430000000000007</v>
      </c>
      <c r="AA37" s="336">
        <f>'ARP Quarterly'!Q10</f>
        <v>9.6430000000000007</v>
      </c>
      <c r="AB37" s="336">
        <f>'ARP Quarterly'!R10</f>
        <v>4.5789999999999997</v>
      </c>
      <c r="AC37" s="336">
        <f>'ARP Quarterly'!S10</f>
        <v>4.5789999999999997</v>
      </c>
      <c r="AD37" s="336">
        <f>'ARP Quarterly'!T10</f>
        <v>4.5789999999999997</v>
      </c>
      <c r="AE37" s="336"/>
      <c r="AF37" s="336"/>
      <c r="AG37" s="336"/>
      <c r="AH37" s="336"/>
      <c r="AI37" s="336"/>
      <c r="AJ37" s="336"/>
      <c r="AK37" s="336"/>
      <c r="AL37" s="336"/>
      <c r="AM37" s="336"/>
      <c r="AN37" s="336"/>
      <c r="AO37" s="355">
        <f>SUM(I37:Y37)/4</f>
        <v>94.336500000000001</v>
      </c>
      <c r="AP37" s="331"/>
    </row>
    <row r="38" spans="1:99" x14ac:dyDescent="0.35">
      <c r="A38" s="10"/>
      <c r="B38" s="388"/>
      <c r="C38" s="385"/>
      <c r="D38" s="383"/>
      <c r="E38" s="385"/>
      <c r="F38" s="385"/>
      <c r="G38" s="385"/>
      <c r="H38" s="390"/>
      <c r="I38" s="390"/>
      <c r="J38" s="390"/>
      <c r="K38" s="390"/>
      <c r="L38" s="390"/>
      <c r="M38" s="332"/>
      <c r="N38" s="332"/>
      <c r="O38" s="332"/>
      <c r="P38" s="328"/>
      <c r="Q38" s="332"/>
      <c r="R38" s="332"/>
      <c r="S38" s="332"/>
      <c r="T38" s="394"/>
      <c r="U38" s="394"/>
      <c r="V38" s="394"/>
      <c r="W38" s="394"/>
      <c r="X38" s="394"/>
      <c r="Y38" s="394"/>
      <c r="Z38" s="394"/>
      <c r="AA38" s="394"/>
      <c r="AB38" s="394"/>
      <c r="AC38" s="394"/>
      <c r="AD38" s="394"/>
      <c r="AE38" s="394"/>
      <c r="AF38" s="394"/>
      <c r="AG38" s="394"/>
      <c r="AH38" s="394"/>
      <c r="AI38" s="394"/>
      <c r="AJ38" s="394"/>
      <c r="AK38" s="394"/>
      <c r="AL38" s="394"/>
      <c r="AM38" s="394"/>
      <c r="AN38" s="394"/>
      <c r="AO38" s="405"/>
      <c r="AP38" s="331"/>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row>
    <row r="39" spans="1:99" x14ac:dyDescent="0.35">
      <c r="B39" s="345"/>
      <c r="C39" s="36"/>
      <c r="D39" s="36"/>
      <c r="E39" s="36"/>
      <c r="F39" s="36"/>
      <c r="G39" s="36"/>
      <c r="H39" s="36"/>
      <c r="I39" s="36"/>
      <c r="J39" s="36"/>
      <c r="K39" s="36"/>
      <c r="L39" s="36"/>
      <c r="M39" s="36"/>
      <c r="N39" s="36"/>
      <c r="O39" s="36"/>
      <c r="P39" s="377"/>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45"/>
      <c r="C40" s="36"/>
      <c r="D40" s="36"/>
      <c r="E40" s="36"/>
      <c r="F40" s="36"/>
      <c r="G40" s="36"/>
      <c r="H40" s="36"/>
      <c r="I40" s="36"/>
      <c r="J40" s="36"/>
      <c r="K40" s="36"/>
      <c r="L40" s="36"/>
      <c r="M40" s="36"/>
      <c r="N40" s="36"/>
      <c r="O40" s="36"/>
      <c r="P40" s="377"/>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395" t="s">
        <v>364</v>
      </c>
      <c r="H41" s="37"/>
      <c r="I41" s="37"/>
      <c r="J41" s="37"/>
      <c r="K41" s="37"/>
      <c r="L41" s="37"/>
      <c r="M41" s="37"/>
      <c r="N41" s="37"/>
      <c r="O41" s="37"/>
      <c r="P41" s="232"/>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13" t="s">
        <v>365</v>
      </c>
      <c r="C42" s="414" t="s">
        <v>366</v>
      </c>
      <c r="D42" s="415" t="s">
        <v>367</v>
      </c>
      <c r="E42" s="400" t="s">
        <v>368</v>
      </c>
      <c r="F42" s="37"/>
      <c r="G42" s="37"/>
      <c r="H42" s="37"/>
      <c r="I42" s="37"/>
      <c r="J42" s="37"/>
      <c r="K42" s="37"/>
      <c r="L42" s="37"/>
      <c r="M42" s="37"/>
      <c r="N42" s="37"/>
      <c r="O42" s="37"/>
      <c r="P42" s="232"/>
      <c r="Q42" s="37"/>
      <c r="R42" s="37"/>
      <c r="S42" s="37"/>
      <c r="T42" s="37"/>
      <c r="U42" s="37"/>
      <c r="V42" s="37"/>
      <c r="W42" s="37"/>
    </row>
    <row r="43" spans="1:99" ht="18.75" customHeight="1" x14ac:dyDescent="0.35">
      <c r="B43" s="419" t="s">
        <v>369</v>
      </c>
      <c r="C43" s="391">
        <f>SUM(C44:C49)</f>
        <v>898.11599999999999</v>
      </c>
      <c r="D43" s="37">
        <f>SUM(D44:D48)</f>
        <v>202.36666666666667</v>
      </c>
      <c r="E43" s="361">
        <f>SUM(E44:E48)</f>
        <v>650.35233333333326</v>
      </c>
      <c r="F43" s="37"/>
      <c r="G43" s="37"/>
      <c r="H43" s="37"/>
      <c r="I43" s="37"/>
      <c r="J43" s="37"/>
      <c r="K43" s="37"/>
      <c r="L43" s="37"/>
      <c r="M43" s="37"/>
      <c r="N43" s="37"/>
      <c r="O43" s="37"/>
      <c r="P43" s="232"/>
      <c r="Q43" s="37"/>
      <c r="R43" s="37"/>
      <c r="S43" s="37"/>
      <c r="T43" s="37"/>
      <c r="U43" s="37"/>
      <c r="V43" s="37"/>
      <c r="W43" s="37"/>
    </row>
    <row r="44" spans="1:99" x14ac:dyDescent="0.35">
      <c r="B44" s="418" t="s">
        <v>149</v>
      </c>
      <c r="C44" s="391">
        <f>C53</f>
        <v>150</v>
      </c>
      <c r="D44" s="37">
        <f>SUM(H12:M12)/4</f>
        <v>149.47499999999999</v>
      </c>
      <c r="E44" s="355">
        <f>C44-D44</f>
        <v>0.52500000000000568</v>
      </c>
      <c r="F44" s="37"/>
      <c r="G44" s="37"/>
      <c r="H44" s="37"/>
      <c r="I44" s="381"/>
      <c r="J44" s="381"/>
      <c r="K44" s="381"/>
      <c r="L44" s="381"/>
      <c r="M44" s="381"/>
      <c r="N44" s="381"/>
      <c r="O44" s="381"/>
      <c r="P44" s="426"/>
      <c r="Q44" s="37"/>
      <c r="R44" s="37"/>
      <c r="S44" s="37"/>
      <c r="T44" s="37"/>
      <c r="U44" s="37"/>
      <c r="V44" s="37"/>
      <c r="W44" s="37"/>
    </row>
    <row r="45" spans="1:99" x14ac:dyDescent="0.35">
      <c r="B45" s="418" t="s">
        <v>150</v>
      </c>
      <c r="C45" s="420">
        <f>C54+C58+C64</f>
        <v>273.16899999999998</v>
      </c>
      <c r="D45" s="37">
        <f>SUM(H13:M13)/4</f>
        <v>22.075000000000003</v>
      </c>
      <c r="E45" s="355">
        <f>C45-D45</f>
        <v>251.09399999999999</v>
      </c>
      <c r="F45" s="37"/>
      <c r="G45" s="37"/>
      <c r="H45" s="37"/>
      <c r="I45" s="381"/>
      <c r="J45" s="381"/>
      <c r="K45" s="381"/>
      <c r="L45" s="381"/>
      <c r="M45" s="381"/>
      <c r="N45" s="381"/>
      <c r="O45" s="381"/>
      <c r="P45" s="426"/>
      <c r="Q45" s="37"/>
      <c r="R45" s="37"/>
      <c r="S45" s="37"/>
      <c r="T45" s="37"/>
      <c r="U45" s="37"/>
      <c r="V45" s="37"/>
      <c r="W45" s="37"/>
    </row>
    <row r="46" spans="1:99" x14ac:dyDescent="0.35">
      <c r="B46" s="418" t="s">
        <v>152</v>
      </c>
      <c r="C46" s="262">
        <f>C55+C65+C59</f>
        <v>38.5</v>
      </c>
      <c r="D46" s="37">
        <f>SUM(H14:M14)/4</f>
        <v>28.400000000000002</v>
      </c>
      <c r="E46" s="355">
        <f>C46-D46</f>
        <v>10.099999999999998</v>
      </c>
      <c r="F46" s="37"/>
      <c r="G46" s="37"/>
      <c r="H46" s="37"/>
      <c r="I46" s="381"/>
      <c r="J46" s="381"/>
      <c r="K46" s="381"/>
      <c r="L46" s="381"/>
      <c r="M46" s="381"/>
      <c r="N46" s="381"/>
      <c r="O46" s="381"/>
      <c r="P46" s="426"/>
      <c r="Q46" s="1310"/>
      <c r="R46" s="1310"/>
      <c r="S46" s="1310"/>
      <c r="T46" s="1310"/>
      <c r="U46" s="1310"/>
      <c r="V46" s="1310"/>
      <c r="W46" s="1310"/>
      <c r="X46" s="1310"/>
      <c r="Y46" s="1310"/>
      <c r="Z46" s="1310"/>
      <c r="AA46" s="1310"/>
      <c r="AB46" s="1310"/>
      <c r="AC46" s="1310"/>
      <c r="AD46" s="1310"/>
      <c r="AE46" s="1310"/>
      <c r="AF46" s="1310"/>
      <c r="AG46" s="1310"/>
      <c r="AH46" s="1310"/>
      <c r="AI46" s="1310"/>
      <c r="AJ46" s="1310"/>
      <c r="AK46" s="1310"/>
      <c r="AL46" s="1310"/>
      <c r="AM46" s="1310"/>
      <c r="AN46" s="1310"/>
      <c r="AO46" s="1310"/>
      <c r="AP46" s="1310"/>
      <c r="AQ46" s="1310"/>
      <c r="AR46" s="1310"/>
      <c r="AS46" s="1310"/>
    </row>
    <row r="47" spans="1:99" ht="17.25" customHeight="1" x14ac:dyDescent="0.35">
      <c r="B47" s="418" t="s">
        <v>370</v>
      </c>
      <c r="C47" s="262">
        <f>C57</f>
        <v>29</v>
      </c>
      <c r="D47" s="37">
        <f>SUM(H15:M15)/4</f>
        <v>2.4166666666666665</v>
      </c>
      <c r="E47" s="355">
        <f>C47-D47</f>
        <v>26.583333333333332</v>
      </c>
      <c r="F47" s="37"/>
      <c r="G47" s="37"/>
      <c r="H47" s="37"/>
      <c r="I47" s="381"/>
      <c r="J47" s="381"/>
      <c r="K47" s="381"/>
      <c r="L47" s="381"/>
      <c r="M47" s="381"/>
      <c r="N47" s="381"/>
      <c r="O47" s="381"/>
      <c r="P47" s="426"/>
      <c r="Q47" s="1311"/>
      <c r="R47" s="1311"/>
      <c r="S47" s="1311"/>
      <c r="T47" s="1311"/>
      <c r="U47" s="1311"/>
      <c r="V47" s="1311"/>
      <c r="W47" s="1311"/>
      <c r="X47" s="1311"/>
      <c r="Y47" s="1311"/>
      <c r="Z47" s="219"/>
      <c r="AA47" s="219"/>
      <c r="AB47" s="219"/>
      <c r="AC47" s="219"/>
      <c r="AD47" s="219"/>
      <c r="AE47" s="219"/>
      <c r="AF47" s="219"/>
      <c r="AG47" s="219"/>
      <c r="AH47" s="219"/>
      <c r="AI47" s="219"/>
      <c r="AJ47" s="219"/>
      <c r="AK47" s="219"/>
      <c r="AL47" s="219"/>
      <c r="AM47" s="219"/>
      <c r="AN47" s="219"/>
      <c r="AO47" s="1311"/>
      <c r="AP47" s="1311"/>
      <c r="AQ47" s="1311"/>
      <c r="AR47" s="1311"/>
      <c r="AS47" s="219"/>
    </row>
    <row r="48" spans="1:99" ht="15.75" customHeight="1" x14ac:dyDescent="0.35">
      <c r="B48" s="418" t="s">
        <v>347</v>
      </c>
      <c r="C48" s="262">
        <f>C63</f>
        <v>362.04999999999995</v>
      </c>
      <c r="D48" s="37">
        <v>0</v>
      </c>
      <c r="E48" s="355">
        <f>C48-D48</f>
        <v>362.04999999999995</v>
      </c>
      <c r="F48" s="37"/>
      <c r="G48" s="37"/>
      <c r="H48" s="37"/>
      <c r="I48" s="381"/>
      <c r="J48" s="381"/>
      <c r="K48" s="381"/>
      <c r="L48" s="381"/>
      <c r="M48" s="381"/>
      <c r="N48" s="381"/>
      <c r="O48" s="381"/>
      <c r="P48" s="426"/>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c r="AP48" s="219"/>
      <c r="AQ48" s="219"/>
      <c r="AR48" s="219"/>
      <c r="AS48" s="219"/>
    </row>
    <row r="49" spans="1:23" ht="15" customHeight="1" x14ac:dyDescent="0.35">
      <c r="B49" s="417" t="s">
        <v>371</v>
      </c>
      <c r="C49" s="391">
        <f>C66+C67+C60+C61</f>
        <v>45.396999999999998</v>
      </c>
      <c r="D49" s="37"/>
      <c r="E49" s="355"/>
      <c r="F49" s="37"/>
      <c r="G49" s="37"/>
      <c r="H49" s="37"/>
      <c r="I49" s="381"/>
      <c r="J49" s="381"/>
      <c r="K49" s="381"/>
      <c r="L49" s="381"/>
      <c r="M49" s="381"/>
      <c r="N49" s="381"/>
      <c r="O49" s="381"/>
      <c r="P49" s="426"/>
      <c r="Q49" s="37"/>
      <c r="R49" s="37"/>
      <c r="S49" s="37"/>
      <c r="T49" s="37"/>
      <c r="U49" s="37"/>
      <c r="V49" s="37"/>
      <c r="W49" s="37"/>
    </row>
    <row r="50" spans="1:23" ht="5.25" customHeight="1" x14ac:dyDescent="0.35">
      <c r="B50" s="417"/>
      <c r="C50" s="391"/>
      <c r="D50" s="37"/>
      <c r="E50" s="355"/>
      <c r="F50" s="37"/>
      <c r="G50" s="37"/>
      <c r="H50" s="37"/>
      <c r="I50" s="381"/>
      <c r="J50" s="381"/>
      <c r="K50" s="381"/>
      <c r="L50" s="381"/>
      <c r="M50" s="381"/>
      <c r="N50" s="381"/>
      <c r="O50" s="381"/>
      <c r="P50" s="426"/>
      <c r="Q50" s="37"/>
      <c r="R50" s="37"/>
      <c r="S50" s="37"/>
      <c r="T50" s="37"/>
      <c r="U50" s="37"/>
      <c r="V50" s="37"/>
      <c r="W50" s="37"/>
    </row>
    <row r="51" spans="1:23" ht="18.75" customHeight="1" x14ac:dyDescent="0.35">
      <c r="B51" s="419" t="s">
        <v>372</v>
      </c>
      <c r="C51" s="262">
        <f>C52+C56+C62</f>
        <v>898.11599999999999</v>
      </c>
      <c r="D51" s="37"/>
      <c r="E51" s="355"/>
      <c r="F51" s="37"/>
      <c r="G51" s="37"/>
      <c r="H51" s="37"/>
      <c r="I51" s="381"/>
      <c r="J51" s="381"/>
      <c r="K51" s="381"/>
      <c r="L51" s="381"/>
      <c r="M51" s="381"/>
      <c r="N51" s="381"/>
      <c r="O51" s="381"/>
      <c r="P51" s="426"/>
      <c r="Q51" s="37"/>
      <c r="R51" s="37"/>
      <c r="S51" s="37"/>
      <c r="T51" s="37"/>
      <c r="U51" s="37"/>
      <c r="V51" s="37"/>
      <c r="W51" s="37"/>
    </row>
    <row r="52" spans="1:23" ht="16.399999999999999" customHeight="1" x14ac:dyDescent="0.35">
      <c r="B52" s="410" t="s">
        <v>353</v>
      </c>
      <c r="C52" s="262">
        <f>SUM(C53:C55)</f>
        <v>199</v>
      </c>
      <c r="D52" s="37"/>
      <c r="E52" s="355"/>
      <c r="F52" s="37"/>
      <c r="G52" s="37"/>
      <c r="H52" s="37"/>
      <c r="I52" s="381"/>
      <c r="J52" s="381"/>
      <c r="K52" s="381"/>
      <c r="L52" s="381"/>
      <c r="M52" s="381"/>
      <c r="N52" s="381"/>
      <c r="O52" s="381"/>
      <c r="P52" s="426"/>
      <c r="Q52" s="37"/>
      <c r="R52" s="37"/>
      <c r="S52" s="37"/>
      <c r="T52" s="37"/>
      <c r="U52" s="37"/>
      <c r="V52" s="37"/>
      <c r="W52" s="37"/>
    </row>
    <row r="53" spans="1:23" ht="20.9" customHeight="1" x14ac:dyDescent="0.35">
      <c r="B53" s="375" t="s">
        <v>149</v>
      </c>
      <c r="C53" s="262">
        <v>150</v>
      </c>
      <c r="D53" s="37"/>
      <c r="E53" s="355"/>
      <c r="F53" s="37"/>
      <c r="G53" s="37"/>
      <c r="H53" s="37"/>
      <c r="I53" s="381"/>
      <c r="J53" s="381"/>
      <c r="K53" s="381"/>
      <c r="L53" s="381"/>
      <c r="M53" s="381"/>
      <c r="N53" s="381"/>
      <c r="O53" s="381"/>
      <c r="P53" s="426"/>
      <c r="Q53" s="37"/>
      <c r="R53" s="37"/>
      <c r="S53" s="37"/>
      <c r="T53" s="37"/>
      <c r="U53" s="37"/>
      <c r="V53" s="37"/>
      <c r="W53" s="37"/>
    </row>
    <row r="54" spans="1:23" ht="16.5" customHeight="1" x14ac:dyDescent="0.35">
      <c r="B54" s="375" t="s">
        <v>150</v>
      </c>
      <c r="C54" s="420">
        <v>22</v>
      </c>
      <c r="D54" s="231"/>
      <c r="E54" s="355"/>
      <c r="F54" s="37"/>
      <c r="G54" s="37"/>
      <c r="H54" s="37"/>
      <c r="I54" s="381"/>
      <c r="J54" s="381"/>
      <c r="K54" s="381"/>
      <c r="L54" s="381"/>
      <c r="M54" s="381"/>
      <c r="N54" s="381"/>
      <c r="O54" s="381"/>
      <c r="P54" s="426"/>
      <c r="Q54" s="37"/>
      <c r="R54" s="37"/>
      <c r="S54" s="37"/>
      <c r="T54" s="37"/>
      <c r="U54" s="37"/>
      <c r="V54" s="37"/>
      <c r="W54" s="37"/>
    </row>
    <row r="55" spans="1:23" x14ac:dyDescent="0.35">
      <c r="B55" s="375" t="s">
        <v>152</v>
      </c>
      <c r="C55" s="262">
        <v>27</v>
      </c>
      <c r="D55" s="37"/>
      <c r="E55" s="355"/>
      <c r="F55" s="36"/>
      <c r="G55" s="37"/>
      <c r="H55" s="37"/>
      <c r="I55" s="381"/>
      <c r="J55" s="381"/>
      <c r="K55" s="381"/>
      <c r="L55" s="381"/>
      <c r="M55" s="381"/>
      <c r="N55" s="381"/>
      <c r="P55" s="426"/>
      <c r="Q55" s="37"/>
      <c r="R55" s="37"/>
      <c r="S55" s="37"/>
      <c r="T55" s="37"/>
      <c r="U55" s="37"/>
      <c r="V55" s="37"/>
      <c r="W55" s="37"/>
    </row>
    <row r="56" spans="1:23" ht="15" customHeight="1" x14ac:dyDescent="0.35">
      <c r="B56" s="410" t="s">
        <v>355</v>
      </c>
      <c r="C56" s="262">
        <f>SUM(C57:C61)</f>
        <v>150</v>
      </c>
      <c r="D56" s="37"/>
      <c r="E56" s="355"/>
      <c r="F56" s="37"/>
      <c r="G56" s="37"/>
      <c r="H56" s="37"/>
      <c r="I56" s="37"/>
      <c r="J56" s="37"/>
      <c r="K56" s="37"/>
      <c r="L56" s="37"/>
      <c r="M56" s="37"/>
      <c r="N56" s="37"/>
      <c r="P56" s="232"/>
      <c r="Q56" s="37"/>
      <c r="R56" s="37"/>
      <c r="S56" s="37"/>
      <c r="T56" s="37"/>
      <c r="U56" s="37"/>
      <c r="V56" s="37"/>
      <c r="W56" s="37"/>
    </row>
    <row r="57" spans="1:23" ht="17.25" customHeight="1" x14ac:dyDescent="0.35">
      <c r="B57" s="375" t="s">
        <v>342</v>
      </c>
      <c r="C57" s="262">
        <f>'Response and Relief Act Score'!F7</f>
        <v>29</v>
      </c>
      <c r="D57" s="37"/>
      <c r="E57" s="355"/>
      <c r="F57" s="37"/>
      <c r="G57" s="37"/>
      <c r="H57" s="37"/>
      <c r="I57" s="37"/>
    </row>
    <row r="58" spans="1:23" x14ac:dyDescent="0.35">
      <c r="B58" s="375" t="s">
        <v>150</v>
      </c>
      <c r="C58" s="262">
        <f>'Response and Relief Act Score'!F5</f>
        <v>82</v>
      </c>
      <c r="D58" s="37"/>
      <c r="E58" s="355"/>
      <c r="F58" s="37"/>
      <c r="G58" s="37"/>
      <c r="H58" s="37"/>
      <c r="I58" s="37"/>
      <c r="J58" s="37"/>
      <c r="K58" s="37"/>
      <c r="L58" s="37"/>
      <c r="M58" s="37"/>
      <c r="N58" s="37"/>
      <c r="P58" s="232"/>
      <c r="Q58" s="37"/>
      <c r="R58" s="37"/>
      <c r="S58" s="37"/>
      <c r="T58" s="37"/>
      <c r="U58" s="37"/>
      <c r="V58" s="37"/>
      <c r="W58" s="37"/>
    </row>
    <row r="59" spans="1:23" x14ac:dyDescent="0.35">
      <c r="B59" s="375" t="s">
        <v>152</v>
      </c>
      <c r="C59" s="262">
        <f>'Response and Relief Act Score'!F6</f>
        <v>3</v>
      </c>
      <c r="D59" s="37"/>
      <c r="E59" s="355"/>
      <c r="F59" s="37"/>
      <c r="G59" s="37"/>
      <c r="H59" s="37"/>
      <c r="I59" s="37"/>
      <c r="J59" s="37"/>
      <c r="K59" s="37"/>
      <c r="L59" s="37"/>
      <c r="M59" s="37"/>
      <c r="N59" s="37"/>
      <c r="P59" s="232"/>
      <c r="Q59" s="37"/>
      <c r="R59" s="37"/>
      <c r="S59" s="37"/>
      <c r="T59" s="37"/>
      <c r="U59" s="37"/>
      <c r="V59" s="37"/>
      <c r="W59" s="37"/>
    </row>
    <row r="60" spans="1:23" ht="29.25" customHeight="1" x14ac:dyDescent="0.35">
      <c r="B60" s="375" t="s">
        <v>358</v>
      </c>
      <c r="C60" s="262">
        <f>'Response and Relief Act Score'!F9</f>
        <v>34</v>
      </c>
      <c r="D60" s="37"/>
      <c r="E60" s="355"/>
      <c r="F60" s="37"/>
      <c r="G60" s="37"/>
      <c r="H60" s="37"/>
      <c r="I60" s="396"/>
      <c r="J60" s="37"/>
      <c r="K60" s="37"/>
      <c r="L60" s="37"/>
      <c r="M60" s="37"/>
      <c r="N60" s="37"/>
      <c r="O60" s="381"/>
      <c r="P60" s="232"/>
      <c r="Q60" s="37"/>
      <c r="R60" s="37"/>
      <c r="S60" s="37"/>
      <c r="T60" s="37"/>
      <c r="U60" s="37"/>
      <c r="V60" s="37"/>
      <c r="W60" s="37"/>
    </row>
    <row r="61" spans="1:23" ht="12.75" customHeight="1" x14ac:dyDescent="0.35">
      <c r="B61" s="375" t="s">
        <v>359</v>
      </c>
      <c r="C61" s="262">
        <f>'Response and Relief Act Score'!F8</f>
        <v>2</v>
      </c>
      <c r="D61" s="37"/>
      <c r="E61" s="355"/>
      <c r="F61" s="37"/>
      <c r="G61" s="37"/>
      <c r="H61" s="37"/>
      <c r="I61" s="37"/>
      <c r="J61" s="37"/>
      <c r="K61" s="37"/>
      <c r="L61" s="37"/>
      <c r="M61" s="37"/>
      <c r="N61" s="37"/>
      <c r="O61" s="37"/>
      <c r="P61" s="232"/>
      <c r="Q61" s="37"/>
      <c r="R61" s="37"/>
      <c r="S61" s="37"/>
      <c r="T61" s="37"/>
      <c r="U61" s="37"/>
      <c r="V61" s="37"/>
      <c r="W61" s="37"/>
    </row>
    <row r="62" spans="1:23" x14ac:dyDescent="0.35">
      <c r="A62" s="387"/>
      <c r="B62" s="384" t="s">
        <v>360</v>
      </c>
      <c r="C62" s="391">
        <f>SUM(C63:C67)</f>
        <v>549.11599999999999</v>
      </c>
      <c r="D62" s="37"/>
      <c r="E62" s="355"/>
      <c r="F62" s="37"/>
      <c r="G62" s="37"/>
      <c r="H62" s="37"/>
      <c r="I62" s="37"/>
      <c r="J62" s="37"/>
      <c r="K62" s="37"/>
      <c r="L62" s="37"/>
      <c r="M62" s="37"/>
      <c r="N62" s="37"/>
      <c r="P62" s="232"/>
      <c r="Q62" s="37"/>
      <c r="R62" s="37"/>
      <c r="S62" s="37"/>
      <c r="T62" s="37"/>
      <c r="U62" s="37"/>
      <c r="V62" s="37"/>
      <c r="W62" s="37"/>
    </row>
    <row r="63" spans="1:23" ht="16.399999999999999" customHeight="1" x14ac:dyDescent="0.35">
      <c r="A63" s="387"/>
      <c r="B63" s="386" t="s">
        <v>347</v>
      </c>
      <c r="C63" s="391">
        <f>'ARP Score'!AJ16</f>
        <v>362.04999999999995</v>
      </c>
      <c r="D63" s="37"/>
      <c r="E63" s="355"/>
      <c r="F63" s="37"/>
      <c r="G63" s="37"/>
      <c r="H63" s="37"/>
      <c r="I63" s="37"/>
      <c r="J63" s="37"/>
      <c r="K63" s="37"/>
      <c r="L63" s="37"/>
      <c r="M63" s="37"/>
      <c r="N63" s="37"/>
      <c r="O63" s="37"/>
      <c r="P63" s="232"/>
      <c r="Q63" s="37"/>
      <c r="R63" s="37"/>
      <c r="S63" s="37"/>
      <c r="T63" s="37"/>
      <c r="U63" s="37"/>
      <c r="V63" s="37"/>
      <c r="W63" s="37"/>
    </row>
    <row r="64" spans="1:23" ht="15" customHeight="1" x14ac:dyDescent="0.35">
      <c r="A64" s="1312"/>
      <c r="B64" s="386" t="s">
        <v>150</v>
      </c>
      <c r="C64" s="391">
        <f>'ARP Score'!AL16</f>
        <v>169.16899999999998</v>
      </c>
      <c r="D64" s="37"/>
      <c r="E64" s="355"/>
      <c r="F64" s="37"/>
      <c r="G64" s="37"/>
      <c r="H64" s="37"/>
      <c r="I64" s="37"/>
      <c r="J64" s="37"/>
      <c r="K64" s="37"/>
      <c r="L64" s="37"/>
      <c r="M64" s="37"/>
      <c r="N64" s="37"/>
      <c r="O64" s="37"/>
      <c r="P64" s="232"/>
      <c r="Q64" s="389"/>
      <c r="R64" s="37"/>
      <c r="S64" s="37"/>
      <c r="T64" s="37"/>
      <c r="U64" s="37"/>
      <c r="V64" s="37"/>
      <c r="W64" s="37"/>
    </row>
    <row r="65" spans="1:42" x14ac:dyDescent="0.35">
      <c r="A65" s="1312"/>
      <c r="B65" s="386" t="s">
        <v>152</v>
      </c>
      <c r="C65" s="391">
        <f>'ARP Score'!AK16</f>
        <v>8.5</v>
      </c>
      <c r="D65" s="37"/>
      <c r="E65" s="355"/>
      <c r="F65" s="37"/>
      <c r="G65" s="37"/>
      <c r="H65" s="37"/>
      <c r="I65" s="37"/>
      <c r="J65" s="37"/>
      <c r="K65" s="37"/>
      <c r="L65" s="37"/>
      <c r="M65" s="37"/>
      <c r="N65" s="37"/>
      <c r="O65" s="37"/>
      <c r="P65" s="232"/>
      <c r="Q65" s="37"/>
      <c r="R65" s="37"/>
      <c r="S65" s="37"/>
      <c r="T65" s="37"/>
      <c r="U65" s="37"/>
      <c r="V65" s="37"/>
      <c r="W65" s="37"/>
    </row>
    <row r="66" spans="1:42" ht="17.25" customHeight="1" x14ac:dyDescent="0.35">
      <c r="A66" s="387"/>
      <c r="B66" s="386" t="s">
        <v>363</v>
      </c>
      <c r="C66" s="391">
        <f>'ARP Score'!AM16</f>
        <v>0.79700000000000004</v>
      </c>
      <c r="D66" s="37"/>
      <c r="E66" s="355"/>
      <c r="F66" s="37"/>
      <c r="G66" s="37"/>
      <c r="H66" s="37"/>
      <c r="I66" s="37"/>
      <c r="J66" s="37"/>
      <c r="K66" s="37"/>
      <c r="L66" s="37"/>
      <c r="M66" s="37"/>
      <c r="N66" s="37"/>
      <c r="O66" s="37"/>
      <c r="P66" s="232"/>
      <c r="Q66" s="37"/>
      <c r="R66" s="37"/>
      <c r="S66" s="37"/>
      <c r="T66" s="37"/>
      <c r="U66" s="37"/>
      <c r="V66" s="37"/>
      <c r="W66" s="37"/>
    </row>
    <row r="67" spans="1:42" ht="17.25" customHeight="1" x14ac:dyDescent="0.35">
      <c r="A67" s="387"/>
      <c r="B67" s="388" t="s">
        <v>373</v>
      </c>
      <c r="C67" s="392">
        <f>'ARP Score'!AN16</f>
        <v>8.6</v>
      </c>
      <c r="D67" s="390"/>
      <c r="E67" s="378"/>
      <c r="F67" s="37"/>
      <c r="G67" s="37"/>
      <c r="H67" s="37"/>
      <c r="I67" s="37"/>
      <c r="J67" s="37"/>
      <c r="K67" s="37"/>
      <c r="L67" s="37"/>
      <c r="M67" s="37"/>
      <c r="N67" s="37"/>
      <c r="O67" s="37"/>
      <c r="P67" s="232"/>
      <c r="Q67" s="37"/>
      <c r="R67" s="37"/>
      <c r="S67" s="37"/>
      <c r="T67" s="37"/>
      <c r="U67" s="37"/>
      <c r="V67" s="37"/>
      <c r="W67" s="37"/>
    </row>
    <row r="68" spans="1:42" ht="17.25" customHeight="1" x14ac:dyDescent="0.35">
      <c r="B68" s="386"/>
      <c r="C68" s="55"/>
      <c r="D68" s="55"/>
      <c r="E68" s="55"/>
      <c r="F68" s="55"/>
      <c r="G68" s="55"/>
      <c r="H68" s="37"/>
      <c r="I68" s="37"/>
      <c r="J68" s="37"/>
      <c r="K68" s="37"/>
      <c r="L68" s="37"/>
      <c r="M68" s="37"/>
      <c r="N68" s="37"/>
      <c r="O68" s="37"/>
      <c r="P68" s="232"/>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76" t="s">
        <v>374</v>
      </c>
      <c r="C69" s="55"/>
      <c r="D69" s="55"/>
      <c r="E69" s="55"/>
      <c r="F69" s="55"/>
      <c r="G69" s="55"/>
      <c r="H69" s="37"/>
      <c r="I69" s="37"/>
      <c r="J69" s="37"/>
      <c r="K69" s="37"/>
      <c r="L69" s="37"/>
      <c r="M69" s="37"/>
      <c r="N69" s="37"/>
      <c r="O69" s="37"/>
      <c r="P69" s="232"/>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74" t="s">
        <v>375</v>
      </c>
      <c r="C70" s="1275"/>
      <c r="D70" s="1298" t="s">
        <v>279</v>
      </c>
      <c r="E70" s="1299"/>
      <c r="F70" s="1299"/>
      <c r="G70" s="1299"/>
      <c r="H70" s="1299"/>
      <c r="I70" s="1299"/>
      <c r="J70" s="1299"/>
      <c r="K70" s="1299"/>
      <c r="L70" s="1299"/>
      <c r="M70" s="1299"/>
      <c r="N70" s="1299"/>
      <c r="O70" s="1299"/>
      <c r="P70" s="1299"/>
      <c r="Q70" s="1299"/>
      <c r="R70" s="1299"/>
      <c r="S70" s="1299"/>
      <c r="T70" s="1299"/>
      <c r="U70" s="1299"/>
      <c r="V70" s="1299"/>
      <c r="W70" s="1299"/>
      <c r="X70" s="1299"/>
      <c r="Y70" s="1299"/>
      <c r="Z70" s="1299"/>
      <c r="AA70" s="1300"/>
      <c r="AB70" s="1302" t="s">
        <v>280</v>
      </c>
      <c r="AC70" s="1282"/>
      <c r="AD70" s="1282"/>
      <c r="AE70" s="1282"/>
      <c r="AF70" s="1282"/>
      <c r="AG70" s="1282"/>
      <c r="AH70" s="1282"/>
      <c r="AI70" s="1282"/>
      <c r="AJ70" s="1282"/>
      <c r="AK70" s="1282"/>
      <c r="AL70" s="1282"/>
      <c r="AM70" s="1282"/>
      <c r="AN70" s="1283"/>
      <c r="AO70" s="317"/>
      <c r="AP70" s="317"/>
    </row>
    <row r="71" spans="1:42" x14ac:dyDescent="0.35">
      <c r="B71" s="1276"/>
      <c r="C71" s="1277"/>
      <c r="D71" s="282">
        <v>2018</v>
      </c>
      <c r="E71" s="1293">
        <v>2019</v>
      </c>
      <c r="F71" s="1294"/>
      <c r="G71" s="1294"/>
      <c r="H71" s="1295"/>
      <c r="I71" s="1293">
        <v>2020</v>
      </c>
      <c r="J71" s="1294"/>
      <c r="K71" s="1294"/>
      <c r="L71" s="1294"/>
      <c r="M71" s="1293">
        <v>2021</v>
      </c>
      <c r="N71" s="1294"/>
      <c r="O71" s="1294"/>
      <c r="P71" s="1294"/>
      <c r="Q71" s="1296">
        <v>2022</v>
      </c>
      <c r="R71" s="1297"/>
      <c r="S71" s="288"/>
      <c r="T71" s="288"/>
      <c r="U71" s="1293">
        <v>2023</v>
      </c>
      <c r="V71" s="1301"/>
      <c r="W71" s="1301"/>
      <c r="X71" s="1295"/>
      <c r="Y71" s="288"/>
      <c r="Z71" s="428">
        <v>2024</v>
      </c>
      <c r="AA71" s="428"/>
      <c r="AB71" s="321"/>
      <c r="AC71" s="1280">
        <v>2025</v>
      </c>
      <c r="AD71" s="1281"/>
      <c r="AE71" s="1281"/>
      <c r="AF71" s="1285"/>
      <c r="AG71" s="1280">
        <v>2026</v>
      </c>
      <c r="AH71" s="1281"/>
      <c r="AI71" s="1281"/>
      <c r="AJ71" s="1285"/>
      <c r="AK71" s="1280">
        <v>2027</v>
      </c>
      <c r="AL71" s="1281"/>
      <c r="AM71" s="1281"/>
      <c r="AN71" s="1285"/>
      <c r="AO71" s="235"/>
      <c r="AP71" s="235"/>
    </row>
    <row r="72" spans="1:42" x14ac:dyDescent="0.35">
      <c r="B72" s="1278"/>
      <c r="C72" s="1279"/>
      <c r="D72" s="214" t="s">
        <v>281</v>
      </c>
      <c r="E72" s="214" t="s">
        <v>282</v>
      </c>
      <c r="F72" s="215" t="s">
        <v>283</v>
      </c>
      <c r="G72" s="215" t="s">
        <v>238</v>
      </c>
      <c r="H72" s="218" t="s">
        <v>281</v>
      </c>
      <c r="I72" s="215" t="s">
        <v>282</v>
      </c>
      <c r="J72" s="215" t="s">
        <v>283</v>
      </c>
      <c r="K72" s="215" t="s">
        <v>238</v>
      </c>
      <c r="L72" s="215" t="s">
        <v>281</v>
      </c>
      <c r="M72" s="214" t="s">
        <v>282</v>
      </c>
      <c r="N72" s="215" t="s">
        <v>283</v>
      </c>
      <c r="O72" s="215" t="s">
        <v>238</v>
      </c>
      <c r="P72" s="215" t="s">
        <v>281</v>
      </c>
      <c r="Q72" s="214" t="s">
        <v>282</v>
      </c>
      <c r="R72" s="215" t="s">
        <v>283</v>
      </c>
      <c r="S72" s="215" t="s">
        <v>238</v>
      </c>
      <c r="T72" s="215" t="s">
        <v>281</v>
      </c>
      <c r="U72" s="273" t="s">
        <v>282</v>
      </c>
      <c r="V72" s="274" t="s">
        <v>283</v>
      </c>
      <c r="W72" s="274" t="s">
        <v>238</v>
      </c>
      <c r="X72" s="272" t="s">
        <v>281</v>
      </c>
      <c r="Y72" s="274" t="s">
        <v>282</v>
      </c>
      <c r="Z72" s="279" t="s">
        <v>283</v>
      </c>
      <c r="AA72" s="274" t="s">
        <v>238</v>
      </c>
      <c r="AB72" s="260" t="s">
        <v>281</v>
      </c>
      <c r="AC72" s="259" t="s">
        <v>282</v>
      </c>
      <c r="AD72" s="257" t="s">
        <v>283</v>
      </c>
      <c r="AE72" s="260" t="s">
        <v>238</v>
      </c>
      <c r="AF72" s="287" t="s">
        <v>281</v>
      </c>
      <c r="AG72" s="222" t="s">
        <v>282</v>
      </c>
      <c r="AH72" s="257" t="s">
        <v>283</v>
      </c>
      <c r="AI72" s="257" t="s">
        <v>238</v>
      </c>
      <c r="AJ72" s="277" t="s">
        <v>281</v>
      </c>
      <c r="AK72" s="222" t="s">
        <v>282</v>
      </c>
      <c r="AL72" s="257" t="s">
        <v>283</v>
      </c>
      <c r="AM72" s="257" t="s">
        <v>238</v>
      </c>
      <c r="AN72" s="277" t="s">
        <v>281</v>
      </c>
      <c r="AO72" s="56"/>
      <c r="AP72" s="56"/>
    </row>
    <row r="73" spans="1:42" ht="29.25" customHeight="1" x14ac:dyDescent="0.35">
      <c r="B73" s="351" t="s">
        <v>376</v>
      </c>
      <c r="C73" s="411"/>
      <c r="D73" s="352"/>
      <c r="E73" s="353"/>
      <c r="F73" s="353"/>
      <c r="G73" s="353"/>
      <c r="H73" s="354">
        <f t="shared" ref="H73:O73" si="29">SUM(H75:H83)</f>
        <v>208.815</v>
      </c>
      <c r="I73" s="354">
        <f t="shared" si="29"/>
        <v>212.11</v>
      </c>
      <c r="J73" s="354">
        <f t="shared" si="29"/>
        <v>321.19400000000007</v>
      </c>
      <c r="K73" s="354">
        <f t="shared" si="29"/>
        <v>295.41999999999996</v>
      </c>
      <c r="L73" s="354">
        <f t="shared" si="29"/>
        <v>293.01599999999996</v>
      </c>
      <c r="M73" s="354">
        <f t="shared" si="29"/>
        <v>318.27100000000007</v>
      </c>
      <c r="N73" s="354">
        <f t="shared" si="29"/>
        <v>354.85400000000004</v>
      </c>
      <c r="O73" s="354">
        <f t="shared" si="29"/>
        <v>373.11799999999988</v>
      </c>
      <c r="P73" s="425">
        <f>SUM(P75:P84)</f>
        <v>399.43985199999997</v>
      </c>
      <c r="Q73" s="354">
        <f>SUM(Q75:Q84)</f>
        <v>430.7982748</v>
      </c>
      <c r="R73" s="354">
        <f>SUM(R75:R84)</f>
        <v>500.33303199999995</v>
      </c>
      <c r="S73" s="354">
        <f>SUM(S75:S84)</f>
        <v>483.13586799999996</v>
      </c>
      <c r="T73" s="370">
        <f t="shared" ref="T73:AD73" si="30">SUM(T75:T84)</f>
        <v>450.110928</v>
      </c>
      <c r="U73" s="331">
        <f>SUM(U75:U84)</f>
        <v>441.01454320000011</v>
      </c>
      <c r="V73" s="331">
        <f>SUM(V75:V84)</f>
        <v>433.78172000000006</v>
      </c>
      <c r="W73" s="331">
        <f>SUM(W75:W84)</f>
        <v>417.68194400000004</v>
      </c>
      <c r="X73" s="331">
        <f t="shared" si="30"/>
        <v>432.29994399999998</v>
      </c>
      <c r="Y73" s="407">
        <f t="shared" si="30"/>
        <v>434.70694400000002</v>
      </c>
      <c r="Z73" s="407">
        <f t="shared" si="30"/>
        <v>440.59710899999999</v>
      </c>
      <c r="AA73" s="407">
        <f>SUM(AA75:AA84)</f>
        <v>461.9273300000001</v>
      </c>
      <c r="AB73" s="407">
        <f t="shared" si="30"/>
        <v>463.54132570000002</v>
      </c>
      <c r="AC73" s="336">
        <f t="shared" si="30"/>
        <v>447.08815956920625</v>
      </c>
      <c r="AD73" s="336">
        <f t="shared" si="30"/>
        <v>442.7962896849757</v>
      </c>
      <c r="AE73" s="336">
        <f t="shared" ref="AE73:AJ73" si="31">SUM(AE75:AE84)</f>
        <v>445.70973999598249</v>
      </c>
      <c r="AF73" s="336">
        <f t="shared" si="31"/>
        <v>444.7661988000001</v>
      </c>
      <c r="AG73" s="336">
        <f t="shared" si="31"/>
        <v>447.86348787197454</v>
      </c>
      <c r="AH73" s="336">
        <f t="shared" si="31"/>
        <v>448.18829579237479</v>
      </c>
      <c r="AI73" s="336">
        <f t="shared" si="31"/>
        <v>452.34692327582184</v>
      </c>
      <c r="AJ73" s="336">
        <f t="shared" si="31"/>
        <v>454.53667400000006</v>
      </c>
      <c r="AK73" s="336">
        <f t="shared" ref="AK73:AN73" si="32">SUM(AK75:AK84)</f>
        <v>457.75785463485346</v>
      </c>
      <c r="AL73" s="336">
        <f t="shared" si="32"/>
        <v>461.01077487206976</v>
      </c>
      <c r="AM73" s="336">
        <f>SUM(AM75:AM84)</f>
        <v>464.29574745485468</v>
      </c>
      <c r="AN73" s="336">
        <f t="shared" si="32"/>
        <v>467.61308820800002</v>
      </c>
      <c r="AO73" s="344"/>
      <c r="AP73" s="344"/>
    </row>
    <row r="74" spans="1:42" ht="19.399999999999999" customHeight="1" x14ac:dyDescent="0.35">
      <c r="B74" s="419" t="s">
        <v>377</v>
      </c>
      <c r="C74" s="231"/>
      <c r="D74" s="262"/>
      <c r="E74" s="231"/>
      <c r="F74" s="231"/>
      <c r="G74" s="231"/>
      <c r="H74" s="331"/>
      <c r="I74" s="331"/>
      <c r="J74" s="331"/>
      <c r="K74" s="331"/>
      <c r="L74" s="331"/>
      <c r="M74" s="331"/>
      <c r="N74" s="331"/>
      <c r="O74" s="331"/>
      <c r="P74" s="227"/>
      <c r="Q74" s="331"/>
      <c r="R74" s="331"/>
      <c r="S74" s="331"/>
      <c r="T74" s="331"/>
      <c r="U74" s="331"/>
      <c r="V74" s="331"/>
      <c r="W74" s="331"/>
      <c r="X74" s="331"/>
      <c r="Y74" s="337"/>
      <c r="Z74" s="337"/>
      <c r="AA74" s="337"/>
      <c r="AB74" s="337"/>
      <c r="AC74" s="337"/>
      <c r="AD74" s="337"/>
      <c r="AE74" s="337"/>
      <c r="AF74" s="337"/>
      <c r="AG74" s="336"/>
      <c r="AH74" s="336"/>
      <c r="AI74" s="336"/>
      <c r="AJ74" s="336"/>
      <c r="AK74" s="336"/>
      <c r="AL74" s="336"/>
      <c r="AM74" s="336"/>
      <c r="AN74" s="336"/>
      <c r="AO74" s="344"/>
      <c r="AP74" s="344"/>
    </row>
    <row r="75" spans="1:42" x14ac:dyDescent="0.35">
      <c r="B75" s="360" t="s">
        <v>152</v>
      </c>
      <c r="C75" s="36"/>
      <c r="D75" s="357"/>
      <c r="E75" s="36"/>
      <c r="F75" s="36"/>
      <c r="G75" s="36"/>
      <c r="H75" s="331"/>
      <c r="I75" s="331"/>
      <c r="J75" s="331">
        <f t="shared" ref="J75:AG75" si="33">J14</f>
        <v>64.400000000000006</v>
      </c>
      <c r="K75" s="331">
        <f t="shared" si="33"/>
        <v>23.4</v>
      </c>
      <c r="L75" s="331">
        <f t="shared" si="33"/>
        <v>13.8</v>
      </c>
      <c r="M75" s="331">
        <f t="shared" si="33"/>
        <v>12</v>
      </c>
      <c r="N75" s="331">
        <f t="shared" si="33"/>
        <v>7.5</v>
      </c>
      <c r="O75" s="331">
        <f t="shared" si="33"/>
        <v>10.5</v>
      </c>
      <c r="P75" s="227">
        <f t="shared" si="33"/>
        <v>18</v>
      </c>
      <c r="Q75" s="331">
        <f t="shared" si="33"/>
        <v>15</v>
      </c>
      <c r="R75" s="331">
        <f t="shared" si="33"/>
        <v>11.2</v>
      </c>
      <c r="S75" s="331">
        <f t="shared" si="33"/>
        <v>7.5</v>
      </c>
      <c r="T75" s="331">
        <f t="shared" si="33"/>
        <v>6.2</v>
      </c>
      <c r="U75" s="331">
        <f t="shared" si="33"/>
        <v>0</v>
      </c>
      <c r="V75" s="331">
        <f t="shared" si="33"/>
        <v>0</v>
      </c>
      <c r="W75" s="331">
        <f t="shared" si="33"/>
        <v>0</v>
      </c>
      <c r="X75" s="331">
        <f t="shared" si="33"/>
        <v>0</v>
      </c>
      <c r="Y75" s="337">
        <f t="shared" si="33"/>
        <v>0</v>
      </c>
      <c r="Z75" s="337">
        <f t="shared" si="33"/>
        <v>0</v>
      </c>
      <c r="AA75" s="337">
        <f t="shared" si="33"/>
        <v>0</v>
      </c>
      <c r="AB75" s="337">
        <f t="shared" si="33"/>
        <v>0</v>
      </c>
      <c r="AC75" s="337">
        <f t="shared" si="33"/>
        <v>0</v>
      </c>
      <c r="AD75" s="337">
        <f t="shared" si="33"/>
        <v>0</v>
      </c>
      <c r="AE75" s="337">
        <f t="shared" si="33"/>
        <v>0</v>
      </c>
      <c r="AF75" s="337">
        <f t="shared" si="33"/>
        <v>0</v>
      </c>
      <c r="AG75" s="336">
        <f t="shared" si="33"/>
        <v>0</v>
      </c>
      <c r="AH75" s="336">
        <f t="shared" ref="AH75:AI75" si="34">AH14</f>
        <v>0</v>
      </c>
      <c r="AI75" s="336">
        <f t="shared" si="34"/>
        <v>0</v>
      </c>
      <c r="AJ75" s="336">
        <f t="shared" ref="AJ75:AN75" si="35">AJ14</f>
        <v>0</v>
      </c>
      <c r="AK75" s="336">
        <f>AK14</f>
        <v>0</v>
      </c>
      <c r="AL75" s="336">
        <f t="shared" si="35"/>
        <v>0</v>
      </c>
      <c r="AM75" s="336">
        <f t="shared" si="35"/>
        <v>0</v>
      </c>
      <c r="AN75" s="336">
        <f t="shared" si="35"/>
        <v>0</v>
      </c>
      <c r="AO75" s="331"/>
      <c r="AP75" s="331"/>
    </row>
    <row r="76" spans="1:42" x14ac:dyDescent="0.35">
      <c r="B76" s="360" t="s">
        <v>342</v>
      </c>
      <c r="C76" s="36"/>
      <c r="D76" s="357"/>
      <c r="E76" s="36"/>
      <c r="F76" s="36"/>
      <c r="G76" s="36"/>
      <c r="H76" s="331"/>
      <c r="I76" s="331"/>
      <c r="J76" s="331"/>
      <c r="K76" s="331"/>
      <c r="L76" s="331"/>
      <c r="M76" s="331">
        <f>M28</f>
        <v>9.6666666666666661</v>
      </c>
      <c r="N76" s="331">
        <f t="shared" ref="N76:AC76" si="36">N28</f>
        <v>9.6666666666666661</v>
      </c>
      <c r="O76" s="331">
        <f t="shared" si="36"/>
        <v>9.6666666666666661</v>
      </c>
      <c r="P76" s="227">
        <f t="shared" si="36"/>
        <v>9.6666666666666661</v>
      </c>
      <c r="Q76" s="331">
        <f>Q28</f>
        <v>9.6666666666666661</v>
      </c>
      <c r="R76" s="331">
        <f>R28</f>
        <v>9.6666666666666661</v>
      </c>
      <c r="S76" s="331">
        <f>S28</f>
        <v>9.6666666666666661</v>
      </c>
      <c r="T76" s="331">
        <f t="shared" si="36"/>
        <v>9.6666666666666661</v>
      </c>
      <c r="U76" s="331">
        <f t="shared" si="36"/>
        <v>9.6666666666666661</v>
      </c>
      <c r="V76" s="331">
        <f t="shared" si="36"/>
        <v>9.6666666666666661</v>
      </c>
      <c r="W76" s="331">
        <f t="shared" si="36"/>
        <v>9.6666666666666661</v>
      </c>
      <c r="X76" s="331">
        <f t="shared" si="36"/>
        <v>9.6666666666666661</v>
      </c>
      <c r="Y76" s="337">
        <f t="shared" si="36"/>
        <v>0</v>
      </c>
      <c r="Z76" s="337">
        <f t="shared" si="36"/>
        <v>0</v>
      </c>
      <c r="AA76" s="337">
        <f t="shared" si="36"/>
        <v>0</v>
      </c>
      <c r="AB76" s="337">
        <f t="shared" si="36"/>
        <v>0</v>
      </c>
      <c r="AC76" s="337">
        <f t="shared" si="36"/>
        <v>0</v>
      </c>
      <c r="AD76" s="337">
        <f t="shared" ref="AD76:AG76" si="37">AD28</f>
        <v>0</v>
      </c>
      <c r="AE76" s="337">
        <f t="shared" si="37"/>
        <v>0</v>
      </c>
      <c r="AF76" s="337">
        <f t="shared" si="37"/>
        <v>0</v>
      </c>
      <c r="AG76" s="336">
        <f t="shared" si="37"/>
        <v>0</v>
      </c>
      <c r="AH76" s="336">
        <f t="shared" ref="AH76:AI76" si="38">AH28</f>
        <v>0</v>
      </c>
      <c r="AI76" s="336">
        <f t="shared" si="38"/>
        <v>0</v>
      </c>
      <c r="AJ76" s="336">
        <f t="shared" ref="AJ76:AN76" si="39">AJ28</f>
        <v>0</v>
      </c>
      <c r="AK76" s="336">
        <f t="shared" si="39"/>
        <v>0</v>
      </c>
      <c r="AL76" s="336">
        <f t="shared" si="39"/>
        <v>0</v>
      </c>
      <c r="AM76" s="336">
        <f t="shared" si="39"/>
        <v>0</v>
      </c>
      <c r="AN76" s="336">
        <f t="shared" si="39"/>
        <v>0</v>
      </c>
      <c r="AO76" s="331"/>
      <c r="AP76" s="331"/>
    </row>
    <row r="77" spans="1:42" x14ac:dyDescent="0.35">
      <c r="B77" s="360" t="s">
        <v>378</v>
      </c>
      <c r="C77" s="36"/>
      <c r="D77" s="357"/>
      <c r="E77" s="36"/>
      <c r="F77" s="36"/>
      <c r="G77" s="36"/>
      <c r="H77" s="331"/>
      <c r="I77" s="331"/>
      <c r="J77" s="331"/>
      <c r="K77" s="331"/>
      <c r="L77" s="331"/>
      <c r="M77" s="331">
        <f t="shared" ref="M77:AG77" si="40">M16</f>
        <v>12</v>
      </c>
      <c r="N77" s="331">
        <f t="shared" si="40"/>
        <v>12</v>
      </c>
      <c r="O77" s="331">
        <f t="shared" si="40"/>
        <v>12</v>
      </c>
      <c r="P77" s="227">
        <f t="shared" si="40"/>
        <v>12</v>
      </c>
      <c r="Q77" s="331">
        <f t="shared" si="40"/>
        <v>12</v>
      </c>
      <c r="R77" s="331">
        <f t="shared" si="40"/>
        <v>12</v>
      </c>
      <c r="S77" s="331">
        <f t="shared" si="40"/>
        <v>12</v>
      </c>
      <c r="T77" s="331">
        <f t="shared" si="40"/>
        <v>12</v>
      </c>
      <c r="U77" s="331">
        <f t="shared" si="40"/>
        <v>12</v>
      </c>
      <c r="V77" s="331">
        <f t="shared" si="40"/>
        <v>12</v>
      </c>
      <c r="W77" s="331">
        <f t="shared" si="40"/>
        <v>12</v>
      </c>
      <c r="X77" s="331">
        <f t="shared" si="40"/>
        <v>12</v>
      </c>
      <c r="Y77" s="337">
        <f t="shared" si="40"/>
        <v>0</v>
      </c>
      <c r="Z77" s="337">
        <f t="shared" si="40"/>
        <v>0</v>
      </c>
      <c r="AA77" s="337">
        <f t="shared" si="40"/>
        <v>0</v>
      </c>
      <c r="AB77" s="337">
        <f t="shared" si="40"/>
        <v>0</v>
      </c>
      <c r="AC77" s="337">
        <f t="shared" si="40"/>
        <v>0</v>
      </c>
      <c r="AD77" s="337">
        <f t="shared" si="40"/>
        <v>0</v>
      </c>
      <c r="AE77" s="337">
        <f t="shared" si="40"/>
        <v>0</v>
      </c>
      <c r="AF77" s="337">
        <f t="shared" si="40"/>
        <v>0</v>
      </c>
      <c r="AG77" s="336">
        <f t="shared" si="40"/>
        <v>0</v>
      </c>
      <c r="AH77" s="336">
        <f t="shared" ref="AH77:AI77" si="41">AH16</f>
        <v>0</v>
      </c>
      <c r="AI77" s="336">
        <f t="shared" si="41"/>
        <v>0</v>
      </c>
      <c r="AJ77" s="336">
        <f t="shared" ref="AJ77:AN77" si="42">AJ16</f>
        <v>0</v>
      </c>
      <c r="AK77" s="336">
        <f t="shared" si="42"/>
        <v>0</v>
      </c>
      <c r="AL77" s="336">
        <f t="shared" si="42"/>
        <v>0</v>
      </c>
      <c r="AM77" s="336">
        <f t="shared" si="42"/>
        <v>0</v>
      </c>
      <c r="AN77" s="336">
        <f t="shared" si="42"/>
        <v>0</v>
      </c>
      <c r="AO77" s="331"/>
      <c r="AP77" s="331"/>
    </row>
    <row r="78" spans="1:42" x14ac:dyDescent="0.35">
      <c r="B78" s="360" t="s">
        <v>379</v>
      </c>
      <c r="C78" s="36"/>
      <c r="D78" s="357"/>
      <c r="E78" s="36"/>
      <c r="F78" s="36"/>
      <c r="G78" s="36"/>
      <c r="H78" s="39">
        <f t="shared" ref="H78:AH78" si="43">H20</f>
        <v>208.815</v>
      </c>
      <c r="I78" s="39">
        <f t="shared" si="43"/>
        <v>212.11</v>
      </c>
      <c r="J78" s="39">
        <f t="shared" si="43"/>
        <v>193.39400000000012</v>
      </c>
      <c r="K78" s="39">
        <f t="shared" si="43"/>
        <v>211.21999999999997</v>
      </c>
      <c r="L78" s="39">
        <f t="shared" si="43"/>
        <v>219.01599999999996</v>
      </c>
      <c r="M78" s="39">
        <f t="shared" si="43"/>
        <v>215.70433333333341</v>
      </c>
      <c r="N78" s="39">
        <f t="shared" si="43"/>
        <v>218.08733333333339</v>
      </c>
      <c r="O78" s="39">
        <f t="shared" si="43"/>
        <v>220.25133333333321</v>
      </c>
      <c r="P78" s="329">
        <f t="shared" si="43"/>
        <v>247.95233333333329</v>
      </c>
      <c r="Q78" s="39">
        <f t="shared" si="43"/>
        <v>245.7353333333333</v>
      </c>
      <c r="R78" s="39">
        <f t="shared" si="43"/>
        <v>262.2163333333333</v>
      </c>
      <c r="S78" s="39">
        <f t="shared" si="43"/>
        <v>256.37333333333328</v>
      </c>
      <c r="T78" s="39">
        <f t="shared" si="43"/>
        <v>227.63733333333334</v>
      </c>
      <c r="U78" s="349">
        <f t="shared" si="43"/>
        <v>238.22800000000012</v>
      </c>
      <c r="V78" s="39">
        <f t="shared" si="43"/>
        <v>232.20100000000008</v>
      </c>
      <c r="W78" s="39">
        <f t="shared" si="43"/>
        <v>222.80400000000003</v>
      </c>
      <c r="X78" s="39">
        <f t="shared" si="43"/>
        <v>247.81200000000001</v>
      </c>
      <c r="Y78" s="338">
        <f t="shared" si="43"/>
        <v>265.71900000000005</v>
      </c>
      <c r="Z78" s="338">
        <f t="shared" si="43"/>
        <v>283.38900000000001</v>
      </c>
      <c r="AA78" s="338">
        <f>AA20</f>
        <v>302.80900000000008</v>
      </c>
      <c r="AB78" s="338">
        <f t="shared" si="43"/>
        <v>302.24700000000007</v>
      </c>
      <c r="AC78" s="338">
        <f t="shared" si="43"/>
        <v>305.22516256920625</v>
      </c>
      <c r="AD78" s="338">
        <f t="shared" si="43"/>
        <v>308.23267018497575</v>
      </c>
      <c r="AE78" s="338">
        <f t="shared" si="43"/>
        <v>311.26981199598254</v>
      </c>
      <c r="AF78" s="338">
        <f t="shared" si="43"/>
        <v>314.33688000000006</v>
      </c>
      <c r="AG78" s="322">
        <f t="shared" si="43"/>
        <v>317.43416907197451</v>
      </c>
      <c r="AH78" s="322">
        <f t="shared" si="43"/>
        <v>320.56197699237475</v>
      </c>
      <c r="AI78" s="322">
        <f t="shared" ref="AI78:AJ78" si="44">AI20</f>
        <v>323.7206044758218</v>
      </c>
      <c r="AJ78" s="322">
        <f t="shared" si="44"/>
        <v>326.91035520000003</v>
      </c>
      <c r="AK78" s="322">
        <f t="shared" ref="AK78:AN78" si="45">AK20</f>
        <v>330.13153583485342</v>
      </c>
      <c r="AL78" s="322">
        <f t="shared" si="45"/>
        <v>333.38445607206972</v>
      </c>
      <c r="AM78" s="322">
        <f t="shared" si="45"/>
        <v>336.66942865485464</v>
      </c>
      <c r="AN78" s="322">
        <f t="shared" si="45"/>
        <v>339.98676940799999</v>
      </c>
      <c r="AO78" s="39"/>
      <c r="AP78" s="39"/>
    </row>
    <row r="79" spans="1:42" x14ac:dyDescent="0.35">
      <c r="B79" s="360" t="s">
        <v>1180</v>
      </c>
      <c r="C79" s="36"/>
      <c r="D79" s="357"/>
      <c r="E79" s="36"/>
      <c r="F79" s="36"/>
      <c r="G79" s="36"/>
      <c r="H79" s="39"/>
      <c r="I79" s="39"/>
      <c r="J79" s="39"/>
      <c r="K79" s="39"/>
      <c r="L79" s="39"/>
      <c r="M79" s="39"/>
      <c r="N79" s="39"/>
      <c r="O79" s="39"/>
      <c r="P79" s="329"/>
      <c r="Q79" s="39"/>
      <c r="R79" s="39"/>
      <c r="S79" s="333">
        <f>'IRA and CHIPS'!E184</f>
        <v>0</v>
      </c>
      <c r="T79" s="333">
        <f>'IRA and CHIPS'!F184</f>
        <v>6.8000000000000005E-2</v>
      </c>
      <c r="U79" s="333">
        <f>'IRA and CHIPS'!G184</f>
        <v>6.8000000000000005E-2</v>
      </c>
      <c r="V79" s="333">
        <f>'IRA and CHIPS'!H184</f>
        <v>6.8000000000000005E-2</v>
      </c>
      <c r="W79" s="333">
        <f>'IRA and CHIPS'!I184</f>
        <v>6.8000000000000005E-2</v>
      </c>
      <c r="X79" s="333">
        <f>'IRA and CHIPS'!J184</f>
        <v>1.363</v>
      </c>
      <c r="Y79" s="346">
        <f>'IRA and CHIPS'!K184</f>
        <v>1.363</v>
      </c>
      <c r="Z79" s="346">
        <f>'IRA and CHIPS'!L184</f>
        <v>1.363</v>
      </c>
      <c r="AA79" s="346">
        <f>'IRA and CHIPS'!M184</f>
        <v>1.363</v>
      </c>
      <c r="AB79" s="346">
        <f>'IRA and CHIPS'!N184</f>
        <v>2.4329999999999998</v>
      </c>
      <c r="AC79" s="346">
        <f>'IRA and CHIPS'!O184</f>
        <v>2.4329999999999998</v>
      </c>
      <c r="AD79" s="346">
        <f>'IRA and CHIPS'!P184</f>
        <v>2.4329999999999998</v>
      </c>
      <c r="AE79" s="346">
        <f>'IRA and CHIPS'!Q184</f>
        <v>2.4329999999999998</v>
      </c>
      <c r="AF79" s="346">
        <f>'IRA and CHIPS'!R184</f>
        <v>2.8029999999999999</v>
      </c>
      <c r="AG79" s="346">
        <f>'IRA and CHIPS'!S184</f>
        <v>2.8029999999999999</v>
      </c>
      <c r="AH79" s="346"/>
      <c r="AI79" s="346">
        <f>'IRA and CHIPS'!U184</f>
        <v>0</v>
      </c>
      <c r="AJ79" s="346"/>
      <c r="AK79" s="346"/>
      <c r="AL79" s="346"/>
      <c r="AM79" s="346"/>
      <c r="AN79" s="346"/>
      <c r="AO79" s="39"/>
      <c r="AP79" s="39"/>
    </row>
    <row r="80" spans="1:42" ht="14.9" customHeight="1" x14ac:dyDescent="0.35">
      <c r="B80" s="399" t="s">
        <v>380</v>
      </c>
      <c r="C80" s="36"/>
      <c r="D80" s="357"/>
      <c r="E80" s="36"/>
      <c r="F80" s="36"/>
      <c r="G80" s="36"/>
      <c r="H80" s="331"/>
      <c r="I80" s="331"/>
      <c r="J80" s="331"/>
      <c r="K80" s="331"/>
      <c r="L80" s="331"/>
      <c r="M80" s="331"/>
      <c r="N80" s="331"/>
      <c r="O80" s="331"/>
      <c r="P80" s="227"/>
      <c r="Q80" s="331"/>
      <c r="R80" s="331"/>
      <c r="S80" s="331"/>
      <c r="T80" s="331"/>
      <c r="U80" s="331"/>
      <c r="V80" s="331"/>
      <c r="W80" s="331"/>
      <c r="X80" s="331"/>
      <c r="Y80" s="337"/>
      <c r="Z80" s="337"/>
      <c r="AA80" s="337"/>
      <c r="AB80" s="337"/>
      <c r="AC80" s="337"/>
      <c r="AD80" s="337"/>
      <c r="AE80" s="337"/>
      <c r="AF80" s="337"/>
      <c r="AG80" s="336"/>
      <c r="AH80" s="336"/>
      <c r="AI80" s="336"/>
      <c r="AJ80" s="336"/>
      <c r="AK80" s="336"/>
      <c r="AL80" s="336"/>
      <c r="AM80" s="336"/>
      <c r="AN80" s="336"/>
      <c r="AO80" s="331"/>
      <c r="AP80" s="331"/>
    </row>
    <row r="81" spans="2:42" ht="14.9" customHeight="1" x14ac:dyDescent="0.35">
      <c r="B81" s="360" t="s">
        <v>150</v>
      </c>
      <c r="C81" s="36"/>
      <c r="D81" s="357"/>
      <c r="E81" s="36"/>
      <c r="F81" s="36"/>
      <c r="G81" s="36"/>
      <c r="H81" s="331"/>
      <c r="I81" s="331"/>
      <c r="J81" s="331">
        <f t="shared" ref="J81:Y81" si="46">J13</f>
        <v>28.4</v>
      </c>
      <c r="K81" s="331">
        <f t="shared" si="46"/>
        <v>15.8</v>
      </c>
      <c r="L81" s="331">
        <f t="shared" si="46"/>
        <v>15.2</v>
      </c>
      <c r="M81" s="331">
        <f t="shared" si="46"/>
        <v>28.9</v>
      </c>
      <c r="N81" s="331">
        <f t="shared" si="46"/>
        <v>67.599999999999994</v>
      </c>
      <c r="O81" s="331">
        <f t="shared" si="46"/>
        <v>80.7</v>
      </c>
      <c r="P81" s="227">
        <f t="shared" si="46"/>
        <v>87.2</v>
      </c>
      <c r="Q81" s="331">
        <f t="shared" si="46"/>
        <v>72.400000000000006</v>
      </c>
      <c r="R81" s="331">
        <f t="shared" si="46"/>
        <v>85.9</v>
      </c>
      <c r="S81" s="331">
        <f t="shared" si="46"/>
        <v>68.3</v>
      </c>
      <c r="T81" s="331">
        <f t="shared" si="46"/>
        <v>64</v>
      </c>
      <c r="U81" s="331">
        <f t="shared" si="46"/>
        <v>60.929333333333297</v>
      </c>
      <c r="V81" s="331">
        <f t="shared" si="46"/>
        <v>60.929333333333297</v>
      </c>
      <c r="W81" s="331">
        <f t="shared" si="46"/>
        <v>60.929333333333297</v>
      </c>
      <c r="X81" s="331">
        <f t="shared" si="46"/>
        <v>54.244333333333302</v>
      </c>
      <c r="Y81" s="336">
        <f t="shared" si="46"/>
        <v>50.911000000000001</v>
      </c>
      <c r="Z81" s="337">
        <f>Z25+Z29+'ARP Quarterly'!P28</f>
        <v>44.428388999999996</v>
      </c>
      <c r="AA81" s="337">
        <f>AA25+AA29+'ARP Quarterly'!Q28</f>
        <v>46.338610000000003</v>
      </c>
      <c r="AB81" s="337">
        <f>AB25+AB29+'ARP Quarterly'!R28</f>
        <v>47.279744500000007</v>
      </c>
      <c r="AC81" s="337">
        <f>AC25+AC29+'ARP Quarterly'!S28</f>
        <v>46.283419000000009</v>
      </c>
      <c r="AD81" s="337">
        <f>AD25+AD29+'ARP Quarterly'!T28</f>
        <v>45.578489500000011</v>
      </c>
      <c r="AE81" s="337">
        <f>AE25+AE29+'ARP Quarterly'!U28</f>
        <v>45.454798000000011</v>
      </c>
      <c r="AF81" s="337">
        <f>AF25+AF29+'ARP Quarterly'!V28</f>
        <v>45.360580000000013</v>
      </c>
      <c r="AG81" s="336">
        <f>AF81</f>
        <v>45.360580000000013</v>
      </c>
      <c r="AH81" s="336">
        <f>AG81</f>
        <v>45.360580000000013</v>
      </c>
      <c r="AI81" s="336">
        <f>AH81</f>
        <v>45.360580000000013</v>
      </c>
      <c r="AJ81" s="336">
        <f>AI81</f>
        <v>45.360580000000013</v>
      </c>
      <c r="AK81" s="336">
        <f t="shared" ref="AK81:AN81" si="47">AJ81</f>
        <v>45.360580000000013</v>
      </c>
      <c r="AL81" s="336">
        <f t="shared" si="47"/>
        <v>45.360580000000013</v>
      </c>
      <c r="AM81" s="336">
        <f t="shared" si="47"/>
        <v>45.360580000000013</v>
      </c>
      <c r="AN81" s="336">
        <f t="shared" si="47"/>
        <v>45.360580000000013</v>
      </c>
      <c r="AO81" s="345"/>
      <c r="AP81" s="331"/>
    </row>
    <row r="82" spans="2:42" x14ac:dyDescent="0.35">
      <c r="B82" s="360" t="s">
        <v>149</v>
      </c>
      <c r="C82" s="39"/>
      <c r="D82" s="422"/>
      <c r="E82" s="39"/>
      <c r="F82" s="39"/>
      <c r="G82" s="39"/>
      <c r="H82" s="331"/>
      <c r="I82" s="331"/>
      <c r="J82" s="331">
        <v>35</v>
      </c>
      <c r="K82" s="331">
        <v>45</v>
      </c>
      <c r="L82" s="331">
        <v>45</v>
      </c>
      <c r="M82" s="331">
        <v>40</v>
      </c>
      <c r="N82" s="331">
        <v>40</v>
      </c>
      <c r="O82" s="331">
        <v>40</v>
      </c>
      <c r="P82" s="227">
        <v>40</v>
      </c>
      <c r="Q82" s="331">
        <v>50</v>
      </c>
      <c r="R82" s="331">
        <v>50</v>
      </c>
      <c r="S82" s="331">
        <v>50</v>
      </c>
      <c r="T82" s="331">
        <v>50</v>
      </c>
      <c r="U82" s="350">
        <v>40</v>
      </c>
      <c r="V82" s="331">
        <v>30</v>
      </c>
      <c r="W82" s="331">
        <v>20</v>
      </c>
      <c r="X82" s="331">
        <v>15</v>
      </c>
      <c r="Y82" s="337">
        <v>10</v>
      </c>
      <c r="Z82" s="337">
        <v>0</v>
      </c>
      <c r="AA82" s="337">
        <v>0</v>
      </c>
      <c r="AB82" s="337">
        <v>0</v>
      </c>
      <c r="AC82" s="337">
        <v>0</v>
      </c>
      <c r="AD82" s="337">
        <v>0</v>
      </c>
      <c r="AE82" s="337">
        <v>0</v>
      </c>
      <c r="AF82" s="337">
        <v>0</v>
      </c>
      <c r="AG82" s="336">
        <v>0</v>
      </c>
      <c r="AH82" s="336"/>
      <c r="AI82" s="336">
        <v>1</v>
      </c>
      <c r="AJ82" s="336"/>
      <c r="AK82" s="336"/>
      <c r="AL82" s="336"/>
      <c r="AM82" s="336"/>
      <c r="AN82" s="336"/>
      <c r="AO82" s="325"/>
    </row>
    <row r="83" spans="2:42" ht="28.5" customHeight="1" x14ac:dyDescent="0.35">
      <c r="B83" s="373" t="s">
        <v>381</v>
      </c>
      <c r="C83" s="385"/>
      <c r="D83" s="357"/>
      <c r="E83" s="36"/>
      <c r="F83" s="36"/>
      <c r="G83" s="36"/>
      <c r="H83" s="331"/>
      <c r="I83" s="331"/>
      <c r="J83" s="331"/>
      <c r="K83" s="331"/>
      <c r="L83" s="331"/>
      <c r="M83" s="331"/>
      <c r="N83" s="331">
        <f>'ARP Quarterly'!D47</f>
        <v>0</v>
      </c>
      <c r="O83" s="331">
        <f>'ARP Quarterly'!E47</f>
        <v>0</v>
      </c>
      <c r="P83" s="227">
        <f>'ARP Quarterly'!F47</f>
        <v>34.620851999999999</v>
      </c>
      <c r="Q83" s="331">
        <f>'ARP Quarterly'!G47</f>
        <v>50.996274799999995</v>
      </c>
      <c r="R83" s="331">
        <f>'ARP Quarterly'!H47</f>
        <v>69.350031999999999</v>
      </c>
      <c r="S83" s="331">
        <f>'ARP Quarterly'!I47</f>
        <v>79.295867999999999</v>
      </c>
      <c r="T83" s="331">
        <f>'ARP Quarterly'!J47</f>
        <v>80.538927999999999</v>
      </c>
      <c r="U83" s="331">
        <f>'ARP Quarterly'!K47</f>
        <v>80.122543199999996</v>
      </c>
      <c r="V83" s="331">
        <f>'ARP Quarterly'!L47</f>
        <v>88.916719999999998</v>
      </c>
      <c r="W83" s="332">
        <f>'ARP Quarterly'!M47</f>
        <v>92.213943999999998</v>
      </c>
      <c r="X83" s="332">
        <f>'ARP Quarterly'!N47</f>
        <v>92.213943999999998</v>
      </c>
      <c r="Y83" s="409">
        <f>'ARP Quarterly'!O47</f>
        <v>94.213943999999998</v>
      </c>
      <c r="Z83" s="409">
        <f>'ARP Quarterly'!P47</f>
        <v>98.916719999999998</v>
      </c>
      <c r="AA83" s="409">
        <f>'ARP Quarterly'!Q47</f>
        <v>98.916719999999998</v>
      </c>
      <c r="AB83" s="409">
        <f>'ARP Quarterly'!R47</f>
        <v>99.081581199999988</v>
      </c>
      <c r="AC83" s="409">
        <f>'ARP Quarterly'!S47</f>
        <v>93.146578000000005</v>
      </c>
      <c r="AD83" s="409">
        <f>'ARP Quarterly'!T47</f>
        <v>86.552129999999991</v>
      </c>
      <c r="AE83" s="409">
        <f>'ARP Quarterly'!U47</f>
        <v>86.552129999999991</v>
      </c>
      <c r="AF83" s="409">
        <f>'ARP Quarterly'!V47</f>
        <v>82.265738799999994</v>
      </c>
      <c r="AG83" s="394">
        <f>AF83</f>
        <v>82.265738799999994</v>
      </c>
      <c r="AH83" s="394">
        <f>AG83</f>
        <v>82.265738799999994</v>
      </c>
      <c r="AI83" s="394">
        <f>AH83</f>
        <v>82.265738799999994</v>
      </c>
      <c r="AJ83" s="394">
        <f>AI83</f>
        <v>82.265738799999994</v>
      </c>
      <c r="AK83" s="394">
        <f t="shared" ref="AK83:AN83" si="48">AJ83</f>
        <v>82.265738799999994</v>
      </c>
      <c r="AL83" s="394">
        <f t="shared" si="48"/>
        <v>82.265738799999994</v>
      </c>
      <c r="AM83" s="394">
        <f t="shared" si="48"/>
        <v>82.265738799999994</v>
      </c>
      <c r="AN83" s="394">
        <f t="shared" si="48"/>
        <v>82.265738799999994</v>
      </c>
      <c r="AO83" s="398"/>
    </row>
    <row r="84" spans="2:42" ht="55.4" customHeight="1" x14ac:dyDescent="0.35">
      <c r="B84" s="379" t="s">
        <v>827</v>
      </c>
      <c r="C84" s="380"/>
      <c r="D84" s="429"/>
      <c r="E84" s="380"/>
      <c r="F84" s="380"/>
      <c r="G84" s="380"/>
      <c r="H84" s="380"/>
      <c r="I84" s="380"/>
      <c r="J84" s="380"/>
      <c r="K84" s="380"/>
      <c r="L84" s="380"/>
      <c r="M84" s="380"/>
      <c r="N84" s="380"/>
      <c r="O84" s="380"/>
      <c r="P84" s="380">
        <v>-50</v>
      </c>
      <c r="Q84" s="380">
        <v>-25</v>
      </c>
      <c r="R84" s="380"/>
      <c r="S84" s="380"/>
      <c r="T84" s="380"/>
      <c r="U84" s="423"/>
      <c r="V84" s="356"/>
      <c r="W84" s="380"/>
      <c r="X84" s="380"/>
      <c r="Y84" s="380">
        <v>12.5</v>
      </c>
      <c r="Z84" s="380">
        <v>12.5</v>
      </c>
      <c r="AA84" s="380">
        <v>12.5</v>
      </c>
      <c r="AB84" s="356">
        <v>12.5</v>
      </c>
      <c r="AC84" s="423"/>
      <c r="AD84" s="235"/>
      <c r="AE84" s="235"/>
      <c r="AF84" s="235"/>
      <c r="AG84" s="235"/>
      <c r="AH84" s="235"/>
      <c r="AI84" s="235"/>
      <c r="AJ84" s="235"/>
      <c r="AK84" s="235"/>
      <c r="AL84" s="235"/>
      <c r="AM84" s="235"/>
      <c r="AN84" s="235"/>
    </row>
    <row r="85" spans="2:42" x14ac:dyDescent="0.35">
      <c r="B85" s="271"/>
      <c r="C85" s="235"/>
      <c r="D85" s="235"/>
      <c r="E85" s="235"/>
      <c r="F85" s="235"/>
      <c r="G85" s="235"/>
      <c r="H85" s="235"/>
      <c r="I85" s="235"/>
      <c r="J85" s="235"/>
      <c r="K85" s="235"/>
      <c r="L85" s="235"/>
      <c r="M85" s="235"/>
      <c r="Z85" s="235"/>
      <c r="AA85" s="235"/>
      <c r="AB85" s="235"/>
      <c r="AC85" s="235"/>
      <c r="AD85" s="235"/>
      <c r="AE85" s="235"/>
      <c r="AF85" s="235"/>
      <c r="AG85" s="235"/>
      <c r="AH85" s="235"/>
      <c r="AI85" s="235"/>
      <c r="AJ85" s="235"/>
      <c r="AK85" s="235"/>
      <c r="AL85" s="235"/>
      <c r="AM85" s="235"/>
      <c r="AN85" s="235"/>
    </row>
    <row r="86" spans="2:42" x14ac:dyDescent="0.35">
      <c r="B86" s="271"/>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c r="AA86" s="235"/>
      <c r="AB86" s="235"/>
      <c r="AC86" s="235"/>
      <c r="AD86" s="235"/>
      <c r="AE86" s="235"/>
      <c r="AF86" s="235"/>
      <c r="AG86" s="235"/>
      <c r="AH86" s="235"/>
      <c r="AI86" s="235"/>
      <c r="AJ86" s="235"/>
      <c r="AK86" s="235"/>
      <c r="AL86" s="235"/>
      <c r="AM86" s="235"/>
      <c r="AN86" s="235"/>
    </row>
    <row r="87" spans="2:42" ht="14.5" customHeight="1" x14ac:dyDescent="0.35">
      <c r="B87" s="271"/>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c r="AA87" s="235"/>
      <c r="AB87" s="235"/>
      <c r="AC87" s="235"/>
      <c r="AD87" s="235"/>
      <c r="AE87" s="235"/>
      <c r="AF87" s="235"/>
      <c r="AG87" s="235"/>
      <c r="AH87" s="235"/>
      <c r="AI87" s="235"/>
      <c r="AJ87" s="235"/>
      <c r="AK87" s="235"/>
      <c r="AL87" s="235"/>
      <c r="AM87" s="235"/>
      <c r="AN87" s="235"/>
    </row>
    <row r="88" spans="2:42" x14ac:dyDescent="0.35">
      <c r="B88" s="1269" t="s">
        <v>134</v>
      </c>
      <c r="C88" s="1269"/>
      <c r="D88" s="1269"/>
      <c r="E88" s="1269"/>
      <c r="F88" s="1269"/>
      <c r="G88" s="1269"/>
      <c r="H88" s="1269"/>
      <c r="I88" s="1269"/>
      <c r="J88" s="1269"/>
      <c r="K88" s="1269"/>
      <c r="L88" s="1269"/>
      <c r="M88" s="1269"/>
      <c r="N88" s="1269"/>
      <c r="O88" s="1269"/>
      <c r="P88" s="1269"/>
      <c r="Q88" s="1269"/>
      <c r="R88" s="1269"/>
      <c r="S88" s="1269"/>
      <c r="T88" s="1269"/>
      <c r="U88" s="1269"/>
      <c r="V88" s="1269"/>
      <c r="W88" s="1269"/>
      <c r="X88" s="1269"/>
      <c r="Y88" s="1269"/>
      <c r="Z88" s="212"/>
      <c r="AA88" s="212"/>
      <c r="AB88" s="212"/>
      <c r="AC88" s="212"/>
      <c r="AD88" s="212"/>
      <c r="AE88" s="212"/>
      <c r="AF88" s="212"/>
      <c r="AG88" s="212"/>
      <c r="AH88" s="212"/>
      <c r="AI88" s="212"/>
      <c r="AJ88" s="212"/>
      <c r="AK88" s="212"/>
      <c r="AL88" s="212"/>
      <c r="AM88" s="212"/>
      <c r="AN88" s="212"/>
      <c r="AO88" s="317"/>
      <c r="AP88" s="317"/>
    </row>
    <row r="89" spans="2:42" ht="19.399999999999999" customHeight="1" x14ac:dyDescent="0.35">
      <c r="B89" s="1270" t="s">
        <v>1828</v>
      </c>
      <c r="C89" s="1270"/>
      <c r="D89" s="1270"/>
      <c r="E89" s="1270"/>
      <c r="F89" s="1270"/>
      <c r="G89" s="1270"/>
      <c r="H89" s="1270"/>
      <c r="I89" s="1270"/>
      <c r="J89" s="1270"/>
      <c r="K89" s="1270"/>
      <c r="L89" s="1270"/>
      <c r="M89" s="1270"/>
      <c r="N89" s="1270"/>
      <c r="O89" s="1270"/>
      <c r="P89" s="1270"/>
      <c r="Q89" s="1270"/>
      <c r="R89" s="1270"/>
      <c r="S89" s="1270"/>
      <c r="T89" s="1270"/>
      <c r="U89" s="1270"/>
      <c r="V89" s="1270"/>
      <c r="W89" s="1270"/>
      <c r="X89" s="1270"/>
      <c r="Y89" s="1270"/>
      <c r="Z89" s="1270"/>
      <c r="AA89" s="1270"/>
      <c r="AB89" s="1270"/>
      <c r="AC89" s="1270"/>
      <c r="AD89" s="213"/>
      <c r="AE89" s="213"/>
      <c r="AF89" s="213"/>
      <c r="AG89" s="213"/>
      <c r="AH89" s="213"/>
      <c r="AI89" s="213"/>
      <c r="AJ89" s="213"/>
      <c r="AK89" s="213"/>
      <c r="AL89" s="213"/>
      <c r="AM89" s="213"/>
      <c r="AN89" s="213"/>
      <c r="AO89" s="213"/>
      <c r="AP89" s="213"/>
    </row>
    <row r="90" spans="2:42" ht="11.9" customHeight="1" x14ac:dyDescent="0.35">
      <c r="B90" s="241"/>
      <c r="C90" s="241"/>
      <c r="D90" s="241"/>
      <c r="E90" s="241"/>
      <c r="F90" s="241"/>
      <c r="G90" s="241"/>
      <c r="H90" s="241"/>
      <c r="I90" s="241"/>
      <c r="J90" s="241"/>
      <c r="K90" s="241"/>
      <c r="L90" s="241"/>
      <c r="M90" s="241"/>
      <c r="V90" s="219"/>
      <c r="W90" s="219"/>
      <c r="X90" s="219"/>
      <c r="Y90" s="219"/>
      <c r="Z90" s="219"/>
      <c r="AA90" s="219"/>
      <c r="AB90" s="219"/>
      <c r="AC90" s="219"/>
      <c r="AD90" s="219"/>
      <c r="AE90" s="219"/>
      <c r="AF90" s="219"/>
      <c r="AG90" s="219"/>
      <c r="AH90" s="219"/>
      <c r="AI90" s="219"/>
      <c r="AJ90" s="219"/>
      <c r="AK90" s="219"/>
      <c r="AL90" s="219"/>
      <c r="AM90" s="219"/>
      <c r="AN90" s="219"/>
      <c r="AO90" s="219"/>
      <c r="AP90" s="219"/>
    </row>
    <row r="91" spans="2:42" ht="14.9" customHeight="1" x14ac:dyDescent="0.35">
      <c r="B91" s="1274" t="s">
        <v>278</v>
      </c>
      <c r="C91" s="1275"/>
      <c r="D91" s="1298" t="s">
        <v>279</v>
      </c>
      <c r="E91" s="1299"/>
      <c r="F91" s="1299"/>
      <c r="G91" s="1299"/>
      <c r="H91" s="1299"/>
      <c r="I91" s="1299"/>
      <c r="J91" s="1299"/>
      <c r="K91" s="1299"/>
      <c r="L91" s="1299"/>
      <c r="M91" s="1299"/>
      <c r="N91" s="1299"/>
      <c r="O91" s="1299"/>
      <c r="P91" s="1299"/>
      <c r="Q91" s="1299"/>
      <c r="R91" s="1299"/>
      <c r="S91" s="1299"/>
      <c r="T91" s="1299"/>
      <c r="U91" s="1299"/>
      <c r="V91" s="1299"/>
      <c r="W91" s="1299"/>
      <c r="X91" s="1299"/>
      <c r="Y91" s="1299"/>
      <c r="Z91" s="1299"/>
      <c r="AA91" s="1300"/>
      <c r="AB91" s="1302" t="s">
        <v>280</v>
      </c>
      <c r="AC91" s="1282"/>
      <c r="AD91" s="1282"/>
      <c r="AE91" s="1282"/>
      <c r="AF91" s="1282"/>
      <c r="AG91" s="1282"/>
      <c r="AH91" s="1282"/>
      <c r="AI91" s="1282"/>
      <c r="AJ91" s="1282"/>
      <c r="AK91" s="1282"/>
      <c r="AL91" s="1282"/>
      <c r="AM91" s="1282"/>
      <c r="AN91" s="1283"/>
      <c r="AO91" s="317"/>
      <c r="AP91" s="317"/>
    </row>
    <row r="92" spans="2:42" x14ac:dyDescent="0.35">
      <c r="B92" s="1276"/>
      <c r="C92" s="1277"/>
      <c r="D92" s="284">
        <v>2018</v>
      </c>
      <c r="E92" s="1293">
        <v>2019</v>
      </c>
      <c r="F92" s="1294"/>
      <c r="G92" s="1294"/>
      <c r="H92" s="1295"/>
      <c r="I92" s="1293">
        <v>2020</v>
      </c>
      <c r="J92" s="1294"/>
      <c r="K92" s="1294"/>
      <c r="L92" s="1294"/>
      <c r="M92" s="1293">
        <v>2021</v>
      </c>
      <c r="N92" s="1294"/>
      <c r="O92" s="1294"/>
      <c r="P92" s="1294"/>
      <c r="Q92" s="1293">
        <v>2022</v>
      </c>
      <c r="R92" s="1301"/>
      <c r="S92" s="1301"/>
      <c r="T92" s="1301"/>
      <c r="U92" s="1293">
        <v>2023</v>
      </c>
      <c r="V92" s="1301"/>
      <c r="W92" s="1301"/>
      <c r="X92" s="1295"/>
      <c r="Y92" s="288"/>
      <c r="Z92" s="428">
        <v>2024</v>
      </c>
      <c r="AA92" s="428"/>
      <c r="AB92" s="324"/>
      <c r="AC92" s="1280">
        <v>2025</v>
      </c>
      <c r="AD92" s="1281"/>
      <c r="AE92" s="1281"/>
      <c r="AF92" s="1285"/>
      <c r="AG92" s="1280">
        <v>2026</v>
      </c>
      <c r="AH92" s="1281"/>
      <c r="AI92" s="1281"/>
      <c r="AJ92" s="1285"/>
      <c r="AK92" s="1280">
        <v>2027</v>
      </c>
      <c r="AL92" s="1281"/>
      <c r="AM92" s="1281"/>
      <c r="AN92" s="1285"/>
      <c r="AO92" s="219"/>
      <c r="AP92" s="219"/>
    </row>
    <row r="93" spans="2:42" x14ac:dyDescent="0.35">
      <c r="B93" s="1276"/>
      <c r="C93" s="1277"/>
      <c r="D93" s="215" t="s">
        <v>281</v>
      </c>
      <c r="E93" s="214" t="s">
        <v>282</v>
      </c>
      <c r="F93" s="215" t="s">
        <v>283</v>
      </c>
      <c r="G93" s="215" t="s">
        <v>238</v>
      </c>
      <c r="H93" s="218" t="s">
        <v>281</v>
      </c>
      <c r="I93" s="215" t="s">
        <v>282</v>
      </c>
      <c r="J93" s="215" t="s">
        <v>283</v>
      </c>
      <c r="K93" s="215" t="s">
        <v>238</v>
      </c>
      <c r="L93" s="215" t="s">
        <v>281</v>
      </c>
      <c r="M93" s="214" t="s">
        <v>282</v>
      </c>
      <c r="N93" s="215" t="s">
        <v>283</v>
      </c>
      <c r="O93" s="215" t="s">
        <v>238</v>
      </c>
      <c r="P93" s="215" t="s">
        <v>281</v>
      </c>
      <c r="Q93" s="214" t="s">
        <v>282</v>
      </c>
      <c r="R93" s="215" t="s">
        <v>283</v>
      </c>
      <c r="S93" s="215" t="s">
        <v>238</v>
      </c>
      <c r="T93" s="215" t="s">
        <v>281</v>
      </c>
      <c r="U93" s="214" t="s">
        <v>282</v>
      </c>
      <c r="V93" s="215" t="s">
        <v>283</v>
      </c>
      <c r="W93" s="215" t="s">
        <v>238</v>
      </c>
      <c r="X93" s="218" t="s">
        <v>281</v>
      </c>
      <c r="Y93" s="215" t="s">
        <v>282</v>
      </c>
      <c r="Z93" s="292" t="s">
        <v>283</v>
      </c>
      <c r="AA93" s="215" t="s">
        <v>238</v>
      </c>
      <c r="AB93" s="315" t="s">
        <v>281</v>
      </c>
      <c r="AC93" s="314" t="s">
        <v>282</v>
      </c>
      <c r="AD93" s="342" t="s">
        <v>283</v>
      </c>
      <c r="AE93" s="315" t="s">
        <v>238</v>
      </c>
      <c r="AF93" s="424" t="s">
        <v>281</v>
      </c>
      <c r="AG93" s="222" t="s">
        <v>282</v>
      </c>
      <c r="AH93" s="257" t="s">
        <v>283</v>
      </c>
      <c r="AI93" s="257" t="s">
        <v>238</v>
      </c>
      <c r="AJ93" s="323" t="s">
        <v>281</v>
      </c>
      <c r="AK93" s="222" t="s">
        <v>282</v>
      </c>
      <c r="AL93" s="257" t="s">
        <v>283</v>
      </c>
      <c r="AM93" s="257" t="s">
        <v>238</v>
      </c>
      <c r="AN93" s="277" t="s">
        <v>281</v>
      </c>
      <c r="AO93" s="219"/>
      <c r="AP93" s="219"/>
    </row>
    <row r="94" spans="2:42" ht="14.9" customHeight="1" x14ac:dyDescent="0.35">
      <c r="B94" s="421" t="s">
        <v>382</v>
      </c>
      <c r="C94" s="366" t="s">
        <v>383</v>
      </c>
      <c r="D94" s="367"/>
      <c r="E94" s="368"/>
      <c r="F94" s="368"/>
      <c r="G94" s="368"/>
      <c r="H94" s="334">
        <f>'Haver Pivoted'!GS41</f>
        <v>72.497</v>
      </c>
      <c r="I94" s="334">
        <f>'Haver Pivoted'!GT41</f>
        <v>75.649000000000001</v>
      </c>
      <c r="J94" s="334">
        <f>'Haver Pivoted'!GU41</f>
        <v>75.483999999999995</v>
      </c>
      <c r="K94" s="334">
        <f>'Haver Pivoted'!GV41</f>
        <v>79.444000000000003</v>
      </c>
      <c r="L94" s="334">
        <f>'Haver Pivoted'!GW41</f>
        <v>75.742999999999995</v>
      </c>
      <c r="M94" s="334">
        <f>'Haver Pivoted'!GX41</f>
        <v>73.183000000000007</v>
      </c>
      <c r="N94" s="334">
        <f>'Haver Pivoted'!GY41</f>
        <v>74.421000000000006</v>
      </c>
      <c r="O94" s="334">
        <f>'Haver Pivoted'!GZ41</f>
        <v>70.334000000000003</v>
      </c>
      <c r="P94" s="334">
        <f>'Haver Pivoted'!HA41</f>
        <v>72.707999999999998</v>
      </c>
      <c r="Q94" s="334">
        <f>'Haver Pivoted'!HB41</f>
        <v>75.024000000000001</v>
      </c>
      <c r="R94" s="334">
        <f>AVERAGE($H$94:$N$94)</f>
        <v>75.203000000000003</v>
      </c>
      <c r="S94" s="334">
        <f t="shared" ref="S94" si="49">AVERAGE($H$94:$N$94)</f>
        <v>75.203000000000003</v>
      </c>
      <c r="T94" s="334">
        <f>AVERAGE($H$94:$N$94)+T95</f>
        <v>76.022000000000006</v>
      </c>
      <c r="U94" s="334">
        <f>AVERAGE($H$94:$N$94)+U95</f>
        <v>76.022000000000006</v>
      </c>
      <c r="V94" s="334">
        <f>AVERAGE($H$94:$N$94)+V95</f>
        <v>76.022000000000006</v>
      </c>
      <c r="W94" s="334">
        <f>AVERAGE($H$94:$N$94)+W95</f>
        <v>76.022000000000006</v>
      </c>
      <c r="X94" s="359">
        <f>AVERAGE($H$94:$N$94)+X95</f>
        <v>77.680999999999997</v>
      </c>
      <c r="Y94" s="359">
        <f t="shared" ref="Y94:AC94" si="50">AVERAGE($H$94:$N$94)+Y95</f>
        <v>77.680999999999997</v>
      </c>
      <c r="Z94" s="359">
        <f>AVERAGE($H$94:$N$94)+Z95</f>
        <v>77.680999999999997</v>
      </c>
      <c r="AA94" s="359">
        <f t="shared" si="50"/>
        <v>77.680999999999997</v>
      </c>
      <c r="AB94" s="359">
        <f t="shared" si="50"/>
        <v>79.275000000000006</v>
      </c>
      <c r="AC94" s="359">
        <f t="shared" si="50"/>
        <v>79.275000000000006</v>
      </c>
      <c r="AD94" s="359">
        <f>AVERAGE($H$94:$N$94)+AD95</f>
        <v>75.203000000000003</v>
      </c>
      <c r="AE94" s="359">
        <f>AVERAGE($H$94:$N$94)+AE95</f>
        <v>75.203000000000003</v>
      </c>
      <c r="AF94" s="359">
        <f t="shared" ref="AF94" si="51">AVERAGE($H$94:$N$94)+AF95</f>
        <v>75.203000000000003</v>
      </c>
      <c r="AG94" s="359">
        <f>AVERAGE($H$94:$N$94)+AG95</f>
        <v>75.203000000000003</v>
      </c>
      <c r="AH94" s="359">
        <f>AVERAGE($H$94:$N$94)+AH95</f>
        <v>75.203000000000003</v>
      </c>
      <c r="AI94" s="359">
        <f>AVERAGE($H$94:$N$94)+AI95</f>
        <v>75.203000000000003</v>
      </c>
      <c r="AJ94" s="359">
        <f>AVERAGE($H$94:$N$94)+AJ95</f>
        <v>75.203000000000003</v>
      </c>
      <c r="AK94" s="359">
        <f t="shared" ref="AK94:AM94" si="52">AVERAGE($H$94:$N$94)+AK95</f>
        <v>75.203000000000003</v>
      </c>
      <c r="AL94" s="359">
        <f t="shared" si="52"/>
        <v>75.203000000000003</v>
      </c>
      <c r="AM94" s="359">
        <f t="shared" si="52"/>
        <v>75.203000000000003</v>
      </c>
      <c r="AN94" s="359">
        <f>AVERAGE($H$94:$N$94)+AN95</f>
        <v>75.203000000000003</v>
      </c>
      <c r="AO94" s="229"/>
      <c r="AP94" s="229"/>
    </row>
    <row r="95" spans="2:42" x14ac:dyDescent="0.35">
      <c r="B95" s="330" t="s">
        <v>1179</v>
      </c>
      <c r="C95" s="35"/>
      <c r="D95" s="330"/>
      <c r="E95" s="35"/>
      <c r="F95" s="35"/>
      <c r="G95" s="35"/>
      <c r="H95" s="35"/>
      <c r="I95" s="35"/>
      <c r="J95" s="35"/>
      <c r="K95" s="35"/>
      <c r="L95" s="35"/>
      <c r="M95" s="35"/>
      <c r="N95" s="35"/>
      <c r="O95" s="35"/>
      <c r="P95" s="35"/>
      <c r="Q95" s="35"/>
      <c r="R95" s="35"/>
      <c r="S95" s="335">
        <f>'IRA and CHIPS'!E185</f>
        <v>0</v>
      </c>
      <c r="T95" s="335">
        <f>'IRA and CHIPS'!F185</f>
        <v>0.81899999999999995</v>
      </c>
      <c r="U95" s="335">
        <f>'IRA and CHIPS'!G185</f>
        <v>0.81899999999999995</v>
      </c>
      <c r="V95" s="335">
        <f>'IRA and CHIPS'!H185</f>
        <v>0.81899999999999995</v>
      </c>
      <c r="W95" s="335">
        <f>'IRA and CHIPS'!I185</f>
        <v>0.81899999999999995</v>
      </c>
      <c r="X95" s="358">
        <f>'IRA and CHIPS'!J185</f>
        <v>2.4780000000000002</v>
      </c>
      <c r="Y95" s="358">
        <f>'IRA and CHIPS'!K185</f>
        <v>2.4780000000000002</v>
      </c>
      <c r="Z95" s="358">
        <f>'IRA and CHIPS'!L185</f>
        <v>2.4780000000000002</v>
      </c>
      <c r="AA95" s="358">
        <f>'IRA and CHIPS'!M185</f>
        <v>2.4780000000000002</v>
      </c>
      <c r="AB95" s="358">
        <f>'IRA and CHIPS'!N185</f>
        <v>4.0720000000000001</v>
      </c>
      <c r="AC95" s="358">
        <f>'IRA and CHIPS'!O185</f>
        <v>4.0720000000000001</v>
      </c>
      <c r="AD95" s="358">
        <f>'IRA and CHIPS'!T185</f>
        <v>0</v>
      </c>
      <c r="AE95" s="358">
        <v>0</v>
      </c>
      <c r="AF95" s="358">
        <v>0</v>
      </c>
      <c r="AG95" s="358">
        <v>0</v>
      </c>
      <c r="AH95" s="358">
        <v>0</v>
      </c>
      <c r="AI95" s="358">
        <v>0</v>
      </c>
      <c r="AJ95" s="358">
        <v>0</v>
      </c>
      <c r="AK95" s="358">
        <v>0</v>
      </c>
      <c r="AL95" s="358">
        <v>0</v>
      </c>
      <c r="AM95" s="358">
        <v>0</v>
      </c>
      <c r="AN95" s="358">
        <v>0</v>
      </c>
    </row>
    <row r="96" spans="2:42" ht="18.75" customHeight="1" x14ac:dyDescent="0.35"/>
    <row r="97" ht="21.75" customHeight="1" x14ac:dyDescent="0.35"/>
  </sheetData>
  <mergeCells count="47">
    <mergeCell ref="D6:AB6"/>
    <mergeCell ref="AC6:AN6"/>
    <mergeCell ref="A64:A65"/>
    <mergeCell ref="B89:AC89"/>
    <mergeCell ref="B70:C72"/>
    <mergeCell ref="I71:L71"/>
    <mergeCell ref="B88:Y88"/>
    <mergeCell ref="E71:H71"/>
    <mergeCell ref="M71:P71"/>
    <mergeCell ref="AC71:AF71"/>
    <mergeCell ref="E7:H7"/>
    <mergeCell ref="M7:P7"/>
    <mergeCell ref="Q7:T7"/>
    <mergeCell ref="AC7:AF7"/>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P27:AQ28"/>
    <mergeCell ref="AP33:AQ33"/>
    <mergeCell ref="AG7:AJ7"/>
    <mergeCell ref="AG71:AJ71"/>
    <mergeCell ref="AP6:AP8"/>
    <mergeCell ref="AO6:AO8"/>
    <mergeCell ref="AK7:AN7"/>
    <mergeCell ref="AK92:AN92"/>
    <mergeCell ref="D70:AA70"/>
    <mergeCell ref="U71:X71"/>
    <mergeCell ref="AB70:AN70"/>
    <mergeCell ref="U92:X92"/>
    <mergeCell ref="D91:AA91"/>
    <mergeCell ref="AB91:AN91"/>
    <mergeCell ref="AG92:AJ92"/>
    <mergeCell ref="AC92:AF92"/>
    <mergeCell ref="AK71:AN7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T61"/>
  <sheetViews>
    <sheetView zoomScale="85" zoomScaleNormal="85" workbookViewId="0">
      <pane xSplit="2" ySplit="4" topLeftCell="Q5" activePane="bottomRight" state="frozen"/>
      <selection pane="topRight" activeCell="C1" sqref="C1"/>
      <selection pane="bottomLeft" activeCell="A5" sqref="A5"/>
      <selection pane="bottomRight" activeCell="AD14" sqref="AD14"/>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72" ht="20.25" customHeight="1" x14ac:dyDescent="0.35">
      <c r="B1" s="1269" t="s">
        <v>384</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12"/>
      <c r="AE1" s="212"/>
      <c r="AF1" s="212"/>
      <c r="AG1" s="212"/>
      <c r="AH1" s="212"/>
    </row>
    <row r="2" spans="2:72" ht="14.25" customHeight="1" x14ac:dyDescent="0.35">
      <c r="B2" s="1304" t="s">
        <v>385</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c r="AD2" s="241"/>
      <c r="AE2" s="241"/>
      <c r="AF2" s="241"/>
      <c r="AG2" s="241"/>
      <c r="AH2" s="241"/>
    </row>
    <row r="3" spans="2:72" ht="9" customHeight="1"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c r="AD3" s="241"/>
      <c r="AE3" s="241"/>
      <c r="AF3" s="241"/>
      <c r="AG3" s="241"/>
      <c r="AH3" s="241"/>
    </row>
    <row r="4" spans="2:72" ht="27" customHeight="1"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c r="AD4" s="241"/>
      <c r="AE4" s="241"/>
      <c r="AF4" s="241"/>
      <c r="AG4" s="241"/>
      <c r="AH4" s="241"/>
      <c r="AJ4" s="482"/>
      <c r="AK4" s="482"/>
      <c r="AL4" s="482"/>
      <c r="AM4" s="482"/>
      <c r="AN4" s="482"/>
      <c r="AO4" s="482"/>
      <c r="AP4" s="482"/>
      <c r="AQ4" s="482"/>
      <c r="AR4" s="482"/>
    </row>
    <row r="5" spans="2:72" x14ac:dyDescent="0.35">
      <c r="B5" s="271"/>
      <c r="AC5" s="224"/>
      <c r="AD5" s="224"/>
      <c r="AE5" s="224"/>
      <c r="AF5" s="224"/>
      <c r="AG5" s="224"/>
      <c r="AH5" s="224"/>
      <c r="AI5" s="224"/>
      <c r="AJ5" s="224"/>
      <c r="AK5" s="224"/>
    </row>
    <row r="6" spans="2:72" ht="14.9" customHeight="1" x14ac:dyDescent="0.35">
      <c r="B6" s="1316" t="s">
        <v>278</v>
      </c>
      <c r="C6" s="1317"/>
      <c r="D6" s="1315" t="s">
        <v>279</v>
      </c>
      <c r="E6" s="1315"/>
      <c r="F6" s="1315"/>
      <c r="G6" s="1315"/>
      <c r="H6" s="1315"/>
      <c r="I6" s="1315"/>
      <c r="J6" s="1315"/>
      <c r="K6" s="1315"/>
      <c r="L6" s="1315"/>
      <c r="M6" s="1315"/>
      <c r="N6" s="1315"/>
      <c r="O6" s="1315"/>
      <c r="P6" s="1315"/>
      <c r="Q6" s="1315"/>
      <c r="R6" s="1315"/>
      <c r="S6" s="1315"/>
      <c r="T6" s="1315"/>
      <c r="U6" s="1315"/>
      <c r="V6" s="1315"/>
      <c r="W6" s="1315"/>
      <c r="X6" s="1315"/>
      <c r="Y6" s="1315"/>
      <c r="Z6" s="1315"/>
      <c r="AA6" s="1315"/>
      <c r="AB6" s="1315"/>
      <c r="AC6" s="1282" t="s">
        <v>280</v>
      </c>
      <c r="AD6" s="1282"/>
      <c r="AE6" s="1282"/>
      <c r="AF6" s="1282"/>
      <c r="AG6" s="1282"/>
      <c r="AH6" s="1282"/>
      <c r="AI6" s="1282"/>
      <c r="AJ6" s="1282"/>
      <c r="AK6" s="1282"/>
      <c r="AL6" s="1282"/>
      <c r="AM6" s="1282"/>
      <c r="AN6" s="1283"/>
    </row>
    <row r="7" spans="2:72" ht="14.9" customHeight="1" x14ac:dyDescent="0.35">
      <c r="B7" s="1318"/>
      <c r="C7" s="1319"/>
      <c r="D7" s="430">
        <v>2018</v>
      </c>
      <c r="E7" s="1320">
        <v>2019</v>
      </c>
      <c r="F7" s="1321"/>
      <c r="G7" s="1321"/>
      <c r="H7" s="1322"/>
      <c r="I7" s="1320">
        <v>2020</v>
      </c>
      <c r="J7" s="1321"/>
      <c r="K7" s="1321"/>
      <c r="L7" s="1321"/>
      <c r="M7" s="1320">
        <v>2021</v>
      </c>
      <c r="N7" s="1321"/>
      <c r="O7" s="1321"/>
      <c r="P7" s="1321"/>
      <c r="Q7" s="1320">
        <v>2022</v>
      </c>
      <c r="R7" s="1321"/>
      <c r="S7" s="1321"/>
      <c r="T7" s="1322"/>
      <c r="U7" s="280"/>
      <c r="V7" s="217">
        <v>2023</v>
      </c>
      <c r="W7" s="217"/>
      <c r="X7" s="216"/>
      <c r="Y7" s="74"/>
      <c r="Z7" s="217">
        <v>2024</v>
      </c>
      <c r="AA7" s="217"/>
      <c r="AB7" s="216"/>
      <c r="AC7" s="1280">
        <v>2025</v>
      </c>
      <c r="AD7" s="1281"/>
      <c r="AE7" s="1281"/>
      <c r="AF7" s="1285"/>
      <c r="AG7" s="1280">
        <v>2026</v>
      </c>
      <c r="AH7" s="1281"/>
      <c r="AI7" s="1281"/>
      <c r="AJ7" s="1285"/>
      <c r="AK7" s="1280">
        <v>2027</v>
      </c>
      <c r="AL7" s="1281"/>
      <c r="AM7" s="1281"/>
      <c r="AN7" s="1285"/>
    </row>
    <row r="8" spans="2:72" x14ac:dyDescent="0.35">
      <c r="B8" s="1318"/>
      <c r="C8" s="1319"/>
      <c r="D8" s="430" t="s">
        <v>281</v>
      </c>
      <c r="E8" s="430" t="s">
        <v>282</v>
      </c>
      <c r="F8" s="431" t="s">
        <v>283</v>
      </c>
      <c r="G8" s="431" t="s">
        <v>238</v>
      </c>
      <c r="H8" s="469" t="s">
        <v>281</v>
      </c>
      <c r="I8" s="431" t="s">
        <v>282</v>
      </c>
      <c r="J8" s="431" t="s">
        <v>283</v>
      </c>
      <c r="K8" s="431" t="s">
        <v>238</v>
      </c>
      <c r="L8" s="431" t="s">
        <v>281</v>
      </c>
      <c r="M8" s="444" t="s">
        <v>282</v>
      </c>
      <c r="N8" s="445" t="s">
        <v>283</v>
      </c>
      <c r="O8" s="445" t="s">
        <v>238</v>
      </c>
      <c r="P8" s="445" t="s">
        <v>281</v>
      </c>
      <c r="Q8" s="444" t="s">
        <v>282</v>
      </c>
      <c r="R8" s="445" t="s">
        <v>283</v>
      </c>
      <c r="S8" s="445" t="s">
        <v>238</v>
      </c>
      <c r="T8" s="446" t="s">
        <v>281</v>
      </c>
      <c r="U8" s="273" t="s">
        <v>282</v>
      </c>
      <c r="V8" s="274" t="s">
        <v>283</v>
      </c>
      <c r="W8" s="274" t="s">
        <v>238</v>
      </c>
      <c r="X8" s="272" t="s">
        <v>281</v>
      </c>
      <c r="Y8" s="274" t="s">
        <v>282</v>
      </c>
      <c r="Z8" s="279" t="s">
        <v>283</v>
      </c>
      <c r="AA8" s="274" t="s">
        <v>238</v>
      </c>
      <c r="AB8" s="274" t="s">
        <v>281</v>
      </c>
      <c r="AC8" s="259" t="s">
        <v>282</v>
      </c>
      <c r="AD8" s="257" t="s">
        <v>283</v>
      </c>
      <c r="AE8" s="260" t="s">
        <v>238</v>
      </c>
      <c r="AF8" s="287" t="s">
        <v>281</v>
      </c>
      <c r="AG8" s="222" t="s">
        <v>282</v>
      </c>
      <c r="AH8" s="257" t="s">
        <v>283</v>
      </c>
      <c r="AI8" s="257" t="s">
        <v>238</v>
      </c>
      <c r="AJ8" s="277" t="s">
        <v>281</v>
      </c>
      <c r="AK8" s="222" t="s">
        <v>282</v>
      </c>
      <c r="AL8" s="257" t="s">
        <v>283</v>
      </c>
      <c r="AM8" s="257" t="s">
        <v>238</v>
      </c>
      <c r="AN8" s="277" t="s">
        <v>281</v>
      </c>
    </row>
    <row r="9" spans="2:72" ht="18" customHeight="1" x14ac:dyDescent="0.35">
      <c r="B9" s="464" t="s">
        <v>1967</v>
      </c>
      <c r="C9" s="465"/>
      <c r="D9" s="466"/>
      <c r="E9" s="466"/>
      <c r="F9" s="466"/>
      <c r="G9" s="466"/>
      <c r="H9" s="466"/>
      <c r="I9" s="466"/>
      <c r="J9" s="466"/>
      <c r="K9" s="466"/>
      <c r="L9" s="466"/>
      <c r="M9" s="442">
        <v>1609.9</v>
      </c>
      <c r="N9" s="442">
        <v>1588.5</v>
      </c>
      <c r="O9" s="442">
        <v>1576.4</v>
      </c>
      <c r="P9" s="442">
        <v>1602.5</v>
      </c>
      <c r="Q9" s="442">
        <v>1606.5</v>
      </c>
      <c r="R9" s="442">
        <v>1622.1</v>
      </c>
      <c r="S9" s="442">
        <v>1641.4</v>
      </c>
      <c r="T9" s="442">
        <v>1694.2</v>
      </c>
      <c r="U9" s="442">
        <v>1731.6</v>
      </c>
      <c r="V9" s="442">
        <v>1741.8</v>
      </c>
      <c r="W9" s="442">
        <v>1780.9</v>
      </c>
      <c r="X9" s="442">
        <v>1796.2</v>
      </c>
      <c r="Y9" s="442">
        <v>1810.3</v>
      </c>
      <c r="Z9" s="443">
        <v>1842.2</v>
      </c>
      <c r="AA9" s="443">
        <v>1893.4</v>
      </c>
      <c r="AB9" s="443">
        <v>1899.3</v>
      </c>
      <c r="AC9" s="443">
        <v>1905.1</v>
      </c>
      <c r="AD9" s="443">
        <v>1910.7</v>
      </c>
      <c r="AE9" s="443">
        <v>1916.3</v>
      </c>
      <c r="AF9" s="443">
        <v>1922.1</v>
      </c>
      <c r="AG9" s="443">
        <v>1932.1</v>
      </c>
      <c r="AH9" s="443">
        <v>1942.5</v>
      </c>
      <c r="AI9" s="443">
        <v>1953.7</v>
      </c>
      <c r="AJ9" s="443">
        <v>1963.7</v>
      </c>
      <c r="AK9" s="443">
        <v>1973.3</v>
      </c>
      <c r="AL9" s="443">
        <v>1984.4</v>
      </c>
      <c r="AM9" s="443">
        <v>1996</v>
      </c>
      <c r="AN9" s="443">
        <v>2006.3</v>
      </c>
      <c r="AO9" s="443">
        <v>2016.1</v>
      </c>
      <c r="AP9" s="443">
        <v>2026.1</v>
      </c>
      <c r="AQ9" s="443">
        <v>2036.2</v>
      </c>
      <c r="AR9" s="443">
        <v>2047.6</v>
      </c>
      <c r="AS9" s="443">
        <v>2057.4</v>
      </c>
      <c r="AT9" s="443">
        <v>2068.8000000000002</v>
      </c>
      <c r="AU9" s="443">
        <v>2080.3000000000002</v>
      </c>
      <c r="AV9" s="443">
        <v>2091.8000000000002</v>
      </c>
      <c r="AW9" s="443">
        <v>2103.1999999999998</v>
      </c>
      <c r="AX9" s="443">
        <v>2114.6999999999998</v>
      </c>
      <c r="AY9" s="443">
        <v>2124.6999999999998</v>
      </c>
      <c r="AZ9" s="443">
        <v>2134.8000000000002</v>
      </c>
      <c r="BA9" s="443">
        <v>2144.9</v>
      </c>
      <c r="BB9" s="443">
        <v>2156.6</v>
      </c>
      <c r="BC9" s="443">
        <v>2169.1</v>
      </c>
      <c r="BD9" s="443">
        <v>2181.9</v>
      </c>
      <c r="BE9" s="443">
        <v>2194.8000000000002</v>
      </c>
      <c r="BF9" s="443">
        <v>2207.5</v>
      </c>
      <c r="BG9" s="443">
        <v>2221.3000000000002</v>
      </c>
      <c r="BH9" s="443">
        <v>2235.5</v>
      </c>
      <c r="BI9" s="443">
        <v>2249.3000000000002</v>
      </c>
      <c r="BJ9" s="443">
        <v>2263.1999999999998</v>
      </c>
      <c r="BK9" s="443">
        <v>2277.4</v>
      </c>
      <c r="BL9" s="443">
        <v>2290.6999999999998</v>
      </c>
      <c r="BM9" s="443">
        <v>2304.1999999999998</v>
      </c>
      <c r="BN9" s="443">
        <v>2317.3000000000002</v>
      </c>
      <c r="BO9" s="443">
        <v>2330.5</v>
      </c>
      <c r="BP9" s="443">
        <v>2343.6</v>
      </c>
      <c r="BQ9" s="443">
        <v>2356.9</v>
      </c>
      <c r="BR9">
        <v>2370.1999999999998</v>
      </c>
      <c r="BS9">
        <v>2383.6999999999998</v>
      </c>
      <c r="BT9">
        <v>2397.6</v>
      </c>
    </row>
    <row r="10" spans="2:72" ht="17" customHeight="1" x14ac:dyDescent="0.35">
      <c r="B10" s="468" t="s">
        <v>1968</v>
      </c>
      <c r="C10" s="461"/>
      <c r="D10" s="461"/>
      <c r="E10" s="461"/>
      <c r="F10" s="461"/>
      <c r="G10" s="461"/>
      <c r="H10" s="462"/>
      <c r="I10" s="462"/>
      <c r="J10" s="462"/>
      <c r="K10" s="462"/>
      <c r="L10" s="462"/>
      <c r="M10" s="224">
        <v>22.143000000000001</v>
      </c>
      <c r="N10" s="224">
        <v>-5.2320000000000002</v>
      </c>
      <c r="O10" s="224">
        <v>-2.996</v>
      </c>
      <c r="P10" s="224">
        <v>6.7709999999999999</v>
      </c>
      <c r="Q10" s="224">
        <v>-2.56</v>
      </c>
      <c r="R10" s="224">
        <v>3.9369999999999998</v>
      </c>
      <c r="S10" s="224">
        <v>4.8460000000000001</v>
      </c>
      <c r="T10" s="224">
        <v>13.507</v>
      </c>
      <c r="U10" s="224">
        <v>9.1310000000000002</v>
      </c>
      <c r="V10" s="224">
        <v>2.3679999999999999</v>
      </c>
      <c r="W10" s="224">
        <v>9.2949999999999999</v>
      </c>
      <c r="X10" s="224">
        <v>3.4710000000000001</v>
      </c>
      <c r="Y10" s="224">
        <v>3.1720000000000002</v>
      </c>
      <c r="Z10" s="441">
        <v>7.2409999999999997</v>
      </c>
      <c r="AA10" s="441">
        <v>11.583</v>
      </c>
      <c r="AB10" s="441">
        <v>1.272</v>
      </c>
      <c r="AC10" s="441">
        <v>1.2130000000000001</v>
      </c>
      <c r="AD10" s="441">
        <v>1.194</v>
      </c>
      <c r="AE10" s="441">
        <v>1.1639999999999999</v>
      </c>
      <c r="AF10" s="441">
        <v>1.2110000000000001</v>
      </c>
      <c r="AG10" s="441">
        <v>2.1070000000000002</v>
      </c>
      <c r="AH10" s="441">
        <v>2.1749999999999998</v>
      </c>
      <c r="AI10" s="441">
        <v>2.3199999999999998</v>
      </c>
      <c r="AJ10" s="441">
        <v>2.0579999999999998</v>
      </c>
      <c r="AK10" s="441">
        <v>1.9690000000000001</v>
      </c>
      <c r="AL10" s="441">
        <v>2.2799999999999998</v>
      </c>
      <c r="AM10" s="441">
        <v>2.34</v>
      </c>
      <c r="AN10" s="441">
        <v>2.0960000000000001</v>
      </c>
      <c r="AO10" s="441">
        <v>1.9670000000000001</v>
      </c>
      <c r="AP10" s="441">
        <v>1.992</v>
      </c>
      <c r="AQ10" s="441">
        <v>2.016</v>
      </c>
      <c r="AR10" s="441">
        <v>2.258</v>
      </c>
      <c r="AS10" s="441">
        <v>1.9179999999999999</v>
      </c>
      <c r="AT10" s="441">
        <v>2.2320000000000002</v>
      </c>
      <c r="AU10" s="441">
        <v>2.238</v>
      </c>
      <c r="AV10" s="441">
        <v>2.2429999999999999</v>
      </c>
      <c r="AW10" s="441">
        <v>2.1970000000000001</v>
      </c>
      <c r="AX10" s="441">
        <v>2.1989999999999998</v>
      </c>
      <c r="AY10" s="441">
        <v>1.9039999999999999</v>
      </c>
      <c r="AZ10" s="441">
        <v>1.9059999999999999</v>
      </c>
      <c r="BA10" s="441">
        <v>1.9059999999999999</v>
      </c>
      <c r="BB10" s="441">
        <v>2.1970000000000001</v>
      </c>
      <c r="BC10" s="441">
        <v>2.3420000000000001</v>
      </c>
      <c r="BD10" s="441">
        <v>2.391</v>
      </c>
      <c r="BE10" s="441">
        <v>2.3769999999999998</v>
      </c>
      <c r="BF10" s="441">
        <v>2.3330000000000002</v>
      </c>
      <c r="BG10" s="441">
        <v>2.536</v>
      </c>
      <c r="BH10" s="441">
        <v>2.5720000000000001</v>
      </c>
      <c r="BI10" s="441">
        <v>2.4940000000000002</v>
      </c>
      <c r="BJ10" s="441">
        <v>2.4929999999999999</v>
      </c>
      <c r="BK10" s="441">
        <v>2.5270000000000001</v>
      </c>
      <c r="BL10" s="441">
        <v>2.3690000000000002</v>
      </c>
      <c r="BM10" s="441">
        <v>2.367</v>
      </c>
      <c r="BN10" s="441">
        <v>2.2959999999999998</v>
      </c>
      <c r="BO10" s="441">
        <v>2.3010000000000002</v>
      </c>
      <c r="BP10" s="441">
        <v>2.2730000000000001</v>
      </c>
      <c r="BQ10" s="441">
        <v>2.2770000000000001</v>
      </c>
      <c r="BR10">
        <v>2.282</v>
      </c>
      <c r="BS10">
        <v>2.2869999999999999</v>
      </c>
      <c r="BT10">
        <v>2.3580000000000001</v>
      </c>
    </row>
    <row r="11" spans="2:72" ht="17.25" customHeight="1" x14ac:dyDescent="0.35">
      <c r="B11" s="473" t="s">
        <v>195</v>
      </c>
      <c r="C11" s="461" t="s">
        <v>903</v>
      </c>
      <c r="D11" s="461"/>
      <c r="E11" s="461"/>
      <c r="F11" s="461"/>
      <c r="G11" s="461"/>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3">
        <f>'Haver Pivoted'!HD23</f>
        <v>1641.4</v>
      </c>
      <c r="T11" s="463">
        <f>'Haver Pivoted'!HE23</f>
        <v>1694.2</v>
      </c>
      <c r="U11" s="463">
        <f>'Haver Pivoted'!HF23</f>
        <v>1731.6</v>
      </c>
      <c r="V11" s="463">
        <f>'Haver Pivoted'!HG23</f>
        <v>1741.8</v>
      </c>
      <c r="W11" s="463">
        <f>'Haver Pivoted'!HH23</f>
        <v>1780.9</v>
      </c>
      <c r="X11" s="463">
        <f>'Haver Pivoted'!HI23</f>
        <v>1796.2</v>
      </c>
      <c r="Y11" s="463">
        <f>'Haver Pivoted'!HJ23</f>
        <v>1810.3</v>
      </c>
      <c r="Z11" s="463">
        <f>'Haver Pivoted'!HK23</f>
        <v>1842.2</v>
      </c>
      <c r="AA11" s="463">
        <f>'Haver Pivoted'!HL23</f>
        <v>1893.4</v>
      </c>
      <c r="AB11" s="463">
        <f>'Haver Pivoted'!HM23</f>
        <v>1922</v>
      </c>
      <c r="AC11" s="455">
        <f t="shared" ref="AC11:AN11" si="0">(1+(AC10/100))^(1/4)*AB11+AC12</f>
        <v>1915.802138815616</v>
      </c>
      <c r="AD11" s="455">
        <f t="shared" si="0"/>
        <v>1915.4953797480491</v>
      </c>
      <c r="AE11" s="455">
        <f t="shared" si="0"/>
        <v>1921.0453042897229</v>
      </c>
      <c r="AF11" s="455">
        <f t="shared" si="0"/>
        <v>1926.8350422365586</v>
      </c>
      <c r="AG11" s="455">
        <f t="shared" si="0"/>
        <v>1936.905422868183</v>
      </c>
      <c r="AH11" s="455">
        <f t="shared" si="0"/>
        <v>1947.3525189394525</v>
      </c>
      <c r="AI11" s="455">
        <f t="shared" si="0"/>
        <v>1958.5502091242565</v>
      </c>
      <c r="AJ11" s="455">
        <f t="shared" si="0"/>
        <v>1968.5501032900847</v>
      </c>
      <c r="AK11" s="455">
        <f t="shared" si="0"/>
        <v>1978.1695520962751</v>
      </c>
      <c r="AL11" s="455">
        <f t="shared" si="0"/>
        <v>1989.3499748902343</v>
      </c>
      <c r="AM11" s="455">
        <f t="shared" si="0"/>
        <v>2000.8869233591665</v>
      </c>
      <c r="AN11" s="455">
        <f t="shared" si="0"/>
        <v>2011.2901548049158</v>
      </c>
    </row>
    <row r="12" spans="2:72" ht="17.25" customHeight="1" x14ac:dyDescent="0.35">
      <c r="B12" s="473" t="s">
        <v>1956</v>
      </c>
      <c r="C12" s="461"/>
      <c r="D12" s="461"/>
      <c r="E12" s="461"/>
      <c r="F12" s="461"/>
      <c r="G12" s="461"/>
      <c r="H12" s="453"/>
      <c r="I12" s="453"/>
      <c r="J12" s="453"/>
      <c r="K12" s="453"/>
      <c r="L12" s="453"/>
      <c r="M12" s="453"/>
      <c r="N12" s="453"/>
      <c r="O12" s="453"/>
      <c r="P12" s="453"/>
      <c r="Q12" s="453"/>
      <c r="R12" s="453"/>
      <c r="S12" s="463"/>
      <c r="T12" s="463"/>
      <c r="U12" s="463"/>
      <c r="V12" s="463"/>
      <c r="W12" s="463"/>
      <c r="X12" s="463"/>
      <c r="Y12" s="463"/>
      <c r="Z12" s="463"/>
      <c r="AA12" s="463"/>
      <c r="AB12" s="463"/>
      <c r="AC12" s="455">
        <f>-12</f>
        <v>-12</v>
      </c>
      <c r="AD12" s="455">
        <f>-6</f>
        <v>-6</v>
      </c>
      <c r="AE12" s="455"/>
      <c r="AF12" s="455"/>
      <c r="AG12" s="455"/>
      <c r="AH12" s="455"/>
      <c r="AI12" s="455"/>
      <c r="AJ12" s="455"/>
      <c r="AK12" s="455"/>
      <c r="AL12" s="455"/>
      <c r="AM12" s="455"/>
      <c r="AN12" s="455"/>
    </row>
    <row r="13" spans="2:72" x14ac:dyDescent="0.35">
      <c r="B13" s="470" t="s">
        <v>386</v>
      </c>
      <c r="C13" s="471"/>
      <c r="D13" s="471"/>
      <c r="E13" s="471"/>
      <c r="F13" s="471"/>
      <c r="G13" s="471"/>
      <c r="H13" s="451">
        <f t="shared" ref="H13:AC13" si="1">H11+H51</f>
        <v>1721.212</v>
      </c>
      <c r="I13" s="451">
        <f t="shared" si="1"/>
        <v>1747.059</v>
      </c>
      <c r="J13" s="451">
        <f t="shared" si="1"/>
        <v>1964.3780000000002</v>
      </c>
      <c r="K13" s="451">
        <f t="shared" si="1"/>
        <v>1901.364</v>
      </c>
      <c r="L13" s="451">
        <f t="shared" si="1"/>
        <v>1907.3589999999999</v>
      </c>
      <c r="M13" s="451">
        <f t="shared" si="1"/>
        <v>2004.8540000000003</v>
      </c>
      <c r="N13" s="451">
        <f t="shared" si="1"/>
        <v>2026.6750000000002</v>
      </c>
      <c r="O13" s="451">
        <f t="shared" si="1"/>
        <v>2028.4519999999998</v>
      </c>
      <c r="P13" s="451">
        <f t="shared" si="1"/>
        <v>2089.0478520000001</v>
      </c>
      <c r="Q13" s="451">
        <f t="shared" si="1"/>
        <v>2112.3222747999998</v>
      </c>
      <c r="R13" s="451">
        <f t="shared" si="1"/>
        <v>2197.6360319999999</v>
      </c>
      <c r="S13" s="451">
        <f t="shared" si="1"/>
        <v>2199.7388679999999</v>
      </c>
      <c r="T13" s="451">
        <f t="shared" si="1"/>
        <v>2220.3329279999998</v>
      </c>
      <c r="U13" s="452">
        <f t="shared" si="1"/>
        <v>2248.6365432000002</v>
      </c>
      <c r="V13" s="452">
        <f t="shared" si="1"/>
        <v>2251.6037200000001</v>
      </c>
      <c r="W13" s="452">
        <f t="shared" si="1"/>
        <v>2274.603944</v>
      </c>
      <c r="X13" s="452">
        <f t="shared" si="1"/>
        <v>2306.1809440000002</v>
      </c>
      <c r="Y13" s="472">
        <f t="shared" si="1"/>
        <v>2322.6879440000002</v>
      </c>
      <c r="Z13" s="472">
        <f t="shared" si="1"/>
        <v>2360.4781090000001</v>
      </c>
      <c r="AA13" s="472">
        <f t="shared" si="1"/>
        <v>2433.0083300000001</v>
      </c>
      <c r="AB13" s="472">
        <f t="shared" si="1"/>
        <v>2464.8163257000001</v>
      </c>
      <c r="AC13" s="454">
        <f t="shared" si="1"/>
        <v>2442.1652983848221</v>
      </c>
      <c r="AD13" s="454"/>
      <c r="AE13" s="454"/>
      <c r="AF13" s="454"/>
      <c r="AG13" s="454"/>
      <c r="AH13" s="454"/>
      <c r="AI13" s="454"/>
      <c r="AJ13" s="454"/>
      <c r="AK13" s="454"/>
      <c r="AL13" s="454"/>
      <c r="AM13" s="454"/>
      <c r="AN13" s="454"/>
      <c r="AO13" s="235" t="s">
        <v>387</v>
      </c>
    </row>
    <row r="14" spans="2:72" ht="15.75" customHeight="1" x14ac:dyDescent="0.35">
      <c r="B14" s="243"/>
      <c r="C14" s="243"/>
      <c r="D14" s="243"/>
      <c r="E14" s="243"/>
      <c r="F14" s="243"/>
      <c r="G14" s="243"/>
      <c r="H14" s="232"/>
      <c r="I14" s="232"/>
      <c r="J14" s="232"/>
      <c r="K14" s="232"/>
      <c r="L14" s="232"/>
      <c r="M14" s="232"/>
      <c r="N14" s="232"/>
      <c r="O14" s="232"/>
      <c r="Y14" s="71"/>
      <c r="Z14" s="71"/>
      <c r="AA14" s="71"/>
      <c r="AB14" s="71"/>
      <c r="AC14" s="479"/>
      <c r="AD14" s="71"/>
      <c r="AE14" s="71"/>
      <c r="AF14" s="71"/>
      <c r="AG14" s="71"/>
      <c r="AH14" s="71"/>
      <c r="AI14" s="235"/>
    </row>
    <row r="15" spans="2:72" x14ac:dyDescent="0.35">
      <c r="B15" s="243"/>
      <c r="C15" s="243"/>
      <c r="D15" s="243"/>
      <c r="E15" s="243"/>
      <c r="F15" s="243"/>
      <c r="G15" s="243"/>
      <c r="H15" s="232"/>
      <c r="I15" s="232"/>
      <c r="J15" s="232"/>
      <c r="K15" s="232"/>
      <c r="L15" s="232"/>
      <c r="M15" s="232"/>
      <c r="N15" s="232"/>
      <c r="O15" s="232"/>
      <c r="P15" s="479"/>
      <c r="Q15" s="479"/>
      <c r="R15" s="479"/>
      <c r="S15" s="479"/>
      <c r="T15" s="479"/>
      <c r="U15" s="479"/>
      <c r="V15" s="479"/>
      <c r="W15" s="479"/>
      <c r="X15" s="479"/>
      <c r="Y15" s="479"/>
      <c r="Z15" s="479"/>
      <c r="AA15" s="479"/>
      <c r="AB15" s="479"/>
      <c r="AD15" s="479"/>
      <c r="AE15" s="479"/>
      <c r="AF15" s="479"/>
      <c r="AG15" s="479"/>
      <c r="AH15" s="479"/>
    </row>
    <row r="16" spans="2:72" ht="21.75" customHeight="1" x14ac:dyDescent="0.35">
      <c r="B16" s="1269" t="s">
        <v>165</v>
      </c>
      <c r="C16" s="1269"/>
      <c r="D16" s="1269"/>
      <c r="E16" s="1269"/>
      <c r="F16" s="1269"/>
      <c r="G16" s="1269"/>
      <c r="H16" s="1269"/>
      <c r="I16" s="1269"/>
      <c r="J16" s="1269"/>
      <c r="K16" s="1269"/>
      <c r="L16" s="1269"/>
      <c r="M16" s="1269"/>
      <c r="N16" s="1269"/>
      <c r="O16" s="1269"/>
      <c r="P16" s="1269"/>
      <c r="Q16" s="1269"/>
      <c r="R16" s="1269"/>
      <c r="S16" s="1269"/>
      <c r="T16" s="1269"/>
      <c r="U16" s="1269"/>
      <c r="V16" s="1269"/>
      <c r="W16" s="1269"/>
      <c r="X16" s="1269"/>
      <c r="Y16" s="1269"/>
      <c r="Z16" s="1269"/>
      <c r="AA16" s="1269"/>
      <c r="AB16" s="1269"/>
      <c r="AC16" s="1269"/>
      <c r="AD16" s="212"/>
      <c r="AE16" s="212"/>
      <c r="AF16" s="212"/>
      <c r="AG16" s="212"/>
      <c r="AH16" s="212"/>
      <c r="AJ16" s="487"/>
    </row>
    <row r="17" spans="2:72" ht="14.25" customHeight="1" x14ac:dyDescent="0.35">
      <c r="B17" s="1270" t="s">
        <v>388</v>
      </c>
      <c r="C17" s="1270"/>
      <c r="D17" s="1270"/>
      <c r="E17" s="1270"/>
      <c r="F17" s="1270"/>
      <c r="G17" s="1270"/>
      <c r="H17" s="1270"/>
      <c r="I17" s="1270"/>
      <c r="J17" s="1270"/>
      <c r="K17" s="1270"/>
      <c r="L17" s="1270"/>
      <c r="M17" s="1270"/>
      <c r="N17" s="1270"/>
      <c r="O17" s="1270"/>
      <c r="P17" s="1270"/>
      <c r="Q17" s="1270"/>
      <c r="R17" s="1270"/>
      <c r="S17" s="1270"/>
      <c r="T17" s="1270"/>
      <c r="U17" s="1270"/>
      <c r="V17" s="1270"/>
      <c r="W17" s="1270"/>
      <c r="X17" s="1270"/>
      <c r="Y17" s="1270"/>
      <c r="Z17" s="1270"/>
      <c r="AA17" s="1270"/>
      <c r="AB17" s="1270"/>
      <c r="AC17" s="1270"/>
      <c r="AD17" s="213"/>
      <c r="AE17" s="213"/>
      <c r="AF17" s="213"/>
      <c r="AG17" s="213"/>
      <c r="AH17" s="213"/>
      <c r="AJ17" s="487"/>
    </row>
    <row r="18" spans="2:72" x14ac:dyDescent="0.35">
      <c r="B18" s="1270"/>
      <c r="C18" s="1270"/>
      <c r="D18" s="1270"/>
      <c r="E18" s="1270"/>
      <c r="F18" s="1270"/>
      <c r="G18" s="1270"/>
      <c r="H18" s="1270"/>
      <c r="I18" s="1270"/>
      <c r="J18" s="1270"/>
      <c r="K18" s="1270"/>
      <c r="L18" s="1270"/>
      <c r="M18" s="1270"/>
      <c r="N18" s="1270"/>
      <c r="O18" s="1270"/>
      <c r="P18" s="1270"/>
      <c r="Q18" s="1270"/>
      <c r="R18" s="1270"/>
      <c r="S18" s="1270"/>
      <c r="T18" s="1270"/>
      <c r="U18" s="1270"/>
      <c r="V18" s="1270"/>
      <c r="W18" s="1270"/>
      <c r="X18" s="1270"/>
      <c r="Y18" s="1270"/>
      <c r="Z18" s="1270"/>
      <c r="AA18" s="1270"/>
      <c r="AB18" s="1270"/>
      <c r="AC18" s="1270"/>
      <c r="AD18" s="213"/>
      <c r="AE18" s="213"/>
      <c r="AF18" s="213"/>
      <c r="AG18" s="213"/>
      <c r="AH18" s="213"/>
    </row>
    <row r="19" spans="2:72" x14ac:dyDescent="0.35">
      <c r="B19" s="1270"/>
      <c r="C19" s="1270"/>
      <c r="D19" s="1270"/>
      <c r="E19" s="1270"/>
      <c r="F19" s="1270"/>
      <c r="G19" s="1270"/>
      <c r="H19" s="1270"/>
      <c r="I19" s="1270"/>
      <c r="J19" s="1270"/>
      <c r="K19" s="1270"/>
      <c r="L19" s="1270"/>
      <c r="M19" s="1270"/>
      <c r="N19" s="1270"/>
      <c r="O19" s="1270"/>
      <c r="P19" s="1270"/>
      <c r="Q19" s="1270"/>
      <c r="R19" s="1270"/>
      <c r="S19" s="1270"/>
      <c r="T19" s="1270"/>
      <c r="U19" s="1270"/>
      <c r="V19" s="1270"/>
      <c r="W19" s="1270"/>
      <c r="X19" s="1270"/>
      <c r="Y19" s="1270"/>
      <c r="Z19" s="1270"/>
      <c r="AA19" s="1270"/>
      <c r="AB19" s="1270"/>
      <c r="AC19" s="1270"/>
      <c r="AD19" s="213"/>
      <c r="AE19" s="213"/>
      <c r="AF19" s="213"/>
      <c r="AG19" s="213"/>
      <c r="AH19" s="213"/>
    </row>
    <row r="21" spans="2:72" x14ac:dyDescent="0.35">
      <c r="B21" s="1274" t="s">
        <v>278</v>
      </c>
      <c r="C21" s="1323"/>
      <c r="D21" s="1284" t="s">
        <v>279</v>
      </c>
      <c r="E21" s="1284"/>
      <c r="F21" s="1284"/>
      <c r="G21" s="1284"/>
      <c r="H21" s="1284"/>
      <c r="I21" s="1284"/>
      <c r="J21" s="1284"/>
      <c r="K21" s="1284"/>
      <c r="L21" s="1284"/>
      <c r="M21" s="1284"/>
      <c r="N21" s="1284"/>
      <c r="O21" s="1284"/>
      <c r="P21" s="1284"/>
      <c r="Q21" s="1284"/>
      <c r="R21" s="1284"/>
      <c r="S21" s="1284"/>
      <c r="T21" s="1284"/>
      <c r="U21" s="1284"/>
      <c r="V21" s="1284"/>
      <c r="W21" s="1284"/>
      <c r="X21" s="1284"/>
      <c r="Y21" s="1284"/>
      <c r="Z21" s="1284"/>
      <c r="AA21" s="1284"/>
      <c r="AB21" s="1284"/>
      <c r="AC21" s="1282" t="s">
        <v>280</v>
      </c>
      <c r="AD21" s="1282"/>
      <c r="AE21" s="1282"/>
      <c r="AF21" s="1282"/>
      <c r="AG21" s="1282"/>
      <c r="AH21" s="1282"/>
      <c r="AI21" s="1282"/>
      <c r="AJ21" s="1282"/>
      <c r="AK21" s="1282"/>
      <c r="AL21" s="1282"/>
      <c r="AM21" s="1282"/>
      <c r="AN21" s="1283"/>
    </row>
    <row r="22" spans="2:72" x14ac:dyDescent="0.35">
      <c r="B22" s="1276"/>
      <c r="C22" s="1277"/>
      <c r="D22" s="214">
        <v>2018</v>
      </c>
      <c r="E22" s="1271">
        <v>2019</v>
      </c>
      <c r="F22" s="1272"/>
      <c r="G22" s="1272"/>
      <c r="H22" s="1273"/>
      <c r="I22" s="1271">
        <v>2020</v>
      </c>
      <c r="J22" s="1272"/>
      <c r="K22" s="1272"/>
      <c r="L22" s="1272"/>
      <c r="M22" s="1271">
        <v>2021</v>
      </c>
      <c r="N22" s="1272"/>
      <c r="O22" s="1272"/>
      <c r="P22" s="1272"/>
      <c r="Q22" s="1271">
        <v>2022</v>
      </c>
      <c r="R22" s="1272"/>
      <c r="S22" s="1272"/>
      <c r="T22" s="1273"/>
      <c r="U22" s="1271">
        <v>2023</v>
      </c>
      <c r="V22" s="1272"/>
      <c r="W22" s="1272"/>
      <c r="X22" s="1273"/>
      <c r="Y22" s="280"/>
      <c r="Z22" s="217">
        <v>2024</v>
      </c>
      <c r="AA22" s="217"/>
      <c r="AB22" s="216"/>
      <c r="AC22" s="1280">
        <v>2025</v>
      </c>
      <c r="AD22" s="1281"/>
      <c r="AE22" s="1281"/>
      <c r="AF22" s="1281"/>
      <c r="AG22" s="1280">
        <v>2026</v>
      </c>
      <c r="AH22" s="1281"/>
      <c r="AI22" s="1281"/>
      <c r="AJ22" s="1285"/>
      <c r="AK22" s="1280">
        <v>2027</v>
      </c>
      <c r="AL22" s="1281"/>
      <c r="AM22" s="1281"/>
      <c r="AN22" s="1285"/>
    </row>
    <row r="23" spans="2:72" x14ac:dyDescent="0.35">
      <c r="B23" s="1276"/>
      <c r="C23" s="1277"/>
      <c r="D23" s="214" t="s">
        <v>281</v>
      </c>
      <c r="E23" s="214" t="s">
        <v>282</v>
      </c>
      <c r="F23" s="215" t="s">
        <v>283</v>
      </c>
      <c r="G23" s="215" t="s">
        <v>238</v>
      </c>
      <c r="H23" s="218" t="s">
        <v>281</v>
      </c>
      <c r="I23" s="215" t="s">
        <v>282</v>
      </c>
      <c r="J23" s="215" t="s">
        <v>283</v>
      </c>
      <c r="K23" s="215" t="s">
        <v>238</v>
      </c>
      <c r="L23" s="215" t="s">
        <v>281</v>
      </c>
      <c r="M23" s="214" t="s">
        <v>282</v>
      </c>
      <c r="N23" s="215" t="s">
        <v>283</v>
      </c>
      <c r="O23" s="215" t="s">
        <v>238</v>
      </c>
      <c r="P23" s="215" t="s">
        <v>281</v>
      </c>
      <c r="Q23" s="214" t="s">
        <v>282</v>
      </c>
      <c r="R23" s="215" t="s">
        <v>283</v>
      </c>
      <c r="S23" s="215" t="s">
        <v>238</v>
      </c>
      <c r="T23" s="218" t="s">
        <v>281</v>
      </c>
      <c r="U23" s="273" t="s">
        <v>282</v>
      </c>
      <c r="V23" s="274" t="s">
        <v>283</v>
      </c>
      <c r="W23" s="274" t="s">
        <v>238</v>
      </c>
      <c r="X23" s="272" t="s">
        <v>281</v>
      </c>
      <c r="Y23" s="273" t="s">
        <v>282</v>
      </c>
      <c r="Z23" s="279" t="s">
        <v>283</v>
      </c>
      <c r="AA23" s="274" t="s">
        <v>238</v>
      </c>
      <c r="AB23" s="272" t="s">
        <v>281</v>
      </c>
      <c r="AC23" s="259" t="s">
        <v>282</v>
      </c>
      <c r="AD23" s="257" t="s">
        <v>283</v>
      </c>
      <c r="AE23" s="260" t="s">
        <v>238</v>
      </c>
      <c r="AF23" s="260" t="s">
        <v>281</v>
      </c>
      <c r="AG23" s="222" t="s">
        <v>282</v>
      </c>
      <c r="AH23" s="257" t="s">
        <v>283</v>
      </c>
      <c r="AI23" s="257" t="s">
        <v>238</v>
      </c>
      <c r="AJ23" s="277" t="s">
        <v>281</v>
      </c>
      <c r="AK23" s="222" t="s">
        <v>282</v>
      </c>
      <c r="AL23" s="257" t="s">
        <v>283</v>
      </c>
      <c r="AM23" s="257" t="s">
        <v>238</v>
      </c>
      <c r="AN23" s="277" t="s">
        <v>281</v>
      </c>
    </row>
    <row r="24" spans="2:72" x14ac:dyDescent="0.35">
      <c r="B24" s="483" t="s">
        <v>111</v>
      </c>
      <c r="C24" s="477" t="s">
        <v>389</v>
      </c>
      <c r="D24" s="306"/>
      <c r="E24" s="306"/>
      <c r="F24" s="306"/>
      <c r="G24" s="306"/>
      <c r="H24" s="458">
        <f>'Haver Pivoted'!GS24</f>
        <v>2425.1</v>
      </c>
      <c r="I24" s="458">
        <f>'Haver Pivoted'!GT24</f>
        <v>2483.6999999999998</v>
      </c>
      <c r="J24" s="458">
        <f>'Haver Pivoted'!GU24</f>
        <v>2458.1999999999998</v>
      </c>
      <c r="K24" s="458">
        <f>'Haver Pivoted'!GV24</f>
        <v>2475.1</v>
      </c>
      <c r="L24" s="458">
        <f>'Haver Pivoted'!GW24</f>
        <v>2489.4</v>
      </c>
      <c r="M24" s="458">
        <f>'Haver Pivoted'!GX24</f>
        <v>2534.1999999999998</v>
      </c>
      <c r="N24" s="458">
        <f>'Haver Pivoted'!GY24</f>
        <v>2572.6</v>
      </c>
      <c r="O24" s="458">
        <f>'Haver Pivoted'!GZ24</f>
        <v>2629</v>
      </c>
      <c r="P24" s="458">
        <f>'Haver Pivoted'!HA24</f>
        <v>2665.4</v>
      </c>
      <c r="Q24" s="458">
        <f>'Haver Pivoted'!HB24</f>
        <v>2726.1</v>
      </c>
      <c r="R24" s="458">
        <f>'Haver Pivoted'!HC24</f>
        <v>2815.5</v>
      </c>
      <c r="S24" s="467">
        <f>'Haver Pivoted'!HD24</f>
        <v>2838.7</v>
      </c>
      <c r="T24" s="467">
        <f>'Haver Pivoted'!HE24</f>
        <v>2870.6</v>
      </c>
      <c r="U24" s="292">
        <f>'Haver Pivoted'!HF24</f>
        <v>2893</v>
      </c>
      <c r="V24" s="292">
        <f>'Haver Pivoted'!HG24</f>
        <v>2904.1</v>
      </c>
      <c r="W24" s="292">
        <f>'Haver Pivoted'!HH24</f>
        <v>2975.5</v>
      </c>
      <c r="X24" s="292">
        <f>'Haver Pivoted'!HI24</f>
        <v>3019</v>
      </c>
      <c r="Y24" s="292">
        <f>'Haver Pivoted'!HJ24</f>
        <v>3070.7</v>
      </c>
      <c r="Z24" s="292">
        <f>'Haver Pivoted'!HK24</f>
        <v>3100.9</v>
      </c>
      <c r="AA24" s="292">
        <f>'Haver Pivoted'!HL24</f>
        <v>3141.6</v>
      </c>
      <c r="AB24" s="292">
        <f>'Haver Pivoted'!HM24</f>
        <v>3174.7</v>
      </c>
      <c r="AC24" s="221"/>
      <c r="AD24" s="221"/>
      <c r="AE24" s="221"/>
      <c r="AF24" s="221"/>
      <c r="AG24" s="221"/>
      <c r="AH24" s="221"/>
      <c r="AI24" s="221"/>
      <c r="AJ24" s="221"/>
      <c r="AK24" s="221"/>
      <c r="AL24" s="221"/>
      <c r="AM24" s="221"/>
      <c r="AN24" s="221"/>
    </row>
    <row r="25" spans="2:72" ht="29.25" customHeight="1" x14ac:dyDescent="0.35">
      <c r="B25" s="486" t="s">
        <v>1969</v>
      </c>
      <c r="C25" s="220"/>
      <c r="D25" s="219"/>
      <c r="E25" s="219"/>
      <c r="F25" s="219"/>
      <c r="G25" s="219"/>
      <c r="H25" s="232"/>
      <c r="I25" s="232"/>
      <c r="J25" s="232"/>
      <c r="K25" s="232"/>
      <c r="L25" s="232"/>
      <c r="M25" s="427">
        <v>2533.9</v>
      </c>
      <c r="N25" s="427">
        <v>2571.6999999999998</v>
      </c>
      <c r="O25" s="427">
        <v>2625.1</v>
      </c>
      <c r="P25" s="427">
        <v>2664.2</v>
      </c>
      <c r="Q25" s="427">
        <v>2726.1</v>
      </c>
      <c r="R25" s="427">
        <v>2815.5</v>
      </c>
      <c r="S25" s="427">
        <v>2838.7</v>
      </c>
      <c r="T25" s="427">
        <v>2870.6</v>
      </c>
      <c r="U25" s="427">
        <v>2893</v>
      </c>
      <c r="V25" s="427">
        <v>2904.1</v>
      </c>
      <c r="W25" s="427">
        <v>2975.5</v>
      </c>
      <c r="X25" s="427">
        <v>3019</v>
      </c>
      <c r="Y25" s="427">
        <v>3070.7</v>
      </c>
      <c r="Z25" s="427">
        <v>3100.9</v>
      </c>
      <c r="AA25" s="427">
        <v>3139.2</v>
      </c>
      <c r="AB25" s="427">
        <v>3171.3</v>
      </c>
      <c r="AC25" s="427">
        <v>3201.4</v>
      </c>
      <c r="AD25" s="427">
        <v>3227.6</v>
      </c>
      <c r="AE25" s="427">
        <v>3257.1</v>
      </c>
      <c r="AF25" s="427">
        <v>3287.7</v>
      </c>
      <c r="AG25" s="427">
        <v>3319.2</v>
      </c>
      <c r="AH25" s="427">
        <v>3348.5</v>
      </c>
      <c r="AI25" s="427">
        <v>3378.4</v>
      </c>
      <c r="AJ25" s="427">
        <v>3407.6</v>
      </c>
      <c r="AK25" s="427">
        <v>3436.1</v>
      </c>
      <c r="AL25" s="427">
        <v>3465.5</v>
      </c>
      <c r="AM25" s="427">
        <v>3495</v>
      </c>
      <c r="AN25" s="427">
        <v>3524.3</v>
      </c>
      <c r="AO25" s="442">
        <v>3553.2</v>
      </c>
      <c r="AP25" s="442">
        <v>3582.3</v>
      </c>
      <c r="AQ25" s="442">
        <v>3611.3</v>
      </c>
      <c r="AR25" s="442">
        <v>3640.4</v>
      </c>
      <c r="AS25" s="442">
        <v>3669.2</v>
      </c>
      <c r="AT25" s="442">
        <v>3698.1</v>
      </c>
      <c r="AU25" s="442">
        <v>3727.3</v>
      </c>
      <c r="AV25" s="442">
        <v>3756.6</v>
      </c>
      <c r="AW25" s="442">
        <v>3785.8</v>
      </c>
      <c r="AX25" s="442">
        <v>3815.2</v>
      </c>
      <c r="AY25" s="442">
        <v>3845</v>
      </c>
      <c r="AZ25" s="442">
        <v>3874.9</v>
      </c>
      <c r="BA25" s="442">
        <v>3905.2</v>
      </c>
      <c r="BB25" s="442">
        <v>3935.8</v>
      </c>
      <c r="BC25" s="442">
        <v>3966.6</v>
      </c>
      <c r="BD25" s="442">
        <v>3997.8</v>
      </c>
      <c r="BE25" s="442">
        <v>4029.2</v>
      </c>
      <c r="BF25" s="442">
        <v>4060.9</v>
      </c>
      <c r="BG25" s="442">
        <v>4092.8</v>
      </c>
      <c r="BH25" s="442">
        <v>4125</v>
      </c>
      <c r="BI25" s="442">
        <v>4157.3999999999996</v>
      </c>
      <c r="BJ25" s="442">
        <v>4190</v>
      </c>
      <c r="BK25" s="442">
        <v>4222.8</v>
      </c>
      <c r="BL25" s="442">
        <v>4255.8</v>
      </c>
      <c r="BM25" s="442">
        <v>4289</v>
      </c>
      <c r="BN25" s="442">
        <v>4322.3</v>
      </c>
      <c r="BO25" s="442">
        <v>4355.7</v>
      </c>
      <c r="BP25" s="442">
        <v>4389</v>
      </c>
      <c r="BQ25" s="442">
        <v>4422.3999999999996</v>
      </c>
      <c r="BR25">
        <v>4456</v>
      </c>
      <c r="BS25">
        <v>4489.8</v>
      </c>
      <c r="BT25">
        <v>4524</v>
      </c>
    </row>
    <row r="26" spans="2:72" ht="29.25" customHeight="1" x14ac:dyDescent="0.35">
      <c r="B26" s="486" t="s">
        <v>1970</v>
      </c>
      <c r="C26" s="220"/>
      <c r="D26" s="219"/>
      <c r="E26" s="219"/>
      <c r="F26" s="219"/>
      <c r="G26" s="219"/>
      <c r="H26" s="232"/>
      <c r="I26" s="490"/>
      <c r="J26" s="490"/>
      <c r="K26" s="490"/>
      <c r="L26" s="490"/>
      <c r="M26" s="490">
        <v>7.7759999999999998</v>
      </c>
      <c r="N26" s="490">
        <v>6.1050000000000004</v>
      </c>
      <c r="O26" s="490">
        <v>8.5640000000000001</v>
      </c>
      <c r="P26" s="490">
        <v>6.0890000000000004</v>
      </c>
      <c r="Q26" s="490">
        <v>9.4320000000000004</v>
      </c>
      <c r="R26" s="490">
        <v>13.778</v>
      </c>
      <c r="S26" s="490">
        <v>3.327</v>
      </c>
      <c r="T26" s="490">
        <v>4.5739999999999998</v>
      </c>
      <c r="U26" s="490">
        <v>3.1539999999999999</v>
      </c>
      <c r="V26" s="490">
        <v>1.5509999999999999</v>
      </c>
      <c r="W26" s="490">
        <v>10.202999999999999</v>
      </c>
      <c r="X26" s="490">
        <v>5.9690000000000003</v>
      </c>
      <c r="Y26" s="490">
        <v>7.032</v>
      </c>
      <c r="Z26" s="490">
        <v>3.9870000000000001</v>
      </c>
      <c r="AA26" s="490">
        <v>5.0410000000000004</v>
      </c>
      <c r="AB26" s="490">
        <v>4.1500000000000004</v>
      </c>
      <c r="AC26" s="490">
        <v>3.847</v>
      </c>
      <c r="AD26" s="490">
        <v>3.3180000000000001</v>
      </c>
      <c r="AE26" s="490">
        <v>3.706</v>
      </c>
      <c r="AF26" s="490">
        <v>3.8109999999999999</v>
      </c>
      <c r="AG26" s="490">
        <v>3.8839999999999999</v>
      </c>
      <c r="AH26" s="490">
        <v>3.5830000000000002</v>
      </c>
      <c r="AI26" s="490">
        <v>3.6190000000000002</v>
      </c>
      <c r="AJ26" s="490">
        <v>3.4990000000000001</v>
      </c>
      <c r="AK26" s="490">
        <v>3.3919999999999999</v>
      </c>
      <c r="AL26" s="490">
        <v>3.4580000000000002</v>
      </c>
      <c r="AM26" s="490">
        <v>3.4540000000000002</v>
      </c>
      <c r="AN26" s="490">
        <v>3.3879999999999999</v>
      </c>
      <c r="AO26" s="224">
        <v>3.3220000000000001</v>
      </c>
      <c r="AP26" s="224">
        <v>3.3210000000000002</v>
      </c>
      <c r="AQ26" s="224">
        <v>3.2770000000000001</v>
      </c>
      <c r="AR26" s="224">
        <v>3.258</v>
      </c>
      <c r="AS26" s="224">
        <v>3.2040000000000002</v>
      </c>
      <c r="AT26" s="224">
        <v>3.1819999999999999</v>
      </c>
      <c r="AU26" s="224">
        <v>3.1970000000000001</v>
      </c>
      <c r="AV26" s="224">
        <v>3.1829999999999998</v>
      </c>
      <c r="AW26" s="224">
        <v>3.1469999999999998</v>
      </c>
      <c r="AX26" s="224">
        <v>3.1389999999999998</v>
      </c>
      <c r="AY26" s="224">
        <v>3.161</v>
      </c>
      <c r="AZ26" s="224">
        <v>3.1440000000000001</v>
      </c>
      <c r="BA26" s="224">
        <v>3.1659999999999999</v>
      </c>
      <c r="BB26" s="224">
        <v>3.17</v>
      </c>
      <c r="BC26" s="224">
        <v>3.1749999999999998</v>
      </c>
      <c r="BD26" s="224">
        <v>3.177</v>
      </c>
      <c r="BE26" s="224">
        <v>3.1829999999999998</v>
      </c>
      <c r="BF26" s="224">
        <v>3.181</v>
      </c>
      <c r="BG26" s="224">
        <v>3.1789999999999998</v>
      </c>
      <c r="BH26" s="224">
        <v>3.18</v>
      </c>
      <c r="BI26" s="224">
        <v>3.181</v>
      </c>
      <c r="BJ26" s="224">
        <v>3.1720000000000002</v>
      </c>
      <c r="BK26" s="224">
        <v>3.1659999999999999</v>
      </c>
      <c r="BL26" s="224">
        <v>3.161</v>
      </c>
      <c r="BM26" s="224">
        <v>3.1589999999999998</v>
      </c>
      <c r="BN26" s="224">
        <v>3.1469999999999998</v>
      </c>
      <c r="BO26" s="224">
        <v>3.1190000000000002</v>
      </c>
      <c r="BP26" s="224">
        <v>3.0939999999999999</v>
      </c>
      <c r="BQ26" s="224">
        <v>3.0779999999999998</v>
      </c>
      <c r="BR26">
        <v>3.0720000000000001</v>
      </c>
      <c r="BS26">
        <v>3.0760000000000001</v>
      </c>
      <c r="BT26">
        <v>3.08</v>
      </c>
    </row>
    <row r="27" spans="2:72" ht="21" customHeight="1" x14ac:dyDescent="0.35">
      <c r="B27" s="474" t="s">
        <v>1914</v>
      </c>
      <c r="C27" s="243"/>
      <c r="D27" s="231"/>
      <c r="E27" s="231"/>
      <c r="F27" s="231"/>
      <c r="G27" s="231"/>
      <c r="H27" s="227"/>
      <c r="I27" s="227"/>
      <c r="J27" s="227"/>
      <c r="K27" s="227"/>
      <c r="L27" s="227"/>
      <c r="M27" s="227">
        <f t="shared" ref="M27:V27" si="2">((M24/L24)^4-1)*100</f>
        <v>7.3951837662748376</v>
      </c>
      <c r="N27" s="227">
        <f t="shared" si="2"/>
        <v>6.2002440796854685</v>
      </c>
      <c r="O27" s="227">
        <f t="shared" si="2"/>
        <v>9.061956208359101</v>
      </c>
      <c r="P27" s="227">
        <f t="shared" si="2"/>
        <v>5.654312677598905</v>
      </c>
      <c r="Q27" s="227">
        <f t="shared" si="2"/>
        <v>9.4252525319924239</v>
      </c>
      <c r="R27" s="227">
        <f t="shared" si="2"/>
        <v>13.777135506982653</v>
      </c>
      <c r="S27" s="227">
        <f t="shared" si="2"/>
        <v>3.3370035827759992</v>
      </c>
      <c r="T27" s="227">
        <f t="shared" si="2"/>
        <v>4.5713539197219211</v>
      </c>
      <c r="U27" s="227">
        <f t="shared" si="2"/>
        <v>3.1580235074152974</v>
      </c>
      <c r="V27" s="227">
        <f t="shared" si="2"/>
        <v>1.5435944799445434</v>
      </c>
      <c r="W27" s="447">
        <f t="shared" ref="W27:AB27" si="3">((W24/V24)^4-1)*100</f>
        <v>10.203033975028175</v>
      </c>
      <c r="X27" s="447">
        <f t="shared" si="3"/>
        <v>5.977247036875788</v>
      </c>
      <c r="Y27" s="447">
        <f t="shared" si="3"/>
        <v>7.0279245631410303</v>
      </c>
      <c r="Z27" s="447">
        <f t="shared" si="3"/>
        <v>3.9923729240887385</v>
      </c>
      <c r="AA27" s="447">
        <f t="shared" si="3"/>
        <v>5.3543589589983842</v>
      </c>
      <c r="AB27" s="447">
        <f t="shared" si="3"/>
        <v>4.2814868934137662</v>
      </c>
      <c r="AC27" s="221">
        <f>AC26</f>
        <v>3.847</v>
      </c>
      <c r="AD27" s="221">
        <f t="shared" ref="AD27" si="4">AD26</f>
        <v>3.3180000000000001</v>
      </c>
      <c r="AE27" s="221">
        <f t="shared" ref="AE27:AJ27" si="5">AE26</f>
        <v>3.706</v>
      </c>
      <c r="AF27" s="221">
        <f t="shared" si="5"/>
        <v>3.8109999999999999</v>
      </c>
      <c r="AG27" s="221">
        <f t="shared" si="5"/>
        <v>3.8839999999999999</v>
      </c>
      <c r="AH27" s="221">
        <f t="shared" si="5"/>
        <v>3.5830000000000002</v>
      </c>
      <c r="AI27" s="221">
        <f t="shared" si="5"/>
        <v>3.6190000000000002</v>
      </c>
      <c r="AJ27" s="221">
        <f t="shared" si="5"/>
        <v>3.4990000000000001</v>
      </c>
      <c r="AK27" s="221">
        <f t="shared" ref="AK27:AN27" si="6">AK26</f>
        <v>3.3919999999999999</v>
      </c>
      <c r="AL27" s="221">
        <f t="shared" si="6"/>
        <v>3.4580000000000002</v>
      </c>
      <c r="AM27" s="221">
        <f t="shared" si="6"/>
        <v>3.4540000000000002</v>
      </c>
      <c r="AN27" s="221">
        <f t="shared" si="6"/>
        <v>3.3879999999999999</v>
      </c>
      <c r="AO27" s="482" t="s">
        <v>390</v>
      </c>
    </row>
    <row r="28" spans="2:72" ht="17.899999999999999" customHeight="1" x14ac:dyDescent="0.35">
      <c r="B28" s="485" t="s">
        <v>391</v>
      </c>
      <c r="C28" s="248"/>
      <c r="D28" s="488"/>
      <c r="E28" s="488"/>
      <c r="F28" s="488"/>
      <c r="G28" s="488"/>
      <c r="H28" s="230">
        <f t="shared" ref="H28:T28" si="7">H24</f>
        <v>2425.1</v>
      </c>
      <c r="I28" s="230">
        <f t="shared" si="7"/>
        <v>2483.6999999999998</v>
      </c>
      <c r="J28" s="230">
        <f t="shared" si="7"/>
        <v>2458.1999999999998</v>
      </c>
      <c r="K28" s="230">
        <f t="shared" si="7"/>
        <v>2475.1</v>
      </c>
      <c r="L28" s="230">
        <f t="shared" si="7"/>
        <v>2489.4</v>
      </c>
      <c r="M28" s="230">
        <f t="shared" si="7"/>
        <v>2534.1999999999998</v>
      </c>
      <c r="N28" s="230">
        <f t="shared" si="7"/>
        <v>2572.6</v>
      </c>
      <c r="O28" s="230">
        <f t="shared" si="7"/>
        <v>2629</v>
      </c>
      <c r="P28" s="230">
        <f t="shared" si="7"/>
        <v>2665.4</v>
      </c>
      <c r="Q28" s="230">
        <f t="shared" si="7"/>
        <v>2726.1</v>
      </c>
      <c r="R28" s="230">
        <f t="shared" si="7"/>
        <v>2815.5</v>
      </c>
      <c r="S28" s="293">
        <f t="shared" si="7"/>
        <v>2838.7</v>
      </c>
      <c r="T28" s="293">
        <f t="shared" si="7"/>
        <v>2870.6</v>
      </c>
      <c r="U28" s="293">
        <f t="shared" ref="U28:Z28" si="8">U24</f>
        <v>2893</v>
      </c>
      <c r="V28" s="293">
        <f t="shared" si="8"/>
        <v>2904.1</v>
      </c>
      <c r="W28" s="293">
        <f t="shared" si="8"/>
        <v>2975.5</v>
      </c>
      <c r="X28" s="293">
        <f t="shared" si="8"/>
        <v>3019</v>
      </c>
      <c r="Y28" s="293">
        <f t="shared" si="8"/>
        <v>3070.7</v>
      </c>
      <c r="Z28" s="293">
        <f t="shared" si="8"/>
        <v>3100.9</v>
      </c>
      <c r="AA28" s="293">
        <f t="shared" ref="AA28:AB28" si="9">AA24</f>
        <v>3141.6</v>
      </c>
      <c r="AB28" s="293">
        <f t="shared" si="9"/>
        <v>3174.7</v>
      </c>
      <c r="AC28" s="457">
        <f>AB28*((1+AC27/100)^0.25)</f>
        <v>3204.8018356664493</v>
      </c>
      <c r="AD28" s="457">
        <f>AC28*((1+AD27/100)^0.25)</f>
        <v>3231.0611571161521</v>
      </c>
      <c r="AE28" s="457">
        <f t="shared" ref="AE28:AF28" si="10">AD28*((1+AE27/100)^0.25)</f>
        <v>3260.5896771754583</v>
      </c>
      <c r="AF28" s="457">
        <f t="shared" si="10"/>
        <v>3291.220602030065</v>
      </c>
      <c r="AG28" s="457">
        <f>AF28*((1+AG27/100)^0.25)</f>
        <v>3322.7231616521558</v>
      </c>
      <c r="AH28" s="457">
        <f>AG28*((1+AH27/100)^0.25)</f>
        <v>3352.0947052084016</v>
      </c>
      <c r="AI28" s="457">
        <f t="shared" ref="AI28" si="11">AH28*((1+AI27/100)^0.25)</f>
        <v>3382.0196706636507</v>
      </c>
      <c r="AJ28" s="457">
        <f>AI28*((1+AJ27/100)^0.25)</f>
        <v>3411.2234432123032</v>
      </c>
      <c r="AK28" s="457">
        <f t="shared" ref="AK28:AN28" si="12">AJ28*((1+AK27/100)^0.25)</f>
        <v>3439.7897793471861</v>
      </c>
      <c r="AL28" s="457">
        <f t="shared" si="12"/>
        <v>3469.148745895402</v>
      </c>
      <c r="AM28" s="457">
        <f t="shared" si="12"/>
        <v>3498.7244756608152</v>
      </c>
      <c r="AN28" s="457">
        <f t="shared" si="12"/>
        <v>3527.9894414201644</v>
      </c>
    </row>
    <row r="29" spans="2:72" x14ac:dyDescent="0.35">
      <c r="B29" s="475" t="s">
        <v>392</v>
      </c>
      <c r="C29" s="476"/>
      <c r="D29" s="489"/>
      <c r="E29" s="489"/>
      <c r="F29" s="489"/>
      <c r="G29" s="489"/>
      <c r="H29" s="481">
        <f t="shared" ref="H29:P29" si="13">H24-H51</f>
        <v>2143.788</v>
      </c>
      <c r="I29" s="481">
        <f t="shared" si="13"/>
        <v>2195.9409999999998</v>
      </c>
      <c r="J29" s="481">
        <f t="shared" si="13"/>
        <v>2061.5219999999999</v>
      </c>
      <c r="K29" s="481">
        <f t="shared" si="13"/>
        <v>2100.2359999999999</v>
      </c>
      <c r="L29" s="481">
        <f t="shared" si="13"/>
        <v>2120.6410000000001</v>
      </c>
      <c r="M29" s="481">
        <f t="shared" si="13"/>
        <v>2142.7459999999996</v>
      </c>
      <c r="N29" s="481">
        <f t="shared" si="13"/>
        <v>2143.3249999999998</v>
      </c>
      <c r="O29" s="481">
        <f t="shared" si="13"/>
        <v>2185.5480000000002</v>
      </c>
      <c r="P29" s="481">
        <f t="shared" si="13"/>
        <v>2193.252148</v>
      </c>
      <c r="Q29" s="481">
        <f t="shared" ref="Q29:AC29" si="14">Q28-Q51</f>
        <v>2220.2777252000001</v>
      </c>
      <c r="R29" s="481">
        <f t="shared" si="14"/>
        <v>2239.963968</v>
      </c>
      <c r="S29" s="481">
        <f t="shared" si="14"/>
        <v>2280.361132</v>
      </c>
      <c r="T29" s="481">
        <f t="shared" si="14"/>
        <v>2344.4670719999999</v>
      </c>
      <c r="U29" s="481">
        <f t="shared" si="14"/>
        <v>2375.9634568000001</v>
      </c>
      <c r="V29" s="232">
        <f t="shared" si="14"/>
        <v>2394.29628</v>
      </c>
      <c r="W29" s="232">
        <f t="shared" si="14"/>
        <v>2481.7960560000001</v>
      </c>
      <c r="X29" s="232">
        <f t="shared" si="14"/>
        <v>2509.0190560000001</v>
      </c>
      <c r="Y29" s="342">
        <f t="shared" si="14"/>
        <v>2558.3120559999998</v>
      </c>
      <c r="Z29" s="342">
        <f t="shared" si="14"/>
        <v>2582.6218910000002</v>
      </c>
      <c r="AA29" s="342">
        <f t="shared" si="14"/>
        <v>2601.9916699999999</v>
      </c>
      <c r="AB29" s="342">
        <f t="shared" si="14"/>
        <v>2631.8836742999997</v>
      </c>
      <c r="AC29" s="342">
        <f t="shared" si="14"/>
        <v>2678.4386760972429</v>
      </c>
      <c r="AD29" s="342"/>
      <c r="AE29" s="342"/>
      <c r="AF29" s="342"/>
      <c r="AG29" s="342"/>
      <c r="AH29" s="342"/>
      <c r="AI29" s="342"/>
      <c r="AJ29" s="342"/>
      <c r="AK29" s="342"/>
      <c r="AL29" s="342"/>
      <c r="AM29" s="342"/>
      <c r="AN29" s="342"/>
      <c r="AO29" s="235" t="s">
        <v>393</v>
      </c>
    </row>
    <row r="30" spans="2:72" x14ac:dyDescent="0.35">
      <c r="B30" s="56"/>
      <c r="C30" s="56"/>
      <c r="D30" s="56"/>
      <c r="E30" s="56"/>
      <c r="F30" s="56"/>
      <c r="G30" s="56"/>
      <c r="H30" s="56"/>
      <c r="I30" s="56"/>
      <c r="J30" s="56"/>
      <c r="K30" s="56"/>
      <c r="L30" s="56"/>
      <c r="M30" s="487"/>
      <c r="N30" s="487"/>
      <c r="O30" s="487"/>
      <c r="P30" s="487"/>
      <c r="Q30" s="487"/>
      <c r="R30" s="487"/>
      <c r="S30" s="487"/>
      <c r="T30" s="487"/>
      <c r="U30" s="487"/>
      <c r="V30" s="487"/>
      <c r="W30" s="487"/>
      <c r="X30" s="487"/>
      <c r="Y30" s="487"/>
      <c r="Z30" s="208"/>
      <c r="AA30" s="208"/>
      <c r="AB30" s="208"/>
      <c r="AC30" s="208"/>
      <c r="AD30" s="208"/>
      <c r="AE30" s="208"/>
      <c r="AF30" s="208"/>
      <c r="AG30" s="208"/>
      <c r="AH30" s="208"/>
    </row>
    <row r="31" spans="2:72" x14ac:dyDescent="0.35">
      <c r="B31" s="56"/>
      <c r="C31" s="56"/>
      <c r="D31" s="56"/>
      <c r="E31" s="56"/>
      <c r="F31" s="56"/>
      <c r="G31" s="56"/>
      <c r="H31" s="56"/>
      <c r="I31" s="56"/>
      <c r="J31" s="56"/>
      <c r="K31" s="56"/>
      <c r="L31" s="56"/>
      <c r="M31" s="487"/>
      <c r="N31" s="487"/>
      <c r="O31" s="487"/>
      <c r="Q31" s="487"/>
      <c r="R31" s="487"/>
      <c r="S31" s="208"/>
      <c r="T31" s="208"/>
      <c r="U31" s="208"/>
      <c r="V31" s="208"/>
      <c r="Y31" s="208"/>
      <c r="Z31" s="208"/>
      <c r="AA31" s="208"/>
      <c r="AB31" s="208"/>
      <c r="AC31" s="208"/>
      <c r="AD31" s="208"/>
      <c r="AE31" s="208"/>
      <c r="AF31" s="208"/>
      <c r="AG31" s="208"/>
      <c r="AH31" s="208"/>
    </row>
    <row r="32" spans="2:72" x14ac:dyDescent="0.35">
      <c r="B32" s="243"/>
      <c r="C32" s="243"/>
      <c r="D32" s="243"/>
      <c r="E32" s="243"/>
      <c r="F32" s="243"/>
      <c r="G32" s="243"/>
      <c r="H32" s="232"/>
      <c r="I32" s="232"/>
      <c r="J32" s="232"/>
      <c r="K32" s="232"/>
      <c r="L32" s="232"/>
      <c r="M32" s="232"/>
      <c r="N32" s="232"/>
      <c r="O32" s="232"/>
      <c r="P32" s="232"/>
      <c r="Q32" s="480"/>
      <c r="R32" s="232"/>
      <c r="S32" s="232"/>
      <c r="T32" s="232"/>
      <c r="U32" s="232"/>
      <c r="V32" s="232"/>
      <c r="W32" s="232"/>
      <c r="X32" s="232"/>
      <c r="Y32" s="232"/>
      <c r="Z32" s="232"/>
    </row>
    <row r="33" spans="2:52" ht="85.4" customHeight="1" x14ac:dyDescent="0.35">
      <c r="B33" s="449" t="s">
        <v>877</v>
      </c>
      <c r="C33" s="450" t="s">
        <v>876</v>
      </c>
      <c r="D33" s="100">
        <v>44197</v>
      </c>
      <c r="E33" s="448">
        <v>44228</v>
      </c>
      <c r="F33" s="100">
        <v>44256</v>
      </c>
      <c r="G33" s="100">
        <v>44287</v>
      </c>
      <c r="H33" s="100">
        <v>44317</v>
      </c>
      <c r="I33" s="100">
        <v>44348</v>
      </c>
      <c r="J33" s="100">
        <v>44378</v>
      </c>
      <c r="K33" s="448">
        <v>44409</v>
      </c>
      <c r="L33" s="100">
        <v>44440</v>
      </c>
      <c r="M33" s="100">
        <v>44470</v>
      </c>
      <c r="N33" s="100">
        <v>44501</v>
      </c>
      <c r="O33" s="100">
        <v>44531</v>
      </c>
      <c r="P33" s="100">
        <v>44562</v>
      </c>
      <c r="Q33" s="448">
        <v>44593</v>
      </c>
      <c r="R33" s="100">
        <v>44621</v>
      </c>
      <c r="S33" s="100">
        <v>44652</v>
      </c>
      <c r="T33" s="100">
        <v>44682</v>
      </c>
      <c r="U33" s="100">
        <v>44713</v>
      </c>
      <c r="V33" s="100">
        <v>44743</v>
      </c>
      <c r="W33" s="100">
        <v>44774</v>
      </c>
      <c r="X33" s="100">
        <v>44805</v>
      </c>
      <c r="Y33" s="100">
        <v>44835</v>
      </c>
      <c r="Z33" s="100">
        <v>44866</v>
      </c>
      <c r="AA33" s="100">
        <v>44896</v>
      </c>
      <c r="AB33" s="100">
        <v>44927</v>
      </c>
      <c r="AC33" s="100">
        <v>44958</v>
      </c>
      <c r="AD33" s="100">
        <v>44986</v>
      </c>
      <c r="AE33" s="100">
        <v>45017</v>
      </c>
      <c r="AF33" s="100">
        <v>45047</v>
      </c>
      <c r="AG33" s="100">
        <v>45078</v>
      </c>
      <c r="AH33" s="100">
        <v>45108</v>
      </c>
      <c r="AI33" s="100">
        <v>45139</v>
      </c>
      <c r="AJ33" s="100">
        <v>45170</v>
      </c>
      <c r="AK33" s="100">
        <v>45200</v>
      </c>
      <c r="AL33" s="100">
        <v>45231</v>
      </c>
      <c r="AM33" s="100">
        <v>45261</v>
      </c>
      <c r="AN33" s="100">
        <v>45292</v>
      </c>
      <c r="AO33" s="100">
        <v>45323</v>
      </c>
      <c r="AP33" s="100">
        <v>45352</v>
      </c>
      <c r="AQ33" s="100">
        <v>45383</v>
      </c>
      <c r="AR33" s="100">
        <v>45413</v>
      </c>
      <c r="AS33" s="100">
        <v>45444</v>
      </c>
      <c r="AT33" s="100">
        <v>45474</v>
      </c>
      <c r="AU33" s="100">
        <v>45505</v>
      </c>
      <c r="AV33" s="100">
        <v>45536</v>
      </c>
      <c r="AW33" s="100">
        <v>45566</v>
      </c>
      <c r="AX33" s="100">
        <v>45597</v>
      </c>
      <c r="AY33" s="100">
        <v>45627</v>
      </c>
    </row>
    <row r="34" spans="2:52" ht="19.5" customHeight="1" x14ac:dyDescent="0.35">
      <c r="B34" s="351" t="s">
        <v>394</v>
      </c>
      <c r="C34" s="432" t="s">
        <v>1901</v>
      </c>
      <c r="D34" s="306">
        <v>5159</v>
      </c>
      <c r="E34" s="306">
        <v>5166</v>
      </c>
      <c r="F34" s="306">
        <v>5196</v>
      </c>
      <c r="G34" s="306">
        <v>5189</v>
      </c>
      <c r="H34" s="306">
        <v>5174</v>
      </c>
      <c r="I34" s="306">
        <v>5188</v>
      </c>
      <c r="J34" s="306">
        <v>5164</v>
      </c>
      <c r="K34" s="306">
        <v>5150</v>
      </c>
      <c r="L34" s="306">
        <v>5141</v>
      </c>
      <c r="M34" s="306">
        <v>5136</v>
      </c>
      <c r="N34" s="306">
        <v>5123</v>
      </c>
      <c r="O34" s="306">
        <v>5121</v>
      </c>
      <c r="P34" s="306">
        <v>5094</v>
      </c>
      <c r="Q34" s="306">
        <v>5083</v>
      </c>
      <c r="R34" s="306">
        <v>5065</v>
      </c>
      <c r="S34" s="306">
        <v>5080</v>
      </c>
      <c r="T34" s="306">
        <v>5096</v>
      </c>
      <c r="U34" s="306">
        <v>5103</v>
      </c>
      <c r="V34" s="306">
        <v>5129</v>
      </c>
      <c r="W34" s="306">
        <v>5139</v>
      </c>
      <c r="X34" s="306">
        <v>5148</v>
      </c>
      <c r="Y34" s="306">
        <v>5143</v>
      </c>
      <c r="Z34" s="458">
        <v>5161</v>
      </c>
      <c r="AA34" s="306">
        <v>5131</v>
      </c>
      <c r="AB34" s="306">
        <v>5206</v>
      </c>
      <c r="AC34" s="306">
        <v>5229</v>
      </c>
      <c r="AD34" s="306">
        <v>5249</v>
      </c>
      <c r="AE34" s="306">
        <v>5263</v>
      </c>
      <c r="AF34" s="306">
        <v>5280</v>
      </c>
      <c r="AG34" s="306">
        <v>5301</v>
      </c>
      <c r="AH34" s="492">
        <v>5301</v>
      </c>
      <c r="AI34" s="306">
        <v>5329</v>
      </c>
      <c r="AJ34" s="306">
        <v>5346</v>
      </c>
      <c r="AK34" s="306">
        <v>5375</v>
      </c>
      <c r="AL34" s="306">
        <v>5383</v>
      </c>
      <c r="AM34" s="306">
        <v>5404</v>
      </c>
      <c r="AN34" s="306">
        <v>5420</v>
      </c>
      <c r="AO34" s="306">
        <v>5434</v>
      </c>
      <c r="AP34" s="306">
        <v>5444</v>
      </c>
      <c r="AQ34" s="306">
        <v>5448</v>
      </c>
      <c r="AR34" s="306">
        <v>5429</v>
      </c>
      <c r="AS34" s="465">
        <v>5436</v>
      </c>
      <c r="AT34" s="465">
        <v>5459</v>
      </c>
      <c r="AU34" s="465">
        <v>5473</v>
      </c>
      <c r="AV34" s="465">
        <v>5495</v>
      </c>
      <c r="AW34" s="433">
        <v>5508</v>
      </c>
      <c r="AX34" s="433">
        <v>5521</v>
      </c>
      <c r="AY34" s="434">
        <v>5531</v>
      </c>
      <c r="AZ34" s="235"/>
    </row>
    <row r="35" spans="2:52" ht="18" customHeight="1" x14ac:dyDescent="0.35">
      <c r="B35" s="242" t="s">
        <v>395</v>
      </c>
      <c r="C35" s="119" t="s">
        <v>1981</v>
      </c>
      <c r="D35" s="219">
        <v>13746</v>
      </c>
      <c r="E35" s="219">
        <v>13733</v>
      </c>
      <c r="F35" s="219">
        <v>13781</v>
      </c>
      <c r="G35" s="219">
        <v>13830</v>
      </c>
      <c r="H35" s="219">
        <v>13854</v>
      </c>
      <c r="I35" s="219">
        <v>13941</v>
      </c>
      <c r="J35" s="219">
        <v>14023</v>
      </c>
      <c r="K35" s="219">
        <v>14053</v>
      </c>
      <c r="L35" s="219">
        <v>14047</v>
      </c>
      <c r="M35" s="219">
        <v>14022</v>
      </c>
      <c r="N35" s="219">
        <v>14028</v>
      </c>
      <c r="O35" s="219">
        <v>14063</v>
      </c>
      <c r="P35" s="219">
        <v>14084</v>
      </c>
      <c r="Q35" s="219">
        <v>14099</v>
      </c>
      <c r="R35" s="438">
        <v>14118</v>
      </c>
      <c r="S35" s="438">
        <v>14140</v>
      </c>
      <c r="T35" s="438">
        <v>14153</v>
      </c>
      <c r="U35" s="438">
        <v>14161</v>
      </c>
      <c r="V35" s="438">
        <v>14272</v>
      </c>
      <c r="W35" s="438">
        <v>14266</v>
      </c>
      <c r="X35" s="438">
        <v>14260</v>
      </c>
      <c r="Y35" s="438">
        <v>14287</v>
      </c>
      <c r="Z35" s="438">
        <v>14328</v>
      </c>
      <c r="AA35" s="438">
        <v>14360</v>
      </c>
      <c r="AB35" s="438">
        <v>14402</v>
      </c>
      <c r="AC35" s="438">
        <v>14430</v>
      </c>
      <c r="AD35" s="438">
        <v>14457</v>
      </c>
      <c r="AE35" s="438">
        <v>14482</v>
      </c>
      <c r="AF35" s="438">
        <v>14508</v>
      </c>
      <c r="AG35" s="438">
        <v>14536</v>
      </c>
      <c r="AH35" s="438">
        <v>14564</v>
      </c>
      <c r="AI35" s="438">
        <v>14585</v>
      </c>
      <c r="AJ35" s="438">
        <v>14612</v>
      </c>
      <c r="AK35" s="438">
        <v>14642</v>
      </c>
      <c r="AL35" s="438">
        <v>14665</v>
      </c>
      <c r="AM35" s="438">
        <v>14711</v>
      </c>
      <c r="AN35" s="438">
        <v>14742</v>
      </c>
      <c r="AO35" s="438">
        <v>14776</v>
      </c>
      <c r="AP35" s="219">
        <v>14832</v>
      </c>
      <c r="AQ35" s="438">
        <v>14828</v>
      </c>
      <c r="AR35" s="219">
        <v>14856</v>
      </c>
      <c r="AS35" s="433">
        <v>14868</v>
      </c>
      <c r="AT35" s="433">
        <v>14890</v>
      </c>
      <c r="AU35" s="433">
        <v>14916</v>
      </c>
      <c r="AV35" s="433">
        <v>14923</v>
      </c>
      <c r="AW35" s="433">
        <v>14941</v>
      </c>
      <c r="AX35" s="433">
        <v>14958</v>
      </c>
      <c r="AY35" s="433">
        <v>14975</v>
      </c>
      <c r="AZ35" s="235"/>
    </row>
    <row r="36" spans="2:52" ht="18" customHeight="1" x14ac:dyDescent="0.35">
      <c r="B36" s="242" t="s">
        <v>1892</v>
      </c>
      <c r="C36" s="235"/>
      <c r="D36" s="219"/>
      <c r="E36" s="219"/>
      <c r="F36" s="219"/>
      <c r="G36" s="219"/>
      <c r="H36" s="219"/>
      <c r="I36" s="219"/>
      <c r="J36" s="219"/>
      <c r="K36" s="219"/>
      <c r="L36" s="219"/>
      <c r="M36" s="219"/>
      <c r="N36" s="219"/>
      <c r="O36" s="219"/>
      <c r="P36" s="219"/>
      <c r="Q36" s="219"/>
      <c r="R36" s="438"/>
      <c r="S36" s="438"/>
      <c r="T36" s="438"/>
      <c r="U36" s="438"/>
      <c r="V36" s="438">
        <f>V34+V35</f>
        <v>19401</v>
      </c>
      <c r="W36" s="438">
        <f t="shared" ref="W36:AR36" si="15">W34+W35</f>
        <v>19405</v>
      </c>
      <c r="X36" s="438">
        <f t="shared" si="15"/>
        <v>19408</v>
      </c>
      <c r="Y36" s="438">
        <f t="shared" si="15"/>
        <v>19430</v>
      </c>
      <c r="Z36" s="438">
        <f t="shared" si="15"/>
        <v>19489</v>
      </c>
      <c r="AA36" s="438">
        <f t="shared" si="15"/>
        <v>19491</v>
      </c>
      <c r="AB36" s="438">
        <f t="shared" si="15"/>
        <v>19608</v>
      </c>
      <c r="AC36" s="438">
        <f t="shared" si="15"/>
        <v>19659</v>
      </c>
      <c r="AD36" s="438">
        <f t="shared" si="15"/>
        <v>19706</v>
      </c>
      <c r="AE36" s="438">
        <f t="shared" si="15"/>
        <v>19745</v>
      </c>
      <c r="AF36" s="438">
        <f t="shared" si="15"/>
        <v>19788</v>
      </c>
      <c r="AG36" s="438">
        <f t="shared" si="15"/>
        <v>19837</v>
      </c>
      <c r="AH36" s="438">
        <f t="shared" si="15"/>
        <v>19865</v>
      </c>
      <c r="AI36" s="438">
        <f t="shared" si="15"/>
        <v>19914</v>
      </c>
      <c r="AJ36" s="438">
        <f t="shared" si="15"/>
        <v>19958</v>
      </c>
      <c r="AK36" s="438">
        <f t="shared" si="15"/>
        <v>20017</v>
      </c>
      <c r="AL36" s="438">
        <f t="shared" si="15"/>
        <v>20048</v>
      </c>
      <c r="AM36" s="438">
        <f t="shared" si="15"/>
        <v>20115</v>
      </c>
      <c r="AN36" s="438">
        <f t="shared" si="15"/>
        <v>20162</v>
      </c>
      <c r="AO36" s="438">
        <f t="shared" si="15"/>
        <v>20210</v>
      </c>
      <c r="AP36" s="438">
        <f t="shared" si="15"/>
        <v>20276</v>
      </c>
      <c r="AQ36" s="438">
        <f t="shared" si="15"/>
        <v>20276</v>
      </c>
      <c r="AR36" s="438">
        <f t="shared" si="15"/>
        <v>20285</v>
      </c>
      <c r="AS36" s="438">
        <f t="shared" ref="AS36:AY36" si="16">AS34+AS35</f>
        <v>20304</v>
      </c>
      <c r="AT36" s="438">
        <f t="shared" si="16"/>
        <v>20349</v>
      </c>
      <c r="AU36" s="438">
        <f t="shared" si="16"/>
        <v>20389</v>
      </c>
      <c r="AV36" s="438">
        <f t="shared" si="16"/>
        <v>20418</v>
      </c>
      <c r="AW36" s="438">
        <f t="shared" si="16"/>
        <v>20449</v>
      </c>
      <c r="AX36" s="438">
        <f t="shared" si="16"/>
        <v>20479</v>
      </c>
      <c r="AY36" s="438">
        <f t="shared" si="16"/>
        <v>20506</v>
      </c>
      <c r="AZ36" s="235"/>
    </row>
    <row r="37" spans="2:52" ht="19.5" customHeight="1" x14ac:dyDescent="0.35">
      <c r="B37" s="475" t="s">
        <v>397</v>
      </c>
      <c r="C37" s="356" t="s">
        <v>398</v>
      </c>
      <c r="D37" s="491">
        <v>345102</v>
      </c>
      <c r="E37" s="439">
        <v>335151</v>
      </c>
      <c r="F37" s="439">
        <v>336955</v>
      </c>
      <c r="G37" s="439">
        <v>335574</v>
      </c>
      <c r="H37" s="439">
        <v>338521</v>
      </c>
      <c r="I37" s="439">
        <v>329746</v>
      </c>
      <c r="J37" s="439">
        <v>328919</v>
      </c>
      <c r="K37" s="439">
        <v>333989</v>
      </c>
      <c r="L37" s="439">
        <v>326840</v>
      </c>
      <c r="M37" s="439">
        <v>327373</v>
      </c>
      <c r="N37" s="439">
        <v>331380</v>
      </c>
      <c r="O37" s="439">
        <v>331492</v>
      </c>
      <c r="P37" s="439">
        <v>334244</v>
      </c>
      <c r="Q37" s="439">
        <v>338416</v>
      </c>
      <c r="R37" s="439">
        <v>339417</v>
      </c>
      <c r="S37" s="439">
        <v>345062</v>
      </c>
      <c r="T37" s="439">
        <v>339178</v>
      </c>
      <c r="U37" s="439">
        <v>342484</v>
      </c>
      <c r="V37" s="439">
        <v>350972</v>
      </c>
      <c r="W37" s="439">
        <v>350286</v>
      </c>
      <c r="X37" s="439">
        <v>355116</v>
      </c>
      <c r="Y37" s="439">
        <v>354474</v>
      </c>
      <c r="Z37" s="439">
        <v>359543</v>
      </c>
      <c r="AA37" s="439">
        <v>361033</v>
      </c>
      <c r="AB37" s="439">
        <v>364867</v>
      </c>
      <c r="AC37" s="439">
        <v>371673</v>
      </c>
      <c r="AD37" s="439">
        <v>374555</v>
      </c>
      <c r="AE37" s="439">
        <v>382073</v>
      </c>
      <c r="AF37" s="439">
        <v>388978</v>
      </c>
      <c r="AG37" s="439">
        <v>396538</v>
      </c>
      <c r="AH37" s="439">
        <v>404059</v>
      </c>
      <c r="AI37" s="439">
        <v>407847</v>
      </c>
      <c r="AJ37" s="439">
        <v>418897</v>
      </c>
      <c r="AK37" s="491">
        <v>432334</v>
      </c>
      <c r="AL37" s="439">
        <v>440095</v>
      </c>
      <c r="AM37" s="439">
        <v>446894</v>
      </c>
      <c r="AN37" s="439">
        <v>445408</v>
      </c>
      <c r="AO37" s="491">
        <v>448458</v>
      </c>
      <c r="AP37" s="439">
        <v>453062</v>
      </c>
      <c r="AQ37" s="491">
        <v>451154</v>
      </c>
      <c r="AR37" s="491"/>
      <c r="AS37" s="435"/>
      <c r="AT37" s="435"/>
      <c r="AU37" s="435"/>
      <c r="AV37" s="435"/>
      <c r="AW37" s="435"/>
      <c r="AX37" s="435"/>
      <c r="AY37" s="436"/>
      <c r="AZ37" s="235"/>
    </row>
    <row r="38" spans="2:52" ht="15.65" customHeight="1" x14ac:dyDescent="0.35">
      <c r="B38" s="248"/>
      <c r="C38" s="243"/>
    </row>
    <row r="39" spans="2:52" ht="12.75" customHeight="1" x14ac:dyDescent="0.35"/>
    <row r="40" spans="2:52" x14ac:dyDescent="0.35">
      <c r="B40" s="1325" t="s">
        <v>399</v>
      </c>
      <c r="C40" s="1325"/>
      <c r="D40" s="1325"/>
      <c r="E40" s="1325"/>
      <c r="F40" s="1325"/>
      <c r="G40" s="1325"/>
      <c r="H40" s="1325"/>
      <c r="I40" s="1325"/>
      <c r="J40" s="1325"/>
      <c r="K40" s="1325"/>
      <c r="L40" s="1325"/>
      <c r="M40" s="1325"/>
      <c r="N40" s="1325"/>
      <c r="O40" s="1325"/>
      <c r="P40" s="1325"/>
      <c r="Q40" s="1325"/>
      <c r="R40" s="1325"/>
      <c r="S40" s="1325"/>
      <c r="T40" s="1325"/>
      <c r="U40" s="1325"/>
      <c r="V40" s="1325"/>
      <c r="W40" s="1325"/>
      <c r="X40" s="1325"/>
      <c r="Y40" s="1325"/>
      <c r="Z40" s="1325"/>
      <c r="AA40" s="1325"/>
      <c r="AB40" s="1325"/>
      <c r="AC40" s="1325"/>
      <c r="AD40" s="212"/>
      <c r="AE40">
        <f>AVERAGE(AE37:AG37)</f>
        <v>389196.33333333331</v>
      </c>
      <c r="AF40" s="212"/>
      <c r="AG40" s="212"/>
      <c r="AH40" s="212"/>
      <c r="AL40" s="235"/>
    </row>
    <row r="41" spans="2:52" ht="20.25" customHeight="1" x14ac:dyDescent="0.35">
      <c r="B41" s="1325"/>
      <c r="C41" s="1325"/>
      <c r="D41" s="1325"/>
      <c r="E41" s="1325"/>
      <c r="F41" s="1325"/>
      <c r="G41" s="1325"/>
      <c r="H41" s="1325"/>
      <c r="I41" s="1325"/>
      <c r="J41" s="1325"/>
      <c r="K41" s="1325"/>
      <c r="L41" s="1325"/>
      <c r="M41" s="1325"/>
      <c r="N41" s="1325"/>
      <c r="O41" s="1325"/>
      <c r="P41" s="1325"/>
      <c r="Q41" s="1325"/>
      <c r="R41" s="1325"/>
      <c r="S41" s="1325"/>
      <c r="T41" s="1325"/>
      <c r="U41" s="1325"/>
      <c r="V41" s="1325"/>
      <c r="W41" s="1325"/>
      <c r="X41" s="1325"/>
      <c r="Y41" s="1325"/>
      <c r="Z41" s="1325"/>
      <c r="AA41" s="1325"/>
      <c r="AB41" s="1325"/>
      <c r="AC41" s="1325"/>
      <c r="AD41" s="212"/>
      <c r="AE41" s="212"/>
      <c r="AF41" s="212"/>
      <c r="AG41" s="212"/>
      <c r="AH41" s="212"/>
      <c r="AL41" s="235"/>
    </row>
    <row r="42" spans="2:52" ht="14.25" customHeight="1" x14ac:dyDescent="0.35">
      <c r="B42" s="1324" t="s">
        <v>400</v>
      </c>
      <c r="C42" s="1324"/>
      <c r="D42" s="1324"/>
      <c r="E42" s="1324"/>
      <c r="F42" s="1324"/>
      <c r="G42" s="1324"/>
      <c r="H42" s="1324"/>
      <c r="I42" s="1324"/>
      <c r="J42" s="1324"/>
      <c r="K42" s="1324"/>
      <c r="L42" s="1324"/>
      <c r="M42" s="1324"/>
      <c r="N42" s="1324"/>
      <c r="O42" s="1324"/>
      <c r="P42" s="1324"/>
      <c r="Q42" s="1324"/>
      <c r="R42" s="1324"/>
      <c r="S42" s="1324"/>
      <c r="T42" s="1324"/>
      <c r="U42" s="1324"/>
      <c r="V42" s="1324"/>
      <c r="W42" s="1324"/>
      <c r="X42" s="1324"/>
      <c r="Y42" s="1324"/>
      <c r="Z42" s="1324"/>
      <c r="AA42" s="1324"/>
      <c r="AB42" s="1324"/>
      <c r="AC42" s="1324"/>
      <c r="AD42" s="376"/>
      <c r="AE42" s="376"/>
      <c r="AF42" s="376"/>
      <c r="AG42" s="376"/>
      <c r="AH42" s="376"/>
      <c r="AL42" s="235"/>
    </row>
    <row r="43" spans="2:52" x14ac:dyDescent="0.35">
      <c r="B43" s="1324"/>
      <c r="C43" s="1324"/>
      <c r="D43" s="1324"/>
      <c r="E43" s="1324"/>
      <c r="F43" s="1324"/>
      <c r="G43" s="1324"/>
      <c r="H43" s="1324"/>
      <c r="I43" s="1324"/>
      <c r="J43" s="1324"/>
      <c r="K43" s="1324"/>
      <c r="L43" s="1324"/>
      <c r="M43" s="1324"/>
      <c r="N43" s="1324"/>
      <c r="O43" s="1324"/>
      <c r="P43" s="1324"/>
      <c r="Q43" s="1324"/>
      <c r="R43" s="1324"/>
      <c r="S43" s="1324"/>
      <c r="T43" s="1324"/>
      <c r="U43" s="1324"/>
      <c r="V43" s="1324"/>
      <c r="W43" s="1324"/>
      <c r="X43" s="1324"/>
      <c r="Y43" s="1324"/>
      <c r="Z43" s="1324"/>
      <c r="AA43" s="1324"/>
      <c r="AB43" s="1324"/>
      <c r="AC43" s="1324"/>
      <c r="AD43" s="376"/>
      <c r="AE43" s="376"/>
      <c r="AF43" s="376"/>
      <c r="AG43" s="376"/>
      <c r="AH43" s="376"/>
      <c r="AL43" s="235"/>
    </row>
    <row r="44" spans="2:52" ht="8.9" customHeight="1" x14ac:dyDescent="0.35">
      <c r="B44" s="1324"/>
      <c r="C44" s="1324"/>
      <c r="D44" s="1324"/>
      <c r="E44" s="1324"/>
      <c r="F44" s="1324"/>
      <c r="G44" s="1324"/>
      <c r="H44" s="1324"/>
      <c r="I44" s="1324"/>
      <c r="J44" s="1324"/>
      <c r="K44" s="1324"/>
      <c r="L44" s="1324"/>
      <c r="M44" s="1324"/>
      <c r="N44" s="1324"/>
      <c r="O44" s="1324"/>
      <c r="P44" s="1324"/>
      <c r="Q44" s="1324"/>
      <c r="R44" s="1324"/>
      <c r="S44" s="1324"/>
      <c r="T44" s="1324"/>
      <c r="U44" s="1324"/>
      <c r="V44" s="1324"/>
      <c r="W44" s="1324"/>
      <c r="X44" s="1324"/>
      <c r="Y44" s="1324"/>
      <c r="Z44" s="1324"/>
      <c r="AA44" s="1324"/>
      <c r="AB44" s="1324"/>
      <c r="AC44" s="1324"/>
      <c r="AD44" s="376"/>
      <c r="AE44" s="376"/>
      <c r="AF44" s="376"/>
      <c r="AG44" s="376"/>
      <c r="AH44" s="376"/>
      <c r="AL44" s="235"/>
    </row>
    <row r="45" spans="2:52" ht="12.75" customHeight="1" x14ac:dyDescent="0.35">
      <c r="AL45" s="235"/>
    </row>
    <row r="46" spans="2:52" ht="30.75" customHeight="1" x14ac:dyDescent="0.35">
      <c r="B46" s="1274" t="s">
        <v>278</v>
      </c>
      <c r="C46" s="1326"/>
      <c r="D46" s="1298" t="s">
        <v>279</v>
      </c>
      <c r="E46" s="1299"/>
      <c r="F46" s="1299"/>
      <c r="G46" s="1299"/>
      <c r="H46" s="1299"/>
      <c r="I46" s="1299"/>
      <c r="J46" s="1299"/>
      <c r="K46" s="1299"/>
      <c r="L46" s="1299"/>
      <c r="M46" s="1299"/>
      <c r="N46" s="1299"/>
      <c r="O46" s="1299"/>
      <c r="P46" s="1299"/>
      <c r="Q46" s="1299"/>
      <c r="R46" s="1299"/>
      <c r="S46" s="1299"/>
      <c r="T46" s="1299"/>
      <c r="U46" s="1299"/>
      <c r="V46" s="1299"/>
      <c r="W46" s="1299"/>
      <c r="X46" s="1299"/>
      <c r="Y46" s="1299"/>
      <c r="Z46" s="1299"/>
      <c r="AA46" s="1300"/>
      <c r="AB46" s="1302" t="s">
        <v>280</v>
      </c>
      <c r="AC46" s="1282"/>
      <c r="AD46" s="1282"/>
      <c r="AE46" s="1282"/>
      <c r="AF46" s="1282"/>
      <c r="AG46" s="1282"/>
      <c r="AH46" s="1282"/>
      <c r="AI46" s="1282"/>
      <c r="AJ46" s="1282"/>
      <c r="AK46" s="1282"/>
      <c r="AL46" s="1282"/>
      <c r="AM46" s="1282"/>
      <c r="AN46" s="1283"/>
    </row>
    <row r="47" spans="2:52" x14ac:dyDescent="0.35">
      <c r="B47" s="1276"/>
      <c r="C47" s="1327"/>
      <c r="D47" s="282">
        <v>2018</v>
      </c>
      <c r="E47" s="1293">
        <v>2019</v>
      </c>
      <c r="F47" s="1294"/>
      <c r="G47" s="1294"/>
      <c r="H47" s="1295"/>
      <c r="I47" s="1293">
        <v>2020</v>
      </c>
      <c r="J47" s="1294"/>
      <c r="K47" s="1294"/>
      <c r="L47" s="1294"/>
      <c r="M47" s="1293">
        <v>2021</v>
      </c>
      <c r="N47" s="1294"/>
      <c r="O47" s="1294"/>
      <c r="P47" s="1294"/>
      <c r="Q47" s="1293">
        <v>2022</v>
      </c>
      <c r="R47" s="1301"/>
      <c r="S47" s="1301"/>
      <c r="T47" s="1301"/>
      <c r="U47" s="1293">
        <v>2023</v>
      </c>
      <c r="V47" s="1301"/>
      <c r="W47" s="1301"/>
      <c r="X47" s="1295"/>
      <c r="Y47" s="437"/>
      <c r="Z47" s="288">
        <v>2024</v>
      </c>
      <c r="AA47" s="288"/>
      <c r="AB47" s="321"/>
      <c r="AC47" s="1280">
        <v>2025</v>
      </c>
      <c r="AD47" s="1281"/>
      <c r="AE47" s="1281"/>
      <c r="AF47" s="1285"/>
      <c r="AG47" s="1280">
        <v>2026</v>
      </c>
      <c r="AH47" s="1281"/>
      <c r="AI47" s="1281"/>
      <c r="AJ47" s="1285"/>
      <c r="AK47" s="1280">
        <v>2027</v>
      </c>
      <c r="AL47" s="1281"/>
      <c r="AM47" s="1281"/>
      <c r="AN47" s="1285"/>
    </row>
    <row r="48" spans="2:52" x14ac:dyDescent="0.35">
      <c r="B48" s="1278"/>
      <c r="C48" s="1328"/>
      <c r="D48" s="214" t="s">
        <v>281</v>
      </c>
      <c r="E48" s="214" t="s">
        <v>282</v>
      </c>
      <c r="F48" s="215" t="s">
        <v>283</v>
      </c>
      <c r="G48" s="215" t="s">
        <v>238</v>
      </c>
      <c r="H48" s="218" t="s">
        <v>281</v>
      </c>
      <c r="I48" s="215" t="s">
        <v>282</v>
      </c>
      <c r="J48" s="215" t="s">
        <v>283</v>
      </c>
      <c r="K48" s="215" t="s">
        <v>238</v>
      </c>
      <c r="L48" s="215" t="s">
        <v>281</v>
      </c>
      <c r="M48" s="214" t="s">
        <v>282</v>
      </c>
      <c r="N48" s="215" t="s">
        <v>283</v>
      </c>
      <c r="O48" s="215" t="s">
        <v>238</v>
      </c>
      <c r="P48" s="215" t="s">
        <v>281</v>
      </c>
      <c r="Q48" s="214" t="s">
        <v>282</v>
      </c>
      <c r="R48" s="215" t="s">
        <v>283</v>
      </c>
      <c r="S48" s="215" t="s">
        <v>238</v>
      </c>
      <c r="T48" s="215" t="s">
        <v>281</v>
      </c>
      <c r="U48" s="273" t="s">
        <v>282</v>
      </c>
      <c r="V48" s="274" t="s">
        <v>283</v>
      </c>
      <c r="W48" s="274" t="s">
        <v>238</v>
      </c>
      <c r="X48" s="272" t="s">
        <v>281</v>
      </c>
      <c r="Y48" s="273" t="s">
        <v>282</v>
      </c>
      <c r="Z48" s="279" t="s">
        <v>283</v>
      </c>
      <c r="AA48" s="274" t="s">
        <v>238</v>
      </c>
      <c r="AB48" s="287" t="s">
        <v>281</v>
      </c>
      <c r="AC48" s="259" t="s">
        <v>282</v>
      </c>
      <c r="AD48" s="257" t="s">
        <v>283</v>
      </c>
      <c r="AE48" s="260" t="s">
        <v>238</v>
      </c>
      <c r="AF48" s="287" t="s">
        <v>281</v>
      </c>
      <c r="AG48" s="222" t="s">
        <v>282</v>
      </c>
      <c r="AH48" s="257" t="s">
        <v>283</v>
      </c>
      <c r="AI48" s="257" t="s">
        <v>238</v>
      </c>
      <c r="AJ48" s="277" t="s">
        <v>281</v>
      </c>
      <c r="AK48" s="222" t="s">
        <v>282</v>
      </c>
      <c r="AL48" s="257" t="s">
        <v>283</v>
      </c>
      <c r="AM48" s="257" t="s">
        <v>238</v>
      </c>
      <c r="AN48" s="277" t="s">
        <v>281</v>
      </c>
    </row>
    <row r="49" spans="2:63" x14ac:dyDescent="0.35">
      <c r="B49" s="483" t="s">
        <v>134</v>
      </c>
      <c r="C49" s="261"/>
      <c r="D49" s="244"/>
      <c r="E49" s="477"/>
      <c r="F49" s="477"/>
      <c r="G49" s="477"/>
      <c r="H49" s="425">
        <f>Grants!H94</f>
        <v>72.497</v>
      </c>
      <c r="I49" s="425">
        <f>Grants!I94</f>
        <v>75.649000000000001</v>
      </c>
      <c r="J49" s="425">
        <f>Grants!J94</f>
        <v>75.483999999999995</v>
      </c>
      <c r="K49" s="425">
        <f>Grants!K94</f>
        <v>79.444000000000003</v>
      </c>
      <c r="L49" s="425">
        <f>Grants!L94</f>
        <v>75.742999999999995</v>
      </c>
      <c r="M49" s="425">
        <f>Grants!M94</f>
        <v>73.183000000000007</v>
      </c>
      <c r="N49" s="425">
        <f>Grants!N94</f>
        <v>74.421000000000006</v>
      </c>
      <c r="O49" s="425">
        <f>Grants!O94</f>
        <v>70.334000000000003</v>
      </c>
      <c r="P49" s="425">
        <f>Grants!P94</f>
        <v>72.707999999999998</v>
      </c>
      <c r="Q49" s="425">
        <f>Grants!Q94</f>
        <v>75.024000000000001</v>
      </c>
      <c r="R49" s="425">
        <f>Grants!R94</f>
        <v>75.203000000000003</v>
      </c>
      <c r="S49" s="478">
        <f>Grants!S94</f>
        <v>75.203000000000003</v>
      </c>
      <c r="T49" s="459">
        <f>Grants!T94</f>
        <v>76.022000000000006</v>
      </c>
      <c r="U49" s="227">
        <f>Grants!U94</f>
        <v>76.022000000000006</v>
      </c>
      <c r="V49" s="227">
        <f>Grants!V94</f>
        <v>76.022000000000006</v>
      </c>
      <c r="W49" s="227">
        <f>Grants!W94</f>
        <v>76.022000000000006</v>
      </c>
      <c r="X49" s="221">
        <f>Grants!X94</f>
        <v>77.680999999999997</v>
      </c>
      <c r="Y49" s="221">
        <f>Grants!Y94</f>
        <v>77.680999999999997</v>
      </c>
      <c r="Z49" s="221">
        <f>Grants!Z94</f>
        <v>77.680999999999997</v>
      </c>
      <c r="AA49" s="221">
        <f>Grants!AA94</f>
        <v>77.680999999999997</v>
      </c>
      <c r="AB49" s="221">
        <f>Grants!AB94</f>
        <v>79.275000000000006</v>
      </c>
      <c r="AC49" s="221">
        <f>Grants!AC94</f>
        <v>79.275000000000006</v>
      </c>
      <c r="AD49" s="221">
        <f>Grants!AD94</f>
        <v>75.203000000000003</v>
      </c>
      <c r="AE49" s="221">
        <f>Grants!AE94</f>
        <v>75.203000000000003</v>
      </c>
      <c r="AF49" s="221">
        <f>Grants!AF94</f>
        <v>75.203000000000003</v>
      </c>
      <c r="AG49" s="221">
        <f>Grants!AG94</f>
        <v>75.203000000000003</v>
      </c>
      <c r="AH49" s="221">
        <f>Grants!AH94</f>
        <v>75.203000000000003</v>
      </c>
      <c r="AI49" s="221">
        <f>Grants!AI94</f>
        <v>75.203000000000003</v>
      </c>
      <c r="AJ49" s="221">
        <f>Grants!AJ94</f>
        <v>75.203000000000003</v>
      </c>
      <c r="AK49" s="221">
        <f>Grants!AK94</f>
        <v>75.203000000000003</v>
      </c>
      <c r="AL49" s="221">
        <f>Grants!AL94</f>
        <v>75.203000000000003</v>
      </c>
      <c r="AM49" s="221">
        <f>Grants!AM94</f>
        <v>75.203000000000003</v>
      </c>
      <c r="AN49" s="221">
        <f>Grants!AN94</f>
        <v>75.203000000000003</v>
      </c>
    </row>
    <row r="50" spans="2:63" x14ac:dyDescent="0.35">
      <c r="B50" s="474" t="s">
        <v>192</v>
      </c>
      <c r="C50" s="220"/>
      <c r="D50" s="278"/>
      <c r="E50" s="220"/>
      <c r="F50" s="220"/>
      <c r="G50" s="220"/>
      <c r="H50" s="227">
        <f>Grants!H73</f>
        <v>208.815</v>
      </c>
      <c r="I50" s="227">
        <f>Grants!I73</f>
        <v>212.11</v>
      </c>
      <c r="J50" s="227">
        <f>Grants!J73</f>
        <v>321.19400000000007</v>
      </c>
      <c r="K50" s="227">
        <f>Grants!K73</f>
        <v>295.41999999999996</v>
      </c>
      <c r="L50" s="227">
        <f>Grants!L73</f>
        <v>293.01599999999996</v>
      </c>
      <c r="M50" s="227">
        <f>Grants!M73</f>
        <v>318.27100000000007</v>
      </c>
      <c r="N50" s="227">
        <f>Grants!N73</f>
        <v>354.85400000000004</v>
      </c>
      <c r="O50" s="227">
        <f>Grants!O73</f>
        <v>373.11799999999988</v>
      </c>
      <c r="P50" s="227">
        <f>Grants!P73</f>
        <v>399.43985199999997</v>
      </c>
      <c r="Q50" s="227">
        <f>Grants!Q73</f>
        <v>430.7982748</v>
      </c>
      <c r="R50" s="227">
        <f>Grants!R73</f>
        <v>500.33303199999995</v>
      </c>
      <c r="S50" s="227">
        <f>Grants!S73</f>
        <v>483.13586799999996</v>
      </c>
      <c r="T50" s="227">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463.54132570000002</v>
      </c>
      <c r="AC50" s="456">
        <f>Grants!AC73</f>
        <v>447.08815956920625</v>
      </c>
      <c r="AD50" s="456">
        <f>Grants!AD73</f>
        <v>442.7962896849757</v>
      </c>
      <c r="AE50" s="456">
        <f>Grants!AE73</f>
        <v>445.70973999598249</v>
      </c>
      <c r="AF50" s="456">
        <f>Grants!AF73</f>
        <v>444.7661988000001</v>
      </c>
      <c r="AG50" s="456">
        <f>Grants!AG73</f>
        <v>447.86348787197454</v>
      </c>
      <c r="AH50" s="456">
        <f>Grants!AH73</f>
        <v>448.18829579237479</v>
      </c>
      <c r="AI50" s="456">
        <f>Grants!AI73</f>
        <v>452.34692327582184</v>
      </c>
      <c r="AJ50" s="456">
        <f>Grants!AJ73</f>
        <v>454.53667400000006</v>
      </c>
      <c r="AK50" s="456">
        <f>Grants!AK73</f>
        <v>457.75785463485346</v>
      </c>
      <c r="AL50" s="456">
        <f>Grants!AL73</f>
        <v>461.01077487206976</v>
      </c>
      <c r="AM50" s="456">
        <f>Grants!AM73</f>
        <v>464.29574745485468</v>
      </c>
      <c r="AN50" s="456">
        <f>Grants!AN73</f>
        <v>467.61308820800002</v>
      </c>
    </row>
    <row r="51" spans="2:63" x14ac:dyDescent="0.35">
      <c r="B51" s="484" t="s">
        <v>401</v>
      </c>
      <c r="C51" s="476"/>
      <c r="D51" s="475"/>
      <c r="E51" s="476"/>
      <c r="F51" s="476"/>
      <c r="G51" s="476"/>
      <c r="H51" s="460">
        <f>H49+H50</f>
        <v>281.31200000000001</v>
      </c>
      <c r="I51" s="460">
        <f t="shared" ref="I51:AN51" si="17">I49+I50</f>
        <v>287.75900000000001</v>
      </c>
      <c r="J51" s="460">
        <f t="shared" si="17"/>
        <v>396.67800000000005</v>
      </c>
      <c r="K51" s="460">
        <f t="shared" si="17"/>
        <v>374.86399999999998</v>
      </c>
      <c r="L51" s="460">
        <f t="shared" si="17"/>
        <v>368.75899999999996</v>
      </c>
      <c r="M51" s="460">
        <f t="shared" si="17"/>
        <v>391.45400000000006</v>
      </c>
      <c r="N51" s="460">
        <f t="shared" si="17"/>
        <v>429.27500000000003</v>
      </c>
      <c r="O51" s="460">
        <f t="shared" si="17"/>
        <v>443.45199999999988</v>
      </c>
      <c r="P51" s="460">
        <f t="shared" si="17"/>
        <v>472.14785199999994</v>
      </c>
      <c r="Q51" s="460">
        <f t="shared" si="17"/>
        <v>505.8222748</v>
      </c>
      <c r="R51" s="460">
        <f t="shared" si="17"/>
        <v>575.53603199999998</v>
      </c>
      <c r="S51" s="460">
        <f t="shared" si="17"/>
        <v>558.33886799999993</v>
      </c>
      <c r="T51" s="460">
        <f t="shared" si="17"/>
        <v>526.13292799999999</v>
      </c>
      <c r="U51" s="460">
        <f t="shared" si="17"/>
        <v>517.0365432000001</v>
      </c>
      <c r="V51" s="460">
        <f t="shared" si="17"/>
        <v>509.80372000000006</v>
      </c>
      <c r="W51" s="460">
        <f t="shared" si="17"/>
        <v>493.70394400000004</v>
      </c>
      <c r="X51" s="440">
        <f t="shared" si="17"/>
        <v>509.98094399999997</v>
      </c>
      <c r="Y51" s="440">
        <f t="shared" si="17"/>
        <v>512.38794400000006</v>
      </c>
      <c r="Z51" s="440">
        <f t="shared" si="17"/>
        <v>518.27810899999997</v>
      </c>
      <c r="AA51" s="440">
        <f t="shared" si="17"/>
        <v>539.60833000000014</v>
      </c>
      <c r="AB51" s="440">
        <f t="shared" si="17"/>
        <v>542.81632569999999</v>
      </c>
      <c r="AC51" s="440">
        <f t="shared" si="17"/>
        <v>526.36315956920623</v>
      </c>
      <c r="AD51" s="440">
        <f t="shared" si="17"/>
        <v>517.99928968497568</v>
      </c>
      <c r="AE51" s="440">
        <f t="shared" si="17"/>
        <v>520.91273999598252</v>
      </c>
      <c r="AF51" s="440">
        <f t="shared" si="17"/>
        <v>519.96919880000007</v>
      </c>
      <c r="AG51" s="440">
        <f t="shared" si="17"/>
        <v>523.06648787197457</v>
      </c>
      <c r="AH51" s="440">
        <f>AH49+AH50</f>
        <v>523.39129579237476</v>
      </c>
      <c r="AI51" s="440">
        <f t="shared" si="17"/>
        <v>527.54992327582181</v>
      </c>
      <c r="AJ51" s="440">
        <f t="shared" si="17"/>
        <v>529.73967400000004</v>
      </c>
      <c r="AK51" s="440">
        <f t="shared" si="17"/>
        <v>532.96085463485349</v>
      </c>
      <c r="AL51" s="440">
        <f t="shared" si="17"/>
        <v>536.21377487206973</v>
      </c>
      <c r="AM51" s="440">
        <f t="shared" si="17"/>
        <v>539.49874745485465</v>
      </c>
      <c r="AN51" s="440">
        <f t="shared" si="17"/>
        <v>542.816088208</v>
      </c>
    </row>
    <row r="53" spans="2:63" x14ac:dyDescent="0.35">
      <c r="S53" s="325"/>
      <c r="T53" s="325"/>
      <c r="U53" s="325"/>
      <c r="V53" s="325"/>
      <c r="W53" s="325"/>
      <c r="X53" s="325"/>
      <c r="Y53" s="325"/>
      <c r="Z53" s="325"/>
      <c r="AA53" s="325"/>
      <c r="AB53" s="325"/>
      <c r="AC53" s="325"/>
      <c r="AD53" s="325"/>
      <c r="AE53" s="325"/>
      <c r="AF53" s="325"/>
      <c r="AG53" s="325"/>
      <c r="AH53" s="325"/>
    </row>
    <row r="54" spans="2:63" x14ac:dyDescent="0.35">
      <c r="S54" s="325"/>
      <c r="T54" s="325"/>
      <c r="U54" s="325"/>
      <c r="V54" s="325"/>
      <c r="W54" s="325"/>
      <c r="X54" s="325"/>
      <c r="Y54" s="325"/>
      <c r="Z54" s="325"/>
      <c r="AA54" s="325"/>
      <c r="AB54" s="325"/>
      <c r="AC54" s="325"/>
      <c r="AD54" s="325"/>
      <c r="AE54" s="325"/>
      <c r="AF54" s="325"/>
      <c r="AG54" s="325"/>
      <c r="AH54" s="325"/>
    </row>
    <row r="55" spans="2:63" ht="27.65" customHeight="1" x14ac:dyDescent="0.35">
      <c r="S55" s="325"/>
      <c r="T55" s="325"/>
      <c r="U55" s="325"/>
      <c r="V55" s="325"/>
      <c r="W55" s="325"/>
      <c r="X55" s="325"/>
      <c r="Y55" s="325"/>
      <c r="Z55" s="325"/>
      <c r="AA55" s="325"/>
      <c r="AB55" s="325"/>
      <c r="AC55" s="325"/>
      <c r="AD55" s="325"/>
      <c r="AE55" s="325"/>
      <c r="AF55" s="325"/>
      <c r="AG55" s="325"/>
      <c r="AH55" s="325"/>
    </row>
    <row r="56" spans="2:63" ht="27.65" customHeight="1" x14ac:dyDescent="0.35"/>
    <row r="57" spans="2:63" ht="27.65" customHeight="1" x14ac:dyDescent="0.35">
      <c r="BI57" s="442"/>
      <c r="BJ57" s="442"/>
      <c r="BK57" s="442"/>
    </row>
    <row r="59" spans="2:63" ht="27.65" customHeight="1" x14ac:dyDescent="0.35"/>
    <row r="60" spans="2:63" ht="27.65" customHeight="1" x14ac:dyDescent="0.35"/>
    <row r="61" spans="2:63" ht="27.65" customHeight="1" x14ac:dyDescent="0.35"/>
  </sheetData>
  <mergeCells count="38">
    <mergeCell ref="E47:H47"/>
    <mergeCell ref="B21:C23"/>
    <mergeCell ref="M22:P22"/>
    <mergeCell ref="I22:L22"/>
    <mergeCell ref="Q47:T47"/>
    <mergeCell ref="B42:AC44"/>
    <mergeCell ref="B40:AC41"/>
    <mergeCell ref="B46:C48"/>
    <mergeCell ref="I47:L47"/>
    <mergeCell ref="B1:AC1"/>
    <mergeCell ref="B6:C8"/>
    <mergeCell ref="E7:H7"/>
    <mergeCell ref="I7:L7"/>
    <mergeCell ref="B2:AC4"/>
    <mergeCell ref="Q7:T7"/>
    <mergeCell ref="AC7:AF7"/>
    <mergeCell ref="M7:P7"/>
    <mergeCell ref="AK7:AN7"/>
    <mergeCell ref="AG7:AJ7"/>
    <mergeCell ref="AC6:AN6"/>
    <mergeCell ref="D6:AB6"/>
    <mergeCell ref="B16:AC16"/>
    <mergeCell ref="B17:AC19"/>
    <mergeCell ref="AK22:AN22"/>
    <mergeCell ref="AK47:AN47"/>
    <mergeCell ref="U22:X22"/>
    <mergeCell ref="U47:X47"/>
    <mergeCell ref="D46:AA46"/>
    <mergeCell ref="AB46:AN46"/>
    <mergeCell ref="AG47:AJ47"/>
    <mergeCell ref="AC22:AF22"/>
    <mergeCell ref="AG22:AJ22"/>
    <mergeCell ref="AC47:AF47"/>
    <mergeCell ref="M47:P47"/>
    <mergeCell ref="Q22:T22"/>
    <mergeCell ref="AC21:AN21"/>
    <mergeCell ref="D21:AB21"/>
    <mergeCell ref="E22:H22"/>
  </mergeCells>
  <hyperlinks>
    <hyperlink ref="C34" r:id="rId1" xr:uid="{00000000-0004-0000-0F00-000000000000}"/>
    <hyperlink ref="C35" r:id="rId2" xr:uid="{00000000-0004-0000-0F00-000001000000}"/>
  </hyperlinks>
  <pageMargins left="0.7" right="0.7" top="0.75" bottom="0.75" header="0.3" footer="0.3"/>
  <pageSetup orientation="portrait"/>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D11" activePane="bottomRight" state="frozen"/>
      <selection pane="topRight" activeCell="D1" sqref="D1"/>
      <selection pane="bottomLeft" activeCell="A11" sqref="A11"/>
      <selection pane="bottomRight" activeCell="AB24" sqref="AB24"/>
    </sheetView>
  </sheetViews>
  <sheetFormatPr defaultColWidth="10.90625" defaultRowHeight="14.5" x14ac:dyDescent="0.35"/>
  <cols>
    <col min="2" max="2" width="49.453125" customWidth="1"/>
    <col min="6" max="25" width="6.453125" customWidth="1"/>
    <col min="27" max="27" width="10.1796875" customWidth="1"/>
  </cols>
  <sheetData>
    <row r="1" spans="2:40" x14ac:dyDescent="0.35">
      <c r="B1" s="1269" t="s">
        <v>52</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ht="14.9" customHeight="1" x14ac:dyDescent="0.35">
      <c r="B2" s="1270" t="s">
        <v>855</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40" ht="14.9" customHeight="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40" ht="5.9" customHeight="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40" ht="1.5" customHeight="1"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row>
    <row r="6" spans="2:40" ht="14.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row>
    <row r="7" spans="2:40" ht="33.75" customHeight="1" x14ac:dyDescent="0.35">
      <c r="B7" s="55"/>
      <c r="C7" s="55"/>
      <c r="D7" s="55"/>
      <c r="E7" s="55"/>
      <c r="F7" s="55"/>
      <c r="G7" s="55"/>
      <c r="H7" s="55"/>
      <c r="I7" s="55"/>
      <c r="J7" s="55"/>
      <c r="K7" s="55"/>
      <c r="L7" s="55"/>
      <c r="M7" s="55"/>
      <c r="N7" s="55"/>
      <c r="O7" s="55"/>
      <c r="P7" s="55"/>
      <c r="Q7" s="55"/>
      <c r="R7" s="55"/>
      <c r="S7" s="55"/>
      <c r="T7" s="55"/>
      <c r="U7" s="55"/>
      <c r="V7" s="55"/>
      <c r="W7" s="55"/>
      <c r="X7" s="55"/>
      <c r="Y7" s="55"/>
    </row>
    <row r="8" spans="2:40" ht="14.9" customHeight="1" x14ac:dyDescent="0.35">
      <c r="B8" s="1274" t="s">
        <v>402</v>
      </c>
      <c r="C8" s="1275"/>
      <c r="D8" s="1298" t="s">
        <v>279</v>
      </c>
      <c r="E8" s="1299"/>
      <c r="F8" s="1299"/>
      <c r="G8" s="1299"/>
      <c r="H8" s="1299"/>
      <c r="I8" s="1299"/>
      <c r="J8" s="1299"/>
      <c r="K8" s="1299"/>
      <c r="L8" s="1299"/>
      <c r="M8" s="1299"/>
      <c r="N8" s="1299"/>
      <c r="O8" s="1299"/>
      <c r="P8" s="1299"/>
      <c r="Q8" s="1299"/>
      <c r="R8" s="1299"/>
      <c r="S8" s="1299"/>
      <c r="T8" s="1299"/>
      <c r="U8" s="1299"/>
      <c r="V8" s="1299"/>
      <c r="W8" s="1299"/>
      <c r="X8" s="1299"/>
      <c r="Y8" s="1299"/>
      <c r="Z8" s="1299"/>
      <c r="AA8" s="1299"/>
      <c r="AB8" s="1300"/>
      <c r="AC8" s="1302" t="s">
        <v>280</v>
      </c>
      <c r="AD8" s="1282"/>
      <c r="AE8" s="1282"/>
      <c r="AF8" s="1282"/>
      <c r="AG8" s="1282"/>
      <c r="AH8" s="1282"/>
      <c r="AI8" s="1282"/>
      <c r="AJ8" s="1282"/>
      <c r="AK8" s="1282"/>
      <c r="AL8" s="1282"/>
      <c r="AM8" s="1282"/>
      <c r="AN8" s="1283"/>
    </row>
    <row r="9" spans="2:40" x14ac:dyDescent="0.35">
      <c r="B9" s="1276"/>
      <c r="C9" s="1277"/>
      <c r="D9" s="214">
        <v>2018</v>
      </c>
      <c r="E9" s="1271">
        <v>2019</v>
      </c>
      <c r="F9" s="1272"/>
      <c r="G9" s="1272"/>
      <c r="H9" s="1333"/>
      <c r="I9" s="1271">
        <v>2020</v>
      </c>
      <c r="J9" s="1272"/>
      <c r="K9" s="1272"/>
      <c r="L9" s="1272"/>
      <c r="M9" s="1271">
        <v>2021</v>
      </c>
      <c r="N9" s="1272"/>
      <c r="O9" s="1272"/>
      <c r="P9" s="1272"/>
      <c r="Q9" s="1293">
        <v>2022</v>
      </c>
      <c r="R9" s="1301"/>
      <c r="S9" s="1301"/>
      <c r="T9" s="1301"/>
      <c r="U9" s="1293">
        <v>2023</v>
      </c>
      <c r="V9" s="1301"/>
      <c r="W9" s="1301"/>
      <c r="X9" s="1295"/>
      <c r="Y9" s="437"/>
      <c r="Z9" s="428">
        <v>2024</v>
      </c>
      <c r="AA9" s="428"/>
      <c r="AB9" s="295"/>
      <c r="AC9" s="1280">
        <v>2025</v>
      </c>
      <c r="AD9" s="1286"/>
      <c r="AE9" s="1286"/>
      <c r="AF9" s="1285"/>
      <c r="AG9" s="1280">
        <v>2026</v>
      </c>
      <c r="AH9" s="1281"/>
      <c r="AI9" s="1281"/>
      <c r="AJ9" s="1285"/>
      <c r="AK9" s="1280">
        <v>2027</v>
      </c>
      <c r="AL9" s="1281"/>
      <c r="AM9" s="1281"/>
      <c r="AN9" s="1285"/>
    </row>
    <row r="10" spans="2:40" x14ac:dyDescent="0.35">
      <c r="B10" s="1278"/>
      <c r="C10" s="1279"/>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5" t="s">
        <v>281</v>
      </c>
      <c r="U10" s="273" t="s">
        <v>282</v>
      </c>
      <c r="V10" s="274" t="s">
        <v>283</v>
      </c>
      <c r="W10" s="274" t="s">
        <v>238</v>
      </c>
      <c r="X10" s="272" t="s">
        <v>281</v>
      </c>
      <c r="Y10" s="273" t="s">
        <v>282</v>
      </c>
      <c r="Z10" s="279" t="s">
        <v>283</v>
      </c>
      <c r="AA10" s="274" t="s">
        <v>238</v>
      </c>
      <c r="AB10" s="274" t="s">
        <v>281</v>
      </c>
      <c r="AC10" s="259" t="s">
        <v>282</v>
      </c>
      <c r="AD10" s="257" t="s">
        <v>283</v>
      </c>
      <c r="AE10" s="260" t="s">
        <v>238</v>
      </c>
      <c r="AF10" s="260" t="s">
        <v>281</v>
      </c>
      <c r="AG10" s="222" t="s">
        <v>282</v>
      </c>
      <c r="AH10" s="257" t="s">
        <v>283</v>
      </c>
      <c r="AI10" s="257" t="s">
        <v>238</v>
      </c>
      <c r="AJ10" s="277" t="s">
        <v>281</v>
      </c>
      <c r="AK10" s="222" t="s">
        <v>282</v>
      </c>
      <c r="AL10" s="257" t="s">
        <v>283</v>
      </c>
      <c r="AM10" s="257" t="s">
        <v>238</v>
      </c>
      <c r="AN10" s="277" t="s">
        <v>281</v>
      </c>
    </row>
    <row r="11" spans="2:40" x14ac:dyDescent="0.35">
      <c r="B11" s="521" t="s">
        <v>861</v>
      </c>
      <c r="C11" s="55" t="s">
        <v>517</v>
      </c>
      <c r="D11" s="493"/>
      <c r="E11" s="527"/>
      <c r="F11" s="531">
        <v>60.5</v>
      </c>
      <c r="G11" s="531">
        <v>81.400000000000006</v>
      </c>
      <c r="H11" s="531">
        <f>'Haver Pivoted'!GS42</f>
        <v>82.1</v>
      </c>
      <c r="I11" s="531">
        <f>'Haver Pivoted'!GT42</f>
        <v>80</v>
      </c>
      <c r="J11" s="531">
        <f>'Haver Pivoted'!GU42</f>
        <v>1031.8</v>
      </c>
      <c r="K11" s="531">
        <f>'Haver Pivoted'!GV42</f>
        <v>1163.3</v>
      </c>
      <c r="L11" s="531">
        <f>'Haver Pivoted'!GW42</f>
        <v>516.4</v>
      </c>
      <c r="M11" s="531">
        <f>'Haver Pivoted'!GX42</f>
        <v>518.1</v>
      </c>
      <c r="N11" s="531">
        <f>'Haver Pivoted'!GY42</f>
        <v>822</v>
      </c>
      <c r="O11" s="531">
        <f>'Haver Pivoted'!GZ42</f>
        <v>673.4</v>
      </c>
      <c r="P11" s="531">
        <f>'Haver Pivoted'!HA42</f>
        <v>413.4</v>
      </c>
      <c r="Q11" s="531">
        <f>'Haver Pivoted'!HB42</f>
        <v>150.80000000000001</v>
      </c>
      <c r="R11" s="531">
        <f>'Haver Pivoted'!HC42</f>
        <v>129.30000000000001</v>
      </c>
      <c r="S11" s="532">
        <f>'Haver Pivoted'!HD42</f>
        <v>118.4</v>
      </c>
      <c r="T11" s="532">
        <f>'Haver Pivoted'!HE42</f>
        <v>110.8</v>
      </c>
      <c r="U11" s="339">
        <f>'Haver Pivoted'!HF42</f>
        <v>103.8</v>
      </c>
      <c r="V11" s="339">
        <f>'Haver Pivoted'!HG42</f>
        <v>101.8</v>
      </c>
      <c r="W11" s="339">
        <f>'Haver Pivoted'!HH42</f>
        <v>104</v>
      </c>
      <c r="X11" s="339">
        <f>'Haver Pivoted'!HI42</f>
        <v>98.9</v>
      </c>
      <c r="Y11" s="339">
        <f>'Haver Pivoted'!HJ42</f>
        <v>96.1</v>
      </c>
      <c r="Z11" s="339">
        <f>'Haver Pivoted'!HK42</f>
        <v>93.7</v>
      </c>
      <c r="AA11" s="339">
        <f>'Haver Pivoted'!HL42</f>
        <v>92.1</v>
      </c>
      <c r="AB11" s="339">
        <f>'Haver Pivoted'!HM42</f>
        <v>93</v>
      </c>
      <c r="AC11" s="508">
        <f t="shared" ref="AC11" si="0">AC12+AC13</f>
        <v>93</v>
      </c>
      <c r="AD11" s="508">
        <f t="shared" ref="AD11:AE11" si="1">AD12+AD13</f>
        <v>84.978000000000009</v>
      </c>
      <c r="AE11" s="508">
        <f t="shared" si="1"/>
        <v>84.978000000000009</v>
      </c>
      <c r="AF11" s="508">
        <f t="shared" ref="AF11" si="2">AF12+AF13</f>
        <v>88.067999999999998</v>
      </c>
      <c r="AG11" s="343">
        <f>AG12+AG13</f>
        <v>88.067999999999998</v>
      </c>
      <c r="AH11" s="343">
        <f>AH12+AH13</f>
        <v>88.067999999999998</v>
      </c>
      <c r="AI11" s="343">
        <f t="shared" ref="AI11" si="3">AI12+AI13</f>
        <v>88.067999999999998</v>
      </c>
      <c r="AJ11" s="343">
        <f>AJ12+AJ13</f>
        <v>88.067999999999998</v>
      </c>
      <c r="AK11" s="343">
        <f t="shared" ref="AK11:AN11" si="4">AK12+AK13</f>
        <v>88.067999999999998</v>
      </c>
      <c r="AL11" s="343">
        <f t="shared" si="4"/>
        <v>88.067999999999998</v>
      </c>
      <c r="AM11" s="343">
        <f t="shared" si="4"/>
        <v>88.067999999999998</v>
      </c>
      <c r="AN11" s="343">
        <f t="shared" si="4"/>
        <v>88.067999999999998</v>
      </c>
    </row>
    <row r="12" spans="2:40" ht="16.5" customHeight="1" x14ac:dyDescent="0.35">
      <c r="B12" s="418" t="s">
        <v>403</v>
      </c>
      <c r="C12" s="55"/>
      <c r="D12" s="521"/>
      <c r="E12" s="55"/>
      <c r="F12" s="54">
        <f>F11</f>
        <v>60.5</v>
      </c>
      <c r="G12" s="54">
        <f>G11</f>
        <v>81.400000000000006</v>
      </c>
      <c r="H12" s="54">
        <f t="shared" ref="H12:M12" si="5">H11-H13</f>
        <v>82.1</v>
      </c>
      <c r="I12" s="54">
        <f t="shared" si="5"/>
        <v>80</v>
      </c>
      <c r="J12" s="54">
        <f>J11-J13</f>
        <v>42.299999999999955</v>
      </c>
      <c r="K12" s="54">
        <f t="shared" si="5"/>
        <v>36.700000000000045</v>
      </c>
      <c r="L12" s="54">
        <f>L11-L13</f>
        <v>-22.000000000000114</v>
      </c>
      <c r="M12" s="54">
        <f t="shared" si="5"/>
        <v>210.3</v>
      </c>
      <c r="N12" s="54">
        <f t="shared" ref="N12:T12" si="6">N11-N13</f>
        <v>218.39999999999998</v>
      </c>
      <c r="O12" s="54">
        <f t="shared" si="6"/>
        <v>217.38351999999998</v>
      </c>
      <c r="P12" s="54">
        <f t="shared" si="6"/>
        <v>208.49999999999997</v>
      </c>
      <c r="Q12" s="54">
        <f t="shared" si="6"/>
        <v>90.100000000000009</v>
      </c>
      <c r="R12" s="54">
        <f t="shared" si="6"/>
        <v>75.800000000000011</v>
      </c>
      <c r="S12" s="339">
        <f t="shared" si="6"/>
        <v>75.7</v>
      </c>
      <c r="T12" s="339">
        <f t="shared" si="6"/>
        <v>78.977999999999994</v>
      </c>
      <c r="U12" s="339">
        <f t="shared" ref="U12:V12" si="7">U11-U13</f>
        <v>91.292000000000002</v>
      </c>
      <c r="V12" s="339">
        <f t="shared" si="7"/>
        <v>89.292000000000002</v>
      </c>
      <c r="W12" s="339">
        <f t="shared" ref="W12:AB12" si="8">W11-W13</f>
        <v>91.49199999999999</v>
      </c>
      <c r="X12" s="339">
        <f t="shared" si="8"/>
        <v>89.269000000000005</v>
      </c>
      <c r="Y12" s="339">
        <f t="shared" si="8"/>
        <v>86.468999999999994</v>
      </c>
      <c r="Z12" s="339">
        <f t="shared" si="8"/>
        <v>84.069000000000003</v>
      </c>
      <c r="AA12" s="339">
        <f t="shared" si="8"/>
        <v>82.468999999999994</v>
      </c>
      <c r="AB12" s="339">
        <f t="shared" si="8"/>
        <v>78.536000000000001</v>
      </c>
      <c r="AC12" s="343">
        <f t="shared" ref="AC12:AF12" si="9">AB12</f>
        <v>78.536000000000001</v>
      </c>
      <c r="AD12" s="343">
        <f>AC12</f>
        <v>78.536000000000001</v>
      </c>
      <c r="AE12" s="343">
        <f t="shared" si="9"/>
        <v>78.536000000000001</v>
      </c>
      <c r="AF12" s="343">
        <f t="shared" si="9"/>
        <v>78.536000000000001</v>
      </c>
      <c r="AG12" s="343">
        <f>AF12</f>
        <v>78.536000000000001</v>
      </c>
      <c r="AH12" s="343">
        <f>AG12</f>
        <v>78.536000000000001</v>
      </c>
      <c r="AI12" s="343">
        <f>AH12</f>
        <v>78.536000000000001</v>
      </c>
      <c r="AJ12" s="343">
        <f>AI12</f>
        <v>78.536000000000001</v>
      </c>
      <c r="AK12" s="343">
        <f t="shared" ref="AK12:AN12" si="10">AJ12</f>
        <v>78.536000000000001</v>
      </c>
      <c r="AL12" s="343">
        <f t="shared" si="10"/>
        <v>78.536000000000001</v>
      </c>
      <c r="AM12" s="343">
        <f t="shared" si="10"/>
        <v>78.536000000000001</v>
      </c>
      <c r="AN12" s="343">
        <f t="shared" si="10"/>
        <v>78.536000000000001</v>
      </c>
    </row>
    <row r="13" spans="2:40" x14ac:dyDescent="0.35">
      <c r="B13" s="417" t="s">
        <v>404</v>
      </c>
      <c r="C13" s="55"/>
      <c r="D13" s="521"/>
      <c r="E13" s="55"/>
      <c r="F13" s="529"/>
      <c r="G13" s="529"/>
      <c r="H13" s="54">
        <f>SUM(H16:H25)</f>
        <v>0</v>
      </c>
      <c r="I13" s="54">
        <f>SUM(I16:I25)</f>
        <v>0</v>
      </c>
      <c r="J13" s="54">
        <f t="shared" ref="J13:S13" si="11">SUM(J16:J25)+J14</f>
        <v>989.5</v>
      </c>
      <c r="K13" s="54">
        <f t="shared" si="11"/>
        <v>1126.5999999999999</v>
      </c>
      <c r="L13" s="54">
        <f t="shared" si="11"/>
        <v>538.40000000000009</v>
      </c>
      <c r="M13" s="54">
        <f t="shared" si="11"/>
        <v>307.8</v>
      </c>
      <c r="N13" s="37">
        <f t="shared" si="11"/>
        <v>603.6</v>
      </c>
      <c r="O13" s="37">
        <f>SUM(O16:O25)+O14</f>
        <v>456.01648</v>
      </c>
      <c r="P13" s="37">
        <f>SUM(P16:P25)+P14</f>
        <v>204.9</v>
      </c>
      <c r="Q13" s="37">
        <f t="shared" si="11"/>
        <v>60.7</v>
      </c>
      <c r="R13" s="37">
        <f t="shared" si="11"/>
        <v>53.5</v>
      </c>
      <c r="S13" s="37">
        <f t="shared" si="11"/>
        <v>42.7</v>
      </c>
      <c r="T13" s="37">
        <f t="shared" ref="T13:AB13" si="12">SUM(T16:T27)+T14</f>
        <v>31.822000000000003</v>
      </c>
      <c r="U13" s="37">
        <f t="shared" si="12"/>
        <v>12.508000000000003</v>
      </c>
      <c r="V13" s="37">
        <f t="shared" si="12"/>
        <v>12.508000000000003</v>
      </c>
      <c r="W13" s="37">
        <f>SUM(W16:W27)+W14</f>
        <v>12.508000000000003</v>
      </c>
      <c r="X13" s="37">
        <f>SUM(X16:X27)+X14</f>
        <v>9.6310000000000002</v>
      </c>
      <c r="Y13" s="343">
        <f t="shared" si="12"/>
        <v>9.6310000000000002</v>
      </c>
      <c r="Z13" s="343">
        <f t="shared" si="12"/>
        <v>9.6310000000000002</v>
      </c>
      <c r="AA13" s="343">
        <f t="shared" si="12"/>
        <v>9.6310000000000002</v>
      </c>
      <c r="AB13" s="343">
        <f t="shared" si="12"/>
        <v>14.464</v>
      </c>
      <c r="AC13" s="343">
        <f>SUM(AC16:AC27)+AC14</f>
        <v>14.464</v>
      </c>
      <c r="AD13" s="343">
        <f t="shared" ref="AD13:AE13" si="13">SUM(AD16:AD27)+AD14</f>
        <v>6.4420000000000002</v>
      </c>
      <c r="AE13" s="343">
        <f t="shared" si="13"/>
        <v>6.4420000000000002</v>
      </c>
      <c r="AF13" s="343">
        <f t="shared" ref="AF13:AH13" si="14">SUM(AF16:AF27)+AF14</f>
        <v>9.532</v>
      </c>
      <c r="AG13" s="343">
        <f>SUM(AG16:AG27)+AG14</f>
        <v>9.532</v>
      </c>
      <c r="AH13" s="343">
        <f t="shared" si="14"/>
        <v>9.532</v>
      </c>
      <c r="AI13" s="343">
        <f t="shared" ref="AI13" si="15">SUM(AI16:AI27)+AI14</f>
        <v>9.532</v>
      </c>
      <c r="AJ13" s="343">
        <f>SUM(AJ16:AJ27)+AJ14</f>
        <v>9.532</v>
      </c>
      <c r="AK13" s="343">
        <f>SUM(AK16:AK27)+AK14</f>
        <v>9.532</v>
      </c>
      <c r="AL13" s="343">
        <f t="shared" ref="AL13:AN13" si="16">SUM(AL16:AL27)+AL14</f>
        <v>9.532</v>
      </c>
      <c r="AM13" s="343">
        <f t="shared" si="16"/>
        <v>9.532</v>
      </c>
      <c r="AN13" s="343">
        <f t="shared" si="16"/>
        <v>9.532</v>
      </c>
    </row>
    <row r="14" spans="2:40" x14ac:dyDescent="0.35">
      <c r="B14" s="360" t="s">
        <v>50</v>
      </c>
      <c r="C14" s="36" t="s">
        <v>328</v>
      </c>
      <c r="D14" s="357"/>
      <c r="E14" s="36"/>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9">
        <f>'Haver Pivoted'!HD49</f>
        <v>0</v>
      </c>
      <c r="T14" s="339">
        <f>'Haver Pivoted'!HE49</f>
        <v>0</v>
      </c>
      <c r="U14" s="339">
        <f>'Haver Pivoted'!HF49</f>
        <v>0</v>
      </c>
      <c r="V14" s="339">
        <f>'Haver Pivoted'!HG49</f>
        <v>0</v>
      </c>
      <c r="W14" s="539">
        <f>'Haver Pivoted'!HH49</f>
        <v>0</v>
      </c>
      <c r="X14" s="539">
        <f>'Haver Pivoted'!HI49</f>
        <v>0</v>
      </c>
      <c r="Y14" s="539">
        <f>'Haver Pivoted'!HJ49</f>
        <v>0</v>
      </c>
      <c r="Z14" s="539">
        <f>'Haver Pivoted'!HK49</f>
        <v>0</v>
      </c>
      <c r="AA14" s="539">
        <f>'Haver Pivoted'!HL49</f>
        <v>0</v>
      </c>
      <c r="AB14" s="539">
        <f>'Haver Pivoted'!HM49</f>
        <v>0</v>
      </c>
      <c r="AC14" s="209"/>
      <c r="AD14" s="209"/>
      <c r="AE14" s="209"/>
      <c r="AF14" s="209"/>
      <c r="AG14" s="209"/>
      <c r="AH14" s="209"/>
      <c r="AI14" s="209"/>
      <c r="AJ14" s="209"/>
      <c r="AK14" s="209"/>
      <c r="AL14" s="209"/>
      <c r="AM14" s="209"/>
      <c r="AN14" s="209"/>
    </row>
    <row r="15" spans="2:40" x14ac:dyDescent="0.35">
      <c r="B15" s="417" t="s">
        <v>405</v>
      </c>
      <c r="C15" s="55"/>
      <c r="D15" s="521"/>
      <c r="E15" s="55"/>
      <c r="F15" s="529"/>
      <c r="G15" s="529"/>
      <c r="H15" s="54">
        <f t="shared" ref="H15:AC15" si="17">SUM(H16:H25)</f>
        <v>0</v>
      </c>
      <c r="I15" s="54">
        <f t="shared" si="17"/>
        <v>0</v>
      </c>
      <c r="J15" s="54">
        <f t="shared" si="17"/>
        <v>412.6</v>
      </c>
      <c r="K15" s="54">
        <f t="shared" si="17"/>
        <v>307.10000000000002</v>
      </c>
      <c r="L15" s="54">
        <f t="shared" si="17"/>
        <v>292.10000000000002</v>
      </c>
      <c r="M15" s="54">
        <f t="shared" si="17"/>
        <v>110.8</v>
      </c>
      <c r="N15" s="54">
        <f t="shared" si="17"/>
        <v>162.4</v>
      </c>
      <c r="O15" s="54">
        <f t="shared" si="17"/>
        <v>179.31648000000001</v>
      </c>
      <c r="P15" s="54">
        <f>SUM(P16:P25)</f>
        <v>176.70000000000002</v>
      </c>
      <c r="Q15" s="54">
        <f t="shared" si="17"/>
        <v>60.7</v>
      </c>
      <c r="R15" s="54">
        <f t="shared" si="17"/>
        <v>53.5</v>
      </c>
      <c r="S15" s="54">
        <f t="shared" si="17"/>
        <v>42.7</v>
      </c>
      <c r="T15" s="54">
        <f t="shared" si="17"/>
        <v>28.200000000000003</v>
      </c>
      <c r="U15" s="54">
        <f t="shared" si="17"/>
        <v>8.886000000000001</v>
      </c>
      <c r="V15" s="54">
        <f t="shared" si="17"/>
        <v>8.886000000000001</v>
      </c>
      <c r="W15" s="397">
        <f t="shared" si="17"/>
        <v>8.886000000000001</v>
      </c>
      <c r="X15" s="54">
        <f t="shared" si="17"/>
        <v>0.2</v>
      </c>
      <c r="Y15" s="509">
        <f t="shared" si="17"/>
        <v>0.2</v>
      </c>
      <c r="Z15" s="509">
        <f t="shared" si="17"/>
        <v>0.2</v>
      </c>
      <c r="AA15" s="509">
        <f t="shared" si="17"/>
        <v>0.2</v>
      </c>
      <c r="AB15" s="509">
        <f t="shared" si="17"/>
        <v>0</v>
      </c>
      <c r="AC15" s="509">
        <f t="shared" si="17"/>
        <v>0</v>
      </c>
      <c r="AD15" s="509">
        <f t="shared" ref="AD15:AE15" si="18">SUM(AD16:AD25)</f>
        <v>0</v>
      </c>
      <c r="AE15" s="509">
        <f t="shared" si="18"/>
        <v>0</v>
      </c>
      <c r="AF15" s="509">
        <f t="shared" ref="AF15:AG15" si="19">SUM(AF16:AF25)</f>
        <v>0</v>
      </c>
      <c r="AG15" s="509">
        <f t="shared" si="19"/>
        <v>0</v>
      </c>
      <c r="AH15" s="509"/>
      <c r="AI15" s="509"/>
      <c r="AJ15" s="509"/>
      <c r="AK15" s="509"/>
      <c r="AL15" s="509"/>
      <c r="AM15" s="509"/>
      <c r="AN15" s="509"/>
    </row>
    <row r="16" spans="2:40" x14ac:dyDescent="0.35">
      <c r="B16" s="518" t="s">
        <v>145</v>
      </c>
      <c r="C16" s="39" t="s">
        <v>406</v>
      </c>
      <c r="D16" s="422"/>
      <c r="E16" s="39"/>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9">
        <f>'Haver Pivoted'!HD53</f>
        <v>0</v>
      </c>
      <c r="T16" s="339">
        <f>'Haver Pivoted'!HE53</f>
        <v>0</v>
      </c>
      <c r="U16" s="339">
        <f>'Haver Pivoted'!HF53</f>
        <v>0</v>
      </c>
      <c r="V16" s="339">
        <f>'Haver Pivoted'!HG53</f>
        <v>0</v>
      </c>
      <c r="W16" s="539">
        <f>'Haver Pivoted'!HH53</f>
        <v>0</v>
      </c>
      <c r="X16" s="539">
        <f>'Haver Pivoted'!HI53</f>
        <v>0</v>
      </c>
      <c r="Y16" s="539">
        <f>'Haver Pivoted'!HJ53</f>
        <v>0</v>
      </c>
      <c r="Z16" s="539">
        <f>'Haver Pivoted'!HK53</f>
        <v>0</v>
      </c>
      <c r="AA16" s="539">
        <f>'Haver Pivoted'!HL53</f>
        <v>0</v>
      </c>
      <c r="AB16" s="539">
        <f>'Haver Pivoted'!HM53</f>
        <v>0</v>
      </c>
      <c r="AC16" s="209"/>
      <c r="AD16" s="209"/>
      <c r="AE16" s="209"/>
      <c r="AF16" s="209"/>
      <c r="AG16" s="209"/>
      <c r="AH16" s="209"/>
      <c r="AI16" s="209"/>
      <c r="AJ16" s="209"/>
      <c r="AK16" s="209"/>
      <c r="AL16" s="209"/>
      <c r="AM16" s="209"/>
      <c r="AN16" s="209"/>
    </row>
    <row r="17" spans="2:40" x14ac:dyDescent="0.35">
      <c r="B17" s="518" t="s">
        <v>143</v>
      </c>
      <c r="C17" s="39" t="s">
        <v>407</v>
      </c>
      <c r="D17" s="422"/>
      <c r="E17" s="39"/>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9">
        <f>'Haver Pivoted'!HD51</f>
        <v>0</v>
      </c>
      <c r="T17" s="339">
        <f>'Haver Pivoted'!HE51</f>
        <v>0</v>
      </c>
      <c r="U17" s="339">
        <f>'Haver Pivoted'!HF51</f>
        <v>0</v>
      </c>
      <c r="V17" s="339">
        <f>'Haver Pivoted'!HG51</f>
        <v>0</v>
      </c>
      <c r="W17" s="539">
        <f>'Haver Pivoted'!HH51</f>
        <v>0</v>
      </c>
      <c r="X17" s="539">
        <f>'Haver Pivoted'!HI51</f>
        <v>0</v>
      </c>
      <c r="Y17" s="539">
        <f>'Haver Pivoted'!HJ51</f>
        <v>0</v>
      </c>
      <c r="Z17" s="539">
        <f>'Haver Pivoted'!HK51</f>
        <v>0</v>
      </c>
      <c r="AA17" s="539">
        <f>'Haver Pivoted'!HL51</f>
        <v>0</v>
      </c>
      <c r="AB17" s="539">
        <f>'Haver Pivoted'!HM51</f>
        <v>0</v>
      </c>
      <c r="AC17" s="343">
        <f t="shared" ref="AC17:AD17" si="20">AB17</f>
        <v>0</v>
      </c>
      <c r="AD17" s="343">
        <f t="shared" si="20"/>
        <v>0</v>
      </c>
      <c r="AE17" s="343">
        <f t="shared" ref="AE17" si="21">AD17</f>
        <v>0</v>
      </c>
      <c r="AF17" s="343">
        <f t="shared" ref="AF17" si="22">AE17</f>
        <v>0</v>
      </c>
      <c r="AG17" s="343">
        <f t="shared" ref="AG17:AH17" si="23">AF17</f>
        <v>0</v>
      </c>
      <c r="AH17" s="343">
        <f t="shared" si="23"/>
        <v>0</v>
      </c>
      <c r="AI17" s="343">
        <f t="shared" ref="AI17" si="24">AH17</f>
        <v>0</v>
      </c>
      <c r="AJ17" s="343">
        <f t="shared" ref="AJ17" si="25">AI17</f>
        <v>0</v>
      </c>
      <c r="AK17" s="343">
        <f t="shared" ref="AK17" si="26">AJ17</f>
        <v>0</v>
      </c>
      <c r="AL17" s="343">
        <f t="shared" ref="AL17" si="27">AK17</f>
        <v>0</v>
      </c>
      <c r="AM17" s="343">
        <f t="shared" ref="AM17" si="28">AL17</f>
        <v>0</v>
      </c>
      <c r="AN17" s="343">
        <f t="shared" ref="AN17" si="29">AM17</f>
        <v>0</v>
      </c>
    </row>
    <row r="18" spans="2:40" x14ac:dyDescent="0.35">
      <c r="B18" s="518" t="s">
        <v>142</v>
      </c>
      <c r="C18" s="36" t="s">
        <v>408</v>
      </c>
      <c r="D18" s="357"/>
      <c r="E18" s="36"/>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9">
        <f>'Haver Pivoted'!HD50</f>
        <v>0.3</v>
      </c>
      <c r="T18" s="339">
        <f>'Haver Pivoted'!HE50</f>
        <v>0.4</v>
      </c>
      <c r="U18" s="339">
        <f>'Haver Pivoted'!HF50</f>
        <v>0</v>
      </c>
      <c r="V18" s="339">
        <f>'Haver Pivoted'!HG50</f>
        <v>0</v>
      </c>
      <c r="W18" s="539">
        <f>'Haver Pivoted'!HH50</f>
        <v>0</v>
      </c>
      <c r="X18" s="539">
        <f>'Haver Pivoted'!HI50</f>
        <v>0</v>
      </c>
      <c r="Y18" s="539">
        <f>'Haver Pivoted'!HJ50</f>
        <v>0</v>
      </c>
      <c r="Z18" s="539">
        <f>'Haver Pivoted'!HK50</f>
        <v>0</v>
      </c>
      <c r="AA18" s="539">
        <f>'Haver Pivoted'!HL50</f>
        <v>0</v>
      </c>
      <c r="AB18" s="539">
        <f>'Haver Pivoted'!HM50</f>
        <v>0</v>
      </c>
      <c r="AC18" s="343">
        <f t="shared" ref="AC18" si="30">AC30</f>
        <v>0</v>
      </c>
      <c r="AD18" s="343">
        <f t="shared" ref="AD18:AE18" si="31">AD30</f>
        <v>0</v>
      </c>
      <c r="AE18" s="343">
        <f t="shared" si="31"/>
        <v>0</v>
      </c>
      <c r="AF18" s="343">
        <f t="shared" ref="AF18:AG18" si="32">AF30</f>
        <v>0</v>
      </c>
      <c r="AG18" s="343">
        <f t="shared" si="32"/>
        <v>0</v>
      </c>
      <c r="AH18" s="343">
        <f t="shared" ref="AH18:AJ18" si="33">AH30</f>
        <v>0</v>
      </c>
      <c r="AI18" s="343">
        <f t="shared" si="33"/>
        <v>0</v>
      </c>
      <c r="AJ18" s="343">
        <f t="shared" si="33"/>
        <v>0</v>
      </c>
      <c r="AK18" s="343">
        <f t="shared" ref="AK18:AN18" si="34">AK30</f>
        <v>0</v>
      </c>
      <c r="AL18" s="343">
        <f t="shared" si="34"/>
        <v>0</v>
      </c>
      <c r="AM18" s="343">
        <f t="shared" si="34"/>
        <v>0</v>
      </c>
      <c r="AN18" s="343">
        <f t="shared" si="34"/>
        <v>0</v>
      </c>
    </row>
    <row r="19" spans="2:40" x14ac:dyDescent="0.35">
      <c r="B19" s="518" t="s">
        <v>409</v>
      </c>
      <c r="C19" s="36" t="s">
        <v>308</v>
      </c>
      <c r="D19" s="357"/>
      <c r="E19" s="36"/>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9">
        <f>'Haver Pivoted'!HD54</f>
        <v>5.9</v>
      </c>
      <c r="T19" s="339">
        <f>'Haver Pivoted'!HE54</f>
        <v>3.6</v>
      </c>
      <c r="U19" s="339">
        <f>'Haver Pivoted'!HF54</f>
        <v>0</v>
      </c>
      <c r="V19" s="339">
        <f>'Haver Pivoted'!HG54</f>
        <v>0</v>
      </c>
      <c r="W19" s="539">
        <f>'Haver Pivoted'!HH54</f>
        <v>0</v>
      </c>
      <c r="X19" s="539">
        <f>'Haver Pivoted'!HI54</f>
        <v>0</v>
      </c>
      <c r="Y19" s="539">
        <f>'Haver Pivoted'!HJ54</f>
        <v>0</v>
      </c>
      <c r="Z19" s="539">
        <f>'Haver Pivoted'!HK54</f>
        <v>0</v>
      </c>
      <c r="AA19" s="539">
        <f>'Haver Pivoted'!HL54</f>
        <v>0</v>
      </c>
      <c r="AB19" s="539">
        <f>'Haver Pivoted'!HM54</f>
        <v>0</v>
      </c>
      <c r="AC19" s="209"/>
      <c r="AD19" s="209"/>
      <c r="AE19" s="209"/>
      <c r="AF19" s="209"/>
      <c r="AG19" s="209"/>
      <c r="AH19" s="209"/>
      <c r="AI19" s="209"/>
      <c r="AJ19" s="209"/>
      <c r="AK19" s="209"/>
      <c r="AL19" s="209"/>
      <c r="AM19" s="209"/>
      <c r="AN19" s="209"/>
    </row>
    <row r="20" spans="2:40" x14ac:dyDescent="0.35">
      <c r="B20" s="518" t="s">
        <v>144</v>
      </c>
      <c r="C20" s="36" t="s">
        <v>410</v>
      </c>
      <c r="D20" s="357"/>
      <c r="E20" s="36"/>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9">
        <f>'Haver Pivoted'!HD52</f>
        <v>20.2</v>
      </c>
      <c r="T20" s="339">
        <f>'Haver Pivoted'!HE52</f>
        <v>15.8</v>
      </c>
      <c r="U20" s="37">
        <f t="shared" ref="U20:AC20" si="35">U37</f>
        <v>0.48599999999999993</v>
      </c>
      <c r="V20" s="37">
        <f t="shared" si="35"/>
        <v>0.48599999999999993</v>
      </c>
      <c r="W20" s="397">
        <f t="shared" si="35"/>
        <v>0.48599999999999993</v>
      </c>
      <c r="X20" s="37">
        <f t="shared" si="35"/>
        <v>0</v>
      </c>
      <c r="Y20" s="343">
        <f t="shared" si="35"/>
        <v>0</v>
      </c>
      <c r="Z20" s="343">
        <f t="shared" si="35"/>
        <v>0</v>
      </c>
      <c r="AA20" s="343">
        <f t="shared" si="35"/>
        <v>0</v>
      </c>
      <c r="AB20" s="343">
        <f t="shared" si="35"/>
        <v>0</v>
      </c>
      <c r="AC20" s="343">
        <f t="shared" si="35"/>
        <v>0</v>
      </c>
      <c r="AD20" s="343">
        <f t="shared" ref="AD20:AE20" si="36">AD37</f>
        <v>0</v>
      </c>
      <c r="AE20" s="343">
        <f t="shared" si="36"/>
        <v>0</v>
      </c>
      <c r="AF20" s="343">
        <f t="shared" ref="AF20:AG20" si="37">AF37</f>
        <v>0</v>
      </c>
      <c r="AG20" s="343">
        <f t="shared" si="37"/>
        <v>0</v>
      </c>
      <c r="AH20" s="343">
        <f t="shared" ref="AH20:AJ20" si="38">AH37</f>
        <v>0</v>
      </c>
      <c r="AI20" s="343">
        <f t="shared" si="38"/>
        <v>0</v>
      </c>
      <c r="AJ20" s="343">
        <f t="shared" si="38"/>
        <v>0</v>
      </c>
      <c r="AK20" s="343">
        <f t="shared" ref="AK20:AN20" si="39">AK37</f>
        <v>0</v>
      </c>
      <c r="AL20" s="343">
        <f t="shared" si="39"/>
        <v>0</v>
      </c>
      <c r="AM20" s="343">
        <f t="shared" si="39"/>
        <v>0</v>
      </c>
      <c r="AN20" s="343">
        <f t="shared" si="39"/>
        <v>0</v>
      </c>
    </row>
    <row r="21" spans="2:40" x14ac:dyDescent="0.35">
      <c r="B21" s="518" t="s">
        <v>148</v>
      </c>
      <c r="C21" s="36" t="s">
        <v>411</v>
      </c>
      <c r="D21" s="357"/>
      <c r="E21" s="36"/>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9">
        <f>'Haver Pivoted'!HD55</f>
        <v>0</v>
      </c>
      <c r="T21" s="339">
        <f>'Haver Pivoted'!HE55</f>
        <v>0</v>
      </c>
      <c r="U21" s="339">
        <f>'Haver Pivoted'!HF55</f>
        <v>0</v>
      </c>
      <c r="V21" s="339">
        <f>'Haver Pivoted'!HG55</f>
        <v>0</v>
      </c>
      <c r="W21" s="539">
        <f>'Haver Pivoted'!HH55</f>
        <v>0</v>
      </c>
      <c r="X21" s="539">
        <f>'Haver Pivoted'!HI55</f>
        <v>0</v>
      </c>
      <c r="Y21" s="539">
        <f>'Haver Pivoted'!HJ55</f>
        <v>0</v>
      </c>
      <c r="Z21" s="539">
        <f>'Haver Pivoted'!HK55</f>
        <v>0</v>
      </c>
      <c r="AA21" s="539">
        <f>'Haver Pivoted'!HL55</f>
        <v>0</v>
      </c>
      <c r="AB21" s="539">
        <f>'Haver Pivoted'!HM55</f>
        <v>0</v>
      </c>
      <c r="AC21" s="343">
        <f t="shared" ref="AC21:AD21" si="40">AB21</f>
        <v>0</v>
      </c>
      <c r="AD21" s="343">
        <f t="shared" si="40"/>
        <v>0</v>
      </c>
      <c r="AE21" s="343">
        <f t="shared" ref="AE21" si="41">AD21</f>
        <v>0</v>
      </c>
      <c r="AF21" s="343">
        <f t="shared" ref="AF21" si="42">AE21</f>
        <v>0</v>
      </c>
      <c r="AG21" s="343">
        <f t="shared" ref="AG21:AH21" si="43">AF21</f>
        <v>0</v>
      </c>
      <c r="AH21" s="343">
        <f t="shared" si="43"/>
        <v>0</v>
      </c>
      <c r="AI21" s="343">
        <f t="shared" ref="AI21" si="44">AH21</f>
        <v>0</v>
      </c>
      <c r="AJ21" s="343">
        <f t="shared" ref="AJ21" si="45">AI21</f>
        <v>0</v>
      </c>
      <c r="AK21" s="343">
        <f t="shared" ref="AK21" si="46">AJ21</f>
        <v>0</v>
      </c>
      <c r="AL21" s="343">
        <f t="shared" ref="AL21" si="47">AK21</f>
        <v>0</v>
      </c>
      <c r="AM21" s="343">
        <f t="shared" ref="AM21" si="48">AL21</f>
        <v>0</v>
      </c>
      <c r="AN21" s="343">
        <f t="shared" ref="AN21" si="49">AM21</f>
        <v>0</v>
      </c>
    </row>
    <row r="22" spans="2:40" x14ac:dyDescent="0.35">
      <c r="B22" s="518" t="s">
        <v>412</v>
      </c>
      <c r="C22" s="36" t="s">
        <v>785</v>
      </c>
      <c r="D22" s="369"/>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9">
        <f>'Haver Pivoted'!HD87</f>
        <v>0</v>
      </c>
      <c r="T22" s="339">
        <f>'Haver Pivoted'!HE87</f>
        <v>0</v>
      </c>
      <c r="U22" s="339">
        <f>'Haver Pivoted'!HF87</f>
        <v>0</v>
      </c>
      <c r="V22" s="339">
        <f>'Haver Pivoted'!HG87</f>
        <v>0</v>
      </c>
      <c r="W22" s="539">
        <f>'Haver Pivoted'!HH87</f>
        <v>0</v>
      </c>
      <c r="X22" s="539">
        <f>'Haver Pivoted'!HI87</f>
        <v>0</v>
      </c>
      <c r="Y22" s="539">
        <f>'Haver Pivoted'!HJ87</f>
        <v>0</v>
      </c>
      <c r="Z22" s="539">
        <f>'Haver Pivoted'!HK87</f>
        <v>0</v>
      </c>
      <c r="AA22" s="539">
        <f>'Haver Pivoted'!HL87</f>
        <v>0</v>
      </c>
      <c r="AB22" s="539">
        <f>'Haver Pivoted'!HM87</f>
        <v>0</v>
      </c>
      <c r="AC22" s="343">
        <v>0</v>
      </c>
      <c r="AD22" s="343">
        <v>0</v>
      </c>
      <c r="AE22" s="343">
        <v>0</v>
      </c>
      <c r="AF22" s="343">
        <v>0</v>
      </c>
      <c r="AG22" s="343">
        <v>0</v>
      </c>
      <c r="AH22" s="343">
        <v>0</v>
      </c>
      <c r="AI22" s="343">
        <v>0</v>
      </c>
      <c r="AJ22" s="343">
        <v>0</v>
      </c>
      <c r="AK22" s="343">
        <v>0</v>
      </c>
      <c r="AL22" s="343">
        <v>0</v>
      </c>
      <c r="AM22" s="343">
        <v>0</v>
      </c>
      <c r="AN22" s="343">
        <v>0</v>
      </c>
    </row>
    <row r="23" spans="2:40" x14ac:dyDescent="0.35">
      <c r="B23" s="518" t="s">
        <v>413</v>
      </c>
      <c r="C23" s="36" t="s">
        <v>784</v>
      </c>
      <c r="D23" s="357"/>
      <c r="E23" s="36"/>
      <c r="F23" s="54"/>
      <c r="G23" s="530"/>
      <c r="H23" s="54"/>
      <c r="I23" s="54"/>
      <c r="J23" s="54"/>
      <c r="K23" s="54"/>
      <c r="L23" s="54"/>
      <c r="M23" s="54"/>
      <c r="N23" s="54">
        <f>'Haver Pivoted'!GY86</f>
        <v>21.4</v>
      </c>
      <c r="O23" s="54">
        <f>'Haver Pivoted'!GZ86</f>
        <v>57</v>
      </c>
      <c r="P23" s="54">
        <f>'Haver Pivoted'!HA86</f>
        <v>35.5</v>
      </c>
      <c r="Q23" s="54">
        <f>'Haver Pivoted'!HB86</f>
        <v>0</v>
      </c>
      <c r="R23" s="54">
        <f>'Haver Pivoted'!HC86</f>
        <v>0</v>
      </c>
      <c r="S23" s="339">
        <f>'Haver Pivoted'!HD86</f>
        <v>0</v>
      </c>
      <c r="T23" s="339">
        <f>'Haver Pivoted'!HE86</f>
        <v>0</v>
      </c>
      <c r="U23" s="339">
        <f>'Haver Pivoted'!HF86</f>
        <v>0</v>
      </c>
      <c r="V23" s="339">
        <f>'Haver Pivoted'!HG86</f>
        <v>0</v>
      </c>
      <c r="W23" s="539">
        <f>'Haver Pivoted'!HH86</f>
        <v>0</v>
      </c>
      <c r="X23" s="539">
        <f>'Haver Pivoted'!HI86</f>
        <v>0</v>
      </c>
      <c r="Y23" s="539">
        <f>'Haver Pivoted'!HJ86</f>
        <v>0</v>
      </c>
      <c r="Z23" s="539">
        <f>'Haver Pivoted'!HK86</f>
        <v>0</v>
      </c>
      <c r="AA23" s="539">
        <f>'Haver Pivoted'!HL86</f>
        <v>0</v>
      </c>
      <c r="AB23" s="539">
        <f>'Haver Pivoted'!HM86</f>
        <v>0</v>
      </c>
      <c r="AC23" s="343">
        <f t="shared" ref="AC23:AD23" si="50">AB23</f>
        <v>0</v>
      </c>
      <c r="AD23" s="343">
        <f t="shared" si="50"/>
        <v>0</v>
      </c>
      <c r="AE23" s="343">
        <f t="shared" ref="AE23" si="51">AD23</f>
        <v>0</v>
      </c>
      <c r="AF23" s="343">
        <f t="shared" ref="AF23" si="52">AE23</f>
        <v>0</v>
      </c>
      <c r="AG23" s="343">
        <f t="shared" ref="AG23:AH23" si="53">AF23</f>
        <v>0</v>
      </c>
      <c r="AH23" s="343">
        <f t="shared" si="53"/>
        <v>0</v>
      </c>
      <c r="AI23" s="343">
        <f t="shared" ref="AI23" si="54">AH23</f>
        <v>0</v>
      </c>
      <c r="AJ23" s="343">
        <f t="shared" ref="AJ23" si="55">AI23</f>
        <v>0</v>
      </c>
      <c r="AK23" s="343">
        <f t="shared" ref="AK23" si="56">AJ23</f>
        <v>0</v>
      </c>
      <c r="AL23" s="343">
        <f t="shared" ref="AL23" si="57">AK23</f>
        <v>0</v>
      </c>
      <c r="AM23" s="343">
        <f t="shared" ref="AM23" si="58">AL23</f>
        <v>0</v>
      </c>
      <c r="AN23" s="343">
        <f t="shared" ref="AN23" si="59">AM23</f>
        <v>0</v>
      </c>
    </row>
    <row r="24" spans="2:40" x14ac:dyDescent="0.35">
      <c r="B24" s="518" t="s">
        <v>414</v>
      </c>
      <c r="C24" s="36"/>
      <c r="D24" s="357"/>
      <c r="E24" s="36"/>
      <c r="F24" s="54"/>
      <c r="G24" s="54"/>
      <c r="H24" s="54"/>
      <c r="I24" s="54"/>
      <c r="J24" s="54"/>
      <c r="K24" s="54"/>
      <c r="L24" s="54"/>
      <c r="M24" s="54"/>
      <c r="N24" s="54"/>
      <c r="O24" s="37">
        <f>O41+O42</f>
        <v>12.51648</v>
      </c>
      <c r="P24" s="37">
        <f>P41+P42</f>
        <v>11.3</v>
      </c>
      <c r="Q24" s="37">
        <f t="shared" ref="Q24:AC24" si="60">Q41+Q42</f>
        <v>11.3</v>
      </c>
      <c r="R24" s="37">
        <f t="shared" si="60"/>
        <v>11.3</v>
      </c>
      <c r="S24" s="37">
        <f t="shared" si="60"/>
        <v>11.3</v>
      </c>
      <c r="T24" s="37">
        <f t="shared" si="60"/>
        <v>8.4</v>
      </c>
      <c r="U24" s="37">
        <f t="shared" si="60"/>
        <v>8.4</v>
      </c>
      <c r="V24" s="37">
        <f t="shared" si="60"/>
        <v>8.4</v>
      </c>
      <c r="W24" s="397">
        <f t="shared" si="60"/>
        <v>8.4</v>
      </c>
      <c r="X24" s="37">
        <f t="shared" si="60"/>
        <v>0.2</v>
      </c>
      <c r="Y24" s="343">
        <f t="shared" si="60"/>
        <v>0.2</v>
      </c>
      <c r="Z24" s="343">
        <f t="shared" si="60"/>
        <v>0.2</v>
      </c>
      <c r="AA24" s="343">
        <f t="shared" si="60"/>
        <v>0.2</v>
      </c>
      <c r="AB24" s="343">
        <f t="shared" si="60"/>
        <v>0</v>
      </c>
      <c r="AC24" s="343">
        <f t="shared" si="60"/>
        <v>0</v>
      </c>
      <c r="AD24" s="343">
        <f t="shared" ref="AD24:AE24" si="61">AD41+AD42</f>
        <v>0</v>
      </c>
      <c r="AE24" s="343">
        <f t="shared" si="61"/>
        <v>0</v>
      </c>
      <c r="AF24" s="343">
        <f t="shared" ref="AF24:AG24" si="62">AF41+AF42</f>
        <v>0</v>
      </c>
      <c r="AG24" s="343">
        <f t="shared" si="62"/>
        <v>0</v>
      </c>
      <c r="AH24" s="343">
        <f t="shared" ref="AH24:AJ24" si="63">AH41+AH42</f>
        <v>0</v>
      </c>
      <c r="AI24" s="343">
        <f t="shared" si="63"/>
        <v>0</v>
      </c>
      <c r="AJ24" s="343">
        <f t="shared" si="63"/>
        <v>0</v>
      </c>
      <c r="AK24" s="343">
        <f t="shared" ref="AK24:AN24" si="64">AK41+AK42</f>
        <v>0</v>
      </c>
      <c r="AL24" s="343">
        <f t="shared" si="64"/>
        <v>0</v>
      </c>
      <c r="AM24" s="343">
        <f t="shared" si="64"/>
        <v>0</v>
      </c>
      <c r="AN24" s="343">
        <f t="shared" si="64"/>
        <v>0</v>
      </c>
    </row>
    <row r="25" spans="2:40" x14ac:dyDescent="0.35">
      <c r="B25" s="518" t="s">
        <v>415</v>
      </c>
      <c r="C25" s="36"/>
      <c r="D25" s="357"/>
      <c r="E25" s="36"/>
      <c r="F25" s="37"/>
      <c r="G25" s="37"/>
      <c r="H25" s="231"/>
      <c r="I25" s="231"/>
      <c r="J25" s="231"/>
      <c r="K25" s="231"/>
      <c r="L25" s="231"/>
      <c r="M25" s="231"/>
      <c r="N25" s="37"/>
      <c r="O25" s="37">
        <f>O34</f>
        <v>12</v>
      </c>
      <c r="P25" s="37">
        <v>25</v>
      </c>
      <c r="Q25" s="37">
        <v>5</v>
      </c>
      <c r="R25" s="37">
        <v>5</v>
      </c>
      <c r="S25" s="37">
        <v>5</v>
      </c>
      <c r="T25" s="37">
        <f t="shared" ref="T25:AC25" si="65">T34</f>
        <v>0</v>
      </c>
      <c r="U25" s="37">
        <f t="shared" si="65"/>
        <v>0</v>
      </c>
      <c r="V25" s="37">
        <f t="shared" si="65"/>
        <v>0</v>
      </c>
      <c r="W25" s="397">
        <f t="shared" si="65"/>
        <v>0</v>
      </c>
      <c r="X25" s="37">
        <f t="shared" si="65"/>
        <v>0</v>
      </c>
      <c r="Y25" s="343">
        <f t="shared" si="65"/>
        <v>0</v>
      </c>
      <c r="Z25" s="343">
        <f t="shared" si="65"/>
        <v>0</v>
      </c>
      <c r="AA25" s="343">
        <f t="shared" si="65"/>
        <v>0</v>
      </c>
      <c r="AB25" s="343">
        <f t="shared" si="65"/>
        <v>0</v>
      </c>
      <c r="AC25" s="343">
        <f t="shared" si="65"/>
        <v>0</v>
      </c>
      <c r="AD25" s="343">
        <f t="shared" ref="AD25:AE25" si="66">AD34</f>
        <v>0</v>
      </c>
      <c r="AE25" s="343">
        <f t="shared" si="66"/>
        <v>0</v>
      </c>
      <c r="AF25" s="343">
        <f t="shared" ref="AF25:AG25" si="67">AF34</f>
        <v>0</v>
      </c>
      <c r="AG25" s="343">
        <f t="shared" si="67"/>
        <v>0</v>
      </c>
      <c r="AH25" s="343">
        <f t="shared" ref="AH25:AJ25" si="68">AH34</f>
        <v>0</v>
      </c>
      <c r="AI25" s="343">
        <f t="shared" si="68"/>
        <v>0</v>
      </c>
      <c r="AJ25" s="343">
        <f t="shared" si="68"/>
        <v>0</v>
      </c>
      <c r="AK25" s="343">
        <f t="shared" ref="AK25:AN25" si="69">AK34</f>
        <v>0</v>
      </c>
      <c r="AL25" s="343">
        <f t="shared" si="69"/>
        <v>0</v>
      </c>
      <c r="AM25" s="343">
        <f t="shared" si="69"/>
        <v>0</v>
      </c>
      <c r="AN25" s="343">
        <f t="shared" si="69"/>
        <v>0</v>
      </c>
    </row>
    <row r="26" spans="2:40" x14ac:dyDescent="0.35">
      <c r="B26" s="518" t="s">
        <v>1372</v>
      </c>
      <c r="C26" s="36"/>
      <c r="D26" s="357"/>
      <c r="E26" s="36"/>
      <c r="F26" s="37"/>
      <c r="G26" s="37"/>
      <c r="H26" s="231"/>
      <c r="I26" s="231"/>
      <c r="J26" s="231"/>
      <c r="K26" s="231"/>
      <c r="L26" s="231"/>
      <c r="M26" s="231"/>
      <c r="N26" s="37"/>
      <c r="O26" s="37"/>
      <c r="P26" s="37"/>
      <c r="Q26" s="37"/>
      <c r="R26" s="37"/>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0">
        <f>'IRA and CHIPS'!K198</f>
        <v>5.5830000000000002</v>
      </c>
      <c r="Z26" s="510">
        <f>'IRA and CHIPS'!L198</f>
        <v>5.5830000000000002</v>
      </c>
      <c r="AA26" s="510">
        <f>'IRA and CHIPS'!M198</f>
        <v>5.5830000000000002</v>
      </c>
      <c r="AB26" s="510">
        <f>'IRA and CHIPS'!N198</f>
        <v>8.0220000000000002</v>
      </c>
      <c r="AC26" s="510">
        <f>'IRA and CHIPS'!O198</f>
        <v>8.0220000000000002</v>
      </c>
      <c r="AD26" s="510">
        <f>'IRA and CHIPS'!P198</f>
        <v>0</v>
      </c>
      <c r="AE26" s="510">
        <f>'IRA and CHIPS'!Q198</f>
        <v>0</v>
      </c>
      <c r="AF26" s="510">
        <f>'IRA and CHIPS'!R198</f>
        <v>0</v>
      </c>
      <c r="AG26" s="510">
        <f>'IRA and CHIPS'!S198</f>
        <v>0</v>
      </c>
      <c r="AH26" s="510">
        <f>'IRA and CHIPS'!T198</f>
        <v>0</v>
      </c>
      <c r="AI26" s="510">
        <f>'IRA and CHIPS'!U198</f>
        <v>0</v>
      </c>
      <c r="AJ26" s="510">
        <f>'IRA and CHIPS'!V198</f>
        <v>0</v>
      </c>
      <c r="AK26" s="510">
        <f>'IRA and CHIPS'!W198</f>
        <v>0</v>
      </c>
      <c r="AL26" s="510">
        <f>'IRA and CHIPS'!X198</f>
        <v>0</v>
      </c>
      <c r="AM26" s="510">
        <f>'IRA and CHIPS'!Y198</f>
        <v>0</v>
      </c>
      <c r="AN26" s="510">
        <f>'IRA and CHIPS'!Z198</f>
        <v>0</v>
      </c>
    </row>
    <row r="27" spans="2:40" x14ac:dyDescent="0.35">
      <c r="B27" s="518" t="s">
        <v>1180</v>
      </c>
      <c r="C27" s="385"/>
      <c r="D27" s="383"/>
      <c r="E27" s="385"/>
      <c r="F27" s="390"/>
      <c r="G27" s="390"/>
      <c r="H27" s="489"/>
      <c r="I27" s="489"/>
      <c r="J27" s="489"/>
      <c r="K27" s="489"/>
      <c r="L27" s="489"/>
      <c r="M27" s="489"/>
      <c r="N27" s="390"/>
      <c r="O27" s="390"/>
      <c r="P27" s="390"/>
      <c r="Q27" s="390"/>
      <c r="R27" s="390"/>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19">
        <f>'IRA and CHIPS'!K187</f>
        <v>3.8479999999999999</v>
      </c>
      <c r="Z27" s="519">
        <f>'IRA and CHIPS'!L187</f>
        <v>3.8479999999999999</v>
      </c>
      <c r="AA27" s="519">
        <f>'IRA and CHIPS'!M187</f>
        <v>3.8479999999999999</v>
      </c>
      <c r="AB27" s="519">
        <f>'IRA and CHIPS'!N187</f>
        <v>6.4420000000000002</v>
      </c>
      <c r="AC27" s="519">
        <f>'IRA and CHIPS'!O187</f>
        <v>6.4420000000000002</v>
      </c>
      <c r="AD27" s="519">
        <f>'IRA and CHIPS'!P187</f>
        <v>6.4420000000000002</v>
      </c>
      <c r="AE27" s="519">
        <f>'IRA and CHIPS'!Q187</f>
        <v>6.4420000000000002</v>
      </c>
      <c r="AF27" s="519">
        <f>'IRA and CHIPS'!R187</f>
        <v>9.532</v>
      </c>
      <c r="AG27" s="519">
        <f>'IRA and CHIPS'!S187</f>
        <v>9.532</v>
      </c>
      <c r="AH27" s="519">
        <f>AG27</f>
        <v>9.532</v>
      </c>
      <c r="AI27" s="519">
        <f t="shared" ref="AI27:AJ27" si="70">AH27</f>
        <v>9.532</v>
      </c>
      <c r="AJ27" s="519">
        <f t="shared" si="70"/>
        <v>9.532</v>
      </c>
      <c r="AK27" s="519">
        <f t="shared" ref="AK27" si="71">AJ27</f>
        <v>9.532</v>
      </c>
      <c r="AL27" s="519">
        <f t="shared" ref="AL27" si="72">AK27</f>
        <v>9.532</v>
      </c>
      <c r="AM27" s="519">
        <f t="shared" ref="AM27" si="73">AL27</f>
        <v>9.532</v>
      </c>
      <c r="AN27" s="519">
        <f t="shared" ref="AN27" si="74">AM27</f>
        <v>9.532</v>
      </c>
    </row>
    <row r="28" spans="2:40" ht="15" customHeight="1" x14ac:dyDescent="0.35">
      <c r="B28" s="1331" t="s">
        <v>416</v>
      </c>
      <c r="C28" s="1332"/>
      <c r="D28" s="520"/>
      <c r="E28" s="494"/>
      <c r="F28" s="494"/>
      <c r="G28" s="494"/>
      <c r="H28" s="37"/>
      <c r="I28" s="37"/>
      <c r="J28" s="37"/>
      <c r="K28" s="37"/>
      <c r="L28" s="37"/>
      <c r="M28" s="37"/>
      <c r="N28" s="37"/>
      <c r="O28" s="37"/>
      <c r="P28" s="426"/>
      <c r="Q28" s="37"/>
      <c r="R28" s="37"/>
      <c r="S28" s="37"/>
      <c r="T28" s="37"/>
      <c r="U28" s="37"/>
      <c r="V28" s="499"/>
      <c r="W28" s="499"/>
      <c r="X28" s="499"/>
      <c r="Y28" s="503"/>
      <c r="Z28" s="503"/>
      <c r="AA28" s="503"/>
      <c r="AB28" s="503"/>
      <c r="AC28" s="503"/>
      <c r="AD28" s="209"/>
      <c r="AE28" s="511"/>
      <c r="AF28" s="511"/>
      <c r="AG28" s="209"/>
      <c r="AH28" s="209"/>
      <c r="AI28" s="209"/>
      <c r="AJ28" s="209"/>
      <c r="AK28" s="209"/>
      <c r="AL28" s="209"/>
      <c r="AM28" s="209"/>
      <c r="AN28" s="209"/>
    </row>
    <row r="29" spans="2:40" x14ac:dyDescent="0.35">
      <c r="B29" s="417" t="s">
        <v>417</v>
      </c>
      <c r="C29" s="271"/>
      <c r="D29" s="474"/>
      <c r="E29" s="271"/>
      <c r="F29" s="231"/>
      <c r="G29" s="231"/>
      <c r="H29" s="37"/>
      <c r="I29" s="37"/>
      <c r="J29" s="37"/>
      <c r="K29" s="37"/>
      <c r="L29" s="37"/>
      <c r="M29" s="37"/>
      <c r="N29" s="37">
        <f>SUM(N30:N34)</f>
        <v>23</v>
      </c>
      <c r="O29" s="37">
        <f>SUM(O30:O34)</f>
        <v>162</v>
      </c>
      <c r="P29" s="37"/>
      <c r="Q29" s="37"/>
      <c r="R29" s="37"/>
      <c r="S29" s="37"/>
      <c r="T29" s="37"/>
      <c r="U29" s="37"/>
      <c r="V29" s="56"/>
      <c r="W29" s="56"/>
      <c r="X29" s="56"/>
      <c r="Y29" s="209"/>
      <c r="Z29" s="209"/>
      <c r="AA29" s="209"/>
      <c r="AB29" s="209"/>
      <c r="AC29" s="209"/>
      <c r="AD29" s="209"/>
      <c r="AE29" s="511"/>
      <c r="AF29" s="511"/>
      <c r="AG29" s="209"/>
      <c r="AH29" s="209"/>
      <c r="AI29" s="209"/>
      <c r="AJ29" s="209"/>
      <c r="AK29" s="209"/>
      <c r="AL29" s="209"/>
      <c r="AM29" s="209"/>
      <c r="AN29" s="209"/>
    </row>
    <row r="30" spans="2:40" x14ac:dyDescent="0.35">
      <c r="B30" s="360" t="s">
        <v>418</v>
      </c>
      <c r="C30" s="271"/>
      <c r="D30" s="474"/>
      <c r="E30" s="271"/>
      <c r="F30" s="231"/>
      <c r="G30" s="231"/>
      <c r="H30" s="37"/>
      <c r="I30" s="37"/>
      <c r="J30" s="37"/>
      <c r="K30" s="37"/>
      <c r="L30" s="524"/>
      <c r="M30" s="37"/>
      <c r="N30" s="37">
        <f>(4*'Response and Relief Act Score'!$F$15-$M$18)/2</f>
        <v>11</v>
      </c>
      <c r="O30" s="37">
        <f>(4*'Response and Relief Act Score'!$F$15-$M$18)/2</f>
        <v>11</v>
      </c>
      <c r="P30" s="37"/>
      <c r="Q30" s="37"/>
      <c r="R30" s="37"/>
      <c r="S30" s="37"/>
      <c r="T30" s="37"/>
      <c r="U30" s="37"/>
      <c r="V30" s="56"/>
      <c r="W30" s="56"/>
      <c r="X30" s="56"/>
      <c r="Y30" s="209"/>
      <c r="Z30" s="209"/>
      <c r="AA30" s="209"/>
      <c r="AB30" s="209"/>
      <c r="AC30" s="209"/>
      <c r="AD30" s="209"/>
      <c r="AE30" s="511"/>
      <c r="AF30" s="511"/>
      <c r="AG30" s="209"/>
      <c r="AH30" s="209"/>
      <c r="AI30" s="209"/>
      <c r="AJ30" s="209"/>
      <c r="AK30" s="209"/>
      <c r="AL30" s="209"/>
      <c r="AM30" s="209"/>
      <c r="AN30" s="209"/>
    </row>
    <row r="31" spans="2:40" x14ac:dyDescent="0.35">
      <c r="B31" s="360" t="s">
        <v>415</v>
      </c>
      <c r="C31" s="271"/>
      <c r="D31" s="474"/>
      <c r="E31" s="271"/>
      <c r="F31" s="231"/>
      <c r="G31" s="231"/>
      <c r="H31" s="37"/>
      <c r="I31" s="37"/>
      <c r="J31" s="37"/>
      <c r="K31" s="37"/>
      <c r="L31" s="524"/>
      <c r="M31" s="37"/>
      <c r="N31" s="37"/>
      <c r="O31" s="37"/>
      <c r="P31" s="37"/>
      <c r="Q31" s="37"/>
      <c r="R31" s="37"/>
      <c r="S31" s="37"/>
      <c r="T31" s="37"/>
      <c r="U31" s="37"/>
      <c r="V31" s="56"/>
      <c r="W31" s="56"/>
      <c r="X31" s="56"/>
      <c r="Y31" s="209"/>
      <c r="Z31" s="209"/>
      <c r="AA31" s="209"/>
      <c r="AB31" s="209"/>
      <c r="AC31" s="209"/>
      <c r="AD31" s="209"/>
      <c r="AE31" s="511"/>
      <c r="AF31" s="511"/>
      <c r="AG31" s="209"/>
      <c r="AH31" s="209"/>
      <c r="AI31" s="209"/>
      <c r="AJ31" s="209"/>
      <c r="AK31" s="209"/>
      <c r="AL31" s="209"/>
      <c r="AM31" s="209"/>
      <c r="AN31" s="209"/>
    </row>
    <row r="32" spans="2:40" x14ac:dyDescent="0.35">
      <c r="B32" s="537" t="s">
        <v>412</v>
      </c>
      <c r="C32" s="271"/>
      <c r="D32" s="474"/>
      <c r="E32" s="271"/>
      <c r="F32" s="231"/>
      <c r="G32" s="231"/>
      <c r="H32" s="37"/>
      <c r="I32" s="37"/>
      <c r="J32" s="37"/>
      <c r="K32" s="37"/>
      <c r="L32" s="37"/>
      <c r="M32" s="37"/>
      <c r="N32" s="37"/>
      <c r="O32" s="37">
        <v>79</v>
      </c>
      <c r="P32" s="37"/>
      <c r="Q32" s="397"/>
      <c r="R32" s="397"/>
      <c r="S32" s="397"/>
      <c r="T32" s="397"/>
      <c r="U32" s="397"/>
      <c r="V32" s="56"/>
      <c r="W32" s="56"/>
      <c r="X32" s="56"/>
      <c r="Y32" s="209"/>
      <c r="Z32" s="209"/>
      <c r="AA32" s="209"/>
      <c r="AB32" s="209"/>
      <c r="AC32" s="209"/>
      <c r="AD32" s="209"/>
      <c r="AE32" s="511"/>
      <c r="AF32" s="511"/>
      <c r="AG32" s="209"/>
      <c r="AH32" s="209"/>
      <c r="AI32" s="209"/>
      <c r="AJ32" s="209"/>
      <c r="AK32" s="209"/>
      <c r="AL32" s="209"/>
      <c r="AM32" s="209"/>
      <c r="AN32" s="209"/>
    </row>
    <row r="33" spans="1:79" x14ac:dyDescent="0.35">
      <c r="B33" s="538" t="s">
        <v>419</v>
      </c>
      <c r="C33" s="271"/>
      <c r="D33" s="474"/>
      <c r="E33" s="271"/>
      <c r="F33" s="231"/>
      <c r="G33" s="231"/>
      <c r="H33" s="37"/>
      <c r="I33" s="37"/>
      <c r="J33" s="37"/>
      <c r="K33" s="37"/>
      <c r="L33" s="37"/>
      <c r="M33" s="37"/>
      <c r="N33" s="37"/>
      <c r="O33" s="37">
        <f>'Response and Relief Act Score'!F13*4</f>
        <v>60</v>
      </c>
      <c r="P33" s="37"/>
      <c r="Q33" s="397"/>
      <c r="R33" s="397"/>
      <c r="S33" s="397"/>
      <c r="T33" s="397"/>
      <c r="U33" s="397"/>
      <c r="V33" s="56"/>
      <c r="W33" s="56"/>
      <c r="X33" s="56"/>
      <c r="Y33" s="209"/>
      <c r="Z33" s="209"/>
      <c r="AA33" s="209"/>
      <c r="AB33" s="209"/>
      <c r="AC33" s="209"/>
      <c r="AD33" s="209"/>
      <c r="AE33" s="511"/>
      <c r="AF33" s="511"/>
      <c r="AG33" s="209"/>
      <c r="AH33" s="209"/>
      <c r="AI33" s="209"/>
      <c r="AJ33" s="209"/>
      <c r="AK33" s="209"/>
      <c r="AL33" s="209"/>
      <c r="AM33" s="209"/>
      <c r="AN33" s="209"/>
    </row>
    <row r="34" spans="1:79" ht="27.65" customHeight="1" x14ac:dyDescent="0.35">
      <c r="B34" s="538" t="s">
        <v>420</v>
      </c>
      <c r="C34" s="271"/>
      <c r="D34" s="522"/>
      <c r="E34" s="523"/>
      <c r="F34" s="489"/>
      <c r="G34" s="489"/>
      <c r="H34" s="390"/>
      <c r="I34" s="390"/>
      <c r="J34" s="390"/>
      <c r="K34" s="390"/>
      <c r="L34" s="528"/>
      <c r="M34" s="390"/>
      <c r="N34" s="390">
        <f>'Response and Relief Act Score'!F14*4/2</f>
        <v>12</v>
      </c>
      <c r="O34" s="390">
        <f>'Response and Relief Act Score'!F14*4/2</f>
        <v>12</v>
      </c>
      <c r="P34" s="390"/>
      <c r="Q34" s="390"/>
      <c r="R34" s="390"/>
      <c r="S34" s="390"/>
      <c r="T34" s="390"/>
      <c r="U34" s="37"/>
      <c r="V34" s="56"/>
      <c r="W34" s="56"/>
      <c r="X34" s="56"/>
      <c r="Y34" s="209"/>
      <c r="Z34" s="209"/>
      <c r="AA34" s="209"/>
      <c r="AB34" s="209"/>
      <c r="AC34" s="209"/>
      <c r="AD34" s="209"/>
      <c r="AE34" s="511"/>
      <c r="AF34" s="511"/>
      <c r="AG34" s="209"/>
      <c r="AH34" s="209"/>
      <c r="AI34" s="209"/>
      <c r="AJ34" s="209"/>
      <c r="AK34" s="209"/>
      <c r="AL34" s="209"/>
      <c r="AM34" s="209"/>
      <c r="AN34" s="209"/>
    </row>
    <row r="35" spans="1:79" ht="15" customHeight="1" x14ac:dyDescent="0.35">
      <c r="B35" s="1329" t="s">
        <v>421</v>
      </c>
      <c r="C35" s="1330"/>
      <c r="D35" s="474"/>
      <c r="E35" s="271"/>
      <c r="F35" s="231"/>
      <c r="G35" s="231"/>
      <c r="H35" s="37"/>
      <c r="I35" s="37"/>
      <c r="J35" s="37"/>
      <c r="K35" s="37"/>
      <c r="L35" s="524"/>
      <c r="M35" s="37"/>
      <c r="N35" s="37"/>
      <c r="O35" s="37"/>
      <c r="P35" s="37"/>
      <c r="Q35" s="37"/>
      <c r="R35" s="37"/>
      <c r="S35" s="37"/>
      <c r="T35" s="495"/>
      <c r="U35" s="505"/>
      <c r="V35" s="499"/>
      <c r="W35" s="499"/>
      <c r="X35" s="499"/>
      <c r="Y35" s="503"/>
      <c r="Z35" s="503"/>
      <c r="AA35" s="503"/>
      <c r="AB35" s="503"/>
      <c r="AC35" s="503"/>
      <c r="AD35" s="209"/>
      <c r="AE35" s="511"/>
      <c r="AF35" s="511"/>
      <c r="AG35" s="209"/>
      <c r="AH35" s="209"/>
      <c r="AI35" s="209"/>
      <c r="AJ35" s="209"/>
      <c r="AK35" s="209"/>
      <c r="AL35" s="209"/>
      <c r="AM35" s="209"/>
      <c r="AN35" s="209"/>
    </row>
    <row r="36" spans="1:79" ht="13.5" customHeight="1" x14ac:dyDescent="0.35">
      <c r="B36" s="538" t="s">
        <v>143</v>
      </c>
      <c r="C36" s="271"/>
      <c r="D36" s="474"/>
      <c r="E36" s="271"/>
      <c r="F36" s="231"/>
      <c r="G36" s="231"/>
      <c r="H36" s="37"/>
      <c r="I36" s="37"/>
      <c r="J36" s="37"/>
      <c r="K36" s="37"/>
      <c r="L36" s="52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3">
        <f>'ARP Quarterly'!O18</f>
        <v>0</v>
      </c>
      <c r="Z36" s="343">
        <f>'ARP Quarterly'!P18</f>
        <v>0</v>
      </c>
      <c r="AA36" s="343">
        <f>'ARP Quarterly'!Q18</f>
        <v>0</v>
      </c>
      <c r="AB36" s="343">
        <f>'ARP Quarterly'!R18</f>
        <v>0</v>
      </c>
      <c r="AC36" s="343">
        <f>'ARP Quarterly'!S18</f>
        <v>0</v>
      </c>
      <c r="AD36" s="209"/>
      <c r="AE36" s="511"/>
      <c r="AF36" s="511"/>
      <c r="AG36" s="209"/>
      <c r="AH36" s="209"/>
      <c r="AI36" s="209"/>
      <c r="AJ36" s="209"/>
      <c r="AK36" s="209"/>
      <c r="AL36" s="209"/>
      <c r="AM36" s="209"/>
      <c r="AN36" s="209"/>
    </row>
    <row r="37" spans="1:79" x14ac:dyDescent="0.35">
      <c r="B37" s="538" t="s">
        <v>422</v>
      </c>
      <c r="C37" s="271"/>
      <c r="D37" s="474"/>
      <c r="E37" s="271"/>
      <c r="F37" s="231"/>
      <c r="G37" s="231"/>
      <c r="H37" s="37"/>
      <c r="I37" s="37"/>
      <c r="J37" s="37"/>
      <c r="K37" s="37"/>
      <c r="L37" s="52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3">
        <f>'ARP Quarterly'!O19</f>
        <v>0</v>
      </c>
      <c r="Z37" s="343">
        <f>'ARP Quarterly'!P19</f>
        <v>0</v>
      </c>
      <c r="AA37" s="343">
        <f>'ARP Quarterly'!Q19</f>
        <v>0</v>
      </c>
      <c r="AB37" s="343">
        <f>'ARP Quarterly'!R19</f>
        <v>0</v>
      </c>
      <c r="AC37" s="343">
        <f>'ARP Quarterly'!S19</f>
        <v>0</v>
      </c>
      <c r="AD37" s="209"/>
      <c r="AE37" s="511"/>
      <c r="AF37" s="511"/>
      <c r="AG37" s="209"/>
      <c r="AH37" s="209"/>
      <c r="AI37" s="209"/>
      <c r="AJ37" s="209"/>
      <c r="AK37" s="209"/>
      <c r="AL37" s="209"/>
      <c r="AM37" s="209"/>
      <c r="AN37" s="209"/>
    </row>
    <row r="38" spans="1:79" x14ac:dyDescent="0.35">
      <c r="B38" s="538" t="s">
        <v>148</v>
      </c>
      <c r="C38" s="271"/>
      <c r="D38" s="474"/>
      <c r="E38" s="271"/>
      <c r="F38" s="231"/>
      <c r="G38" s="231"/>
      <c r="H38" s="37"/>
      <c r="I38" s="37"/>
      <c r="J38" s="37"/>
      <c r="K38" s="37"/>
      <c r="L38" s="52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3">
        <f>'ARP Quarterly'!O20</f>
        <v>0</v>
      </c>
      <c r="Z38" s="343">
        <f>'ARP Quarterly'!P20</f>
        <v>0</v>
      </c>
      <c r="AA38" s="343">
        <f>'ARP Quarterly'!Q20</f>
        <v>0</v>
      </c>
      <c r="AB38" s="343">
        <f>'ARP Quarterly'!R20</f>
        <v>0</v>
      </c>
      <c r="AC38" s="343">
        <f>'ARP Quarterly'!S20</f>
        <v>0</v>
      </c>
      <c r="AD38" s="209"/>
      <c r="AE38" s="511"/>
      <c r="AF38" s="511"/>
      <c r="AG38" s="209"/>
      <c r="AH38" s="209"/>
      <c r="AI38" s="209"/>
      <c r="AJ38" s="209"/>
      <c r="AK38" s="209"/>
      <c r="AL38" s="209"/>
      <c r="AM38" s="209"/>
      <c r="AN38" s="209"/>
    </row>
    <row r="39" spans="1:79" x14ac:dyDescent="0.35">
      <c r="B39" s="538" t="s">
        <v>412</v>
      </c>
      <c r="C39" s="271"/>
      <c r="D39" s="474"/>
      <c r="E39" s="271"/>
      <c r="F39" s="231"/>
      <c r="G39" s="231"/>
      <c r="H39" s="37"/>
      <c r="I39" s="37"/>
      <c r="J39" s="37"/>
      <c r="K39" s="37"/>
      <c r="L39" s="52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3">
        <f>'ARP Quarterly'!O21</f>
        <v>0</v>
      </c>
      <c r="Z39" s="343">
        <f>'ARP Quarterly'!P21</f>
        <v>0</v>
      </c>
      <c r="AA39" s="343">
        <f>'ARP Quarterly'!Q21</f>
        <v>0</v>
      </c>
      <c r="AB39" s="343">
        <f>'ARP Quarterly'!R21</f>
        <v>0</v>
      </c>
      <c r="AC39" s="343">
        <f>'ARP Quarterly'!S21</f>
        <v>0</v>
      </c>
      <c r="AD39" s="209"/>
      <c r="AE39" s="511"/>
      <c r="AF39" s="511"/>
      <c r="AG39" s="209"/>
      <c r="AH39" s="209"/>
      <c r="AI39" s="209"/>
      <c r="AJ39" s="209"/>
      <c r="AK39" s="209"/>
      <c r="AL39" s="209"/>
      <c r="AM39" s="209"/>
      <c r="AN39" s="209"/>
    </row>
    <row r="40" spans="1:79" ht="30" customHeight="1" x14ac:dyDescent="0.35">
      <c r="B40" s="538" t="s">
        <v>423</v>
      </c>
      <c r="C40" s="271"/>
      <c r="D40" s="474"/>
      <c r="E40" s="271"/>
      <c r="F40" s="231"/>
      <c r="G40" s="231"/>
      <c r="H40" s="37"/>
      <c r="I40" s="37"/>
      <c r="J40" s="37"/>
      <c r="K40" s="37"/>
      <c r="L40" s="52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3">
        <f>'ARP Quarterly'!O22</f>
        <v>0</v>
      </c>
      <c r="Z40" s="343">
        <f>'ARP Quarterly'!P22</f>
        <v>0</v>
      </c>
      <c r="AA40" s="343">
        <f>'ARP Quarterly'!Q22</f>
        <v>0</v>
      </c>
      <c r="AB40" s="343">
        <f>'ARP Quarterly'!R22</f>
        <v>0</v>
      </c>
      <c r="AC40" s="343">
        <f>'ARP Quarterly'!S22</f>
        <v>0</v>
      </c>
      <c r="AD40" s="209"/>
      <c r="AE40" s="511"/>
      <c r="AF40" s="511"/>
      <c r="AG40" s="209"/>
      <c r="AH40" s="209"/>
      <c r="AI40" s="209"/>
      <c r="AJ40" s="209"/>
      <c r="AK40" s="209"/>
      <c r="AL40" s="209"/>
      <c r="AM40" s="209"/>
      <c r="AN40" s="209"/>
    </row>
    <row r="41" spans="1:79" x14ac:dyDescent="0.35">
      <c r="B41" s="538" t="s">
        <v>424</v>
      </c>
      <c r="C41" s="271"/>
      <c r="D41" s="474"/>
      <c r="E41" s="271"/>
      <c r="F41" s="231"/>
      <c r="G41" s="231"/>
      <c r="H41" s="37"/>
      <c r="I41" s="37"/>
      <c r="J41" s="37"/>
      <c r="K41" s="37"/>
      <c r="L41" s="52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3">
        <f>'ARP Quarterly'!O23</f>
        <v>0.2</v>
      </c>
      <c r="Z41" s="343">
        <f>'ARP Quarterly'!P23</f>
        <v>0.2</v>
      </c>
      <c r="AA41" s="343">
        <f>'ARP Quarterly'!Q23</f>
        <v>0.2</v>
      </c>
      <c r="AB41" s="343">
        <f>'ARP Quarterly'!R23</f>
        <v>0</v>
      </c>
      <c r="AC41" s="343">
        <f>'ARP Quarterly'!S23</f>
        <v>0</v>
      </c>
      <c r="AD41" s="209"/>
      <c r="AE41" s="511"/>
      <c r="AF41" s="511"/>
      <c r="AG41" s="209"/>
      <c r="AH41" s="209"/>
      <c r="AI41" s="209"/>
      <c r="AJ41" s="209"/>
      <c r="AK41" s="209"/>
      <c r="AL41" s="209"/>
      <c r="AM41" s="209"/>
      <c r="AN41" s="209"/>
    </row>
    <row r="42" spans="1:79" x14ac:dyDescent="0.35">
      <c r="B42" s="538" t="s">
        <v>425</v>
      </c>
      <c r="C42" s="271"/>
      <c r="D42" s="474"/>
      <c r="E42" s="271"/>
      <c r="F42" s="231"/>
      <c r="G42" s="231"/>
      <c r="H42" s="37"/>
      <c r="I42" s="37"/>
      <c r="J42" s="37"/>
      <c r="K42" s="37"/>
      <c r="L42" s="52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3">
        <v>0</v>
      </c>
      <c r="Z42" s="343">
        <v>0</v>
      </c>
      <c r="AA42" s="343">
        <v>0</v>
      </c>
      <c r="AB42" s="343">
        <v>0</v>
      </c>
      <c r="AC42" s="343">
        <v>0</v>
      </c>
      <c r="AD42" s="209"/>
      <c r="AE42" s="511"/>
      <c r="AF42" s="511"/>
      <c r="AG42" s="209"/>
      <c r="AH42" s="209"/>
      <c r="AI42" s="209"/>
      <c r="AJ42" s="209"/>
      <c r="AK42" s="209"/>
      <c r="AL42" s="209"/>
      <c r="AM42" s="209"/>
      <c r="AN42" s="209"/>
    </row>
    <row r="43" spans="1:79" x14ac:dyDescent="0.35">
      <c r="B43" s="538" t="s">
        <v>311</v>
      </c>
      <c r="C43" s="271"/>
      <c r="D43" s="522"/>
      <c r="E43" s="523"/>
      <c r="F43" s="489"/>
      <c r="G43" s="489"/>
      <c r="H43" s="390"/>
      <c r="I43" s="390"/>
      <c r="J43" s="390"/>
      <c r="K43" s="390"/>
      <c r="L43" s="528"/>
      <c r="M43" s="390">
        <f>'ARP Quarterly'!C25</f>
        <v>0</v>
      </c>
      <c r="N43" s="390">
        <f>'ARP Quarterly'!D25</f>
        <v>58.782959999999996</v>
      </c>
      <c r="O43" s="390">
        <f>'ARP Quarterly'!E25</f>
        <v>267.78904000000006</v>
      </c>
      <c r="P43" s="390">
        <f>'ARP Quarterly'!F25</f>
        <v>110.24799999999999</v>
      </c>
      <c r="Q43" s="390">
        <f>'ARP Quarterly'!G25</f>
        <v>110.24799999999999</v>
      </c>
      <c r="R43" s="390">
        <f>'ARP Quarterly'!H25</f>
        <v>110.24799999999999</v>
      </c>
      <c r="S43" s="390">
        <f>'ARP Quarterly'!I25</f>
        <v>110.24799999999999</v>
      </c>
      <c r="T43" s="390">
        <f>'ARP Quarterly'!J25</f>
        <v>12.362</v>
      </c>
      <c r="U43" s="37">
        <f>'ARP Quarterly'!K25</f>
        <v>12.362</v>
      </c>
      <c r="V43" s="37">
        <f>'ARP Quarterly'!L25</f>
        <v>12.362</v>
      </c>
      <c r="W43" s="37">
        <f>'ARP Quarterly'!M25</f>
        <v>12.362</v>
      </c>
      <c r="X43" s="37">
        <f>'ARP Quarterly'!N25</f>
        <v>-0.67500000000000004</v>
      </c>
      <c r="Y43" s="343">
        <f>'ARP Quarterly'!O25</f>
        <v>-0.67500000000000004</v>
      </c>
      <c r="Z43" s="343">
        <f>'ARP Quarterly'!P25</f>
        <v>-0.67500000000000004</v>
      </c>
      <c r="AA43" s="343">
        <f>'ARP Quarterly'!Q25</f>
        <v>-0.67500000000000004</v>
      </c>
      <c r="AB43" s="343">
        <f>'ARP Quarterly'!R25</f>
        <v>0</v>
      </c>
      <c r="AC43" s="343">
        <f>'ARP Quarterly'!S25</f>
        <v>0</v>
      </c>
      <c r="AD43" s="209"/>
      <c r="AE43" s="511"/>
      <c r="AF43" s="511"/>
      <c r="AG43" s="209"/>
      <c r="AH43" s="209"/>
      <c r="AI43" s="209"/>
      <c r="AJ43" s="209"/>
      <c r="AK43" s="209"/>
      <c r="AL43" s="209"/>
      <c r="AM43" s="209"/>
      <c r="AN43" s="209"/>
    </row>
    <row r="44" spans="1:79" ht="15" customHeight="1" x14ac:dyDescent="0.35">
      <c r="B44" s="1329" t="s">
        <v>426</v>
      </c>
      <c r="C44" s="1330"/>
      <c r="D44" s="521"/>
      <c r="E44" s="55"/>
      <c r="F44" s="231"/>
      <c r="G44" s="231"/>
      <c r="H44" s="37"/>
      <c r="I44" s="37"/>
      <c r="J44" s="37"/>
      <c r="K44" s="37"/>
      <c r="L44" s="524"/>
      <c r="M44" s="37"/>
      <c r="N44" s="37"/>
      <c r="O44" s="37"/>
      <c r="P44" s="37"/>
      <c r="Q44" s="37"/>
      <c r="R44" s="37"/>
      <c r="S44" s="37"/>
      <c r="T44" s="37"/>
      <c r="U44" s="505"/>
      <c r="V44" s="499"/>
      <c r="W44" s="499"/>
      <c r="X44" s="499"/>
      <c r="Y44" s="503"/>
      <c r="Z44" s="503"/>
      <c r="AA44" s="503"/>
      <c r="AB44" s="503"/>
      <c r="AC44" s="503"/>
      <c r="AD44" s="209"/>
      <c r="AE44" s="511"/>
      <c r="AF44" s="511"/>
      <c r="AG44" s="209"/>
      <c r="AH44" s="209"/>
      <c r="AI44" s="209"/>
      <c r="AJ44" s="209"/>
      <c r="AK44" s="209"/>
      <c r="AL44" s="209"/>
      <c r="AM44" s="209"/>
      <c r="AN44" s="209"/>
    </row>
    <row r="45" spans="1:79" ht="21" customHeight="1" x14ac:dyDescent="0.35">
      <c r="B45" s="421" t="s">
        <v>427</v>
      </c>
      <c r="C45" s="525"/>
      <c r="D45" s="421"/>
      <c r="E45" s="525"/>
      <c r="F45" s="488"/>
      <c r="G45" s="488"/>
      <c r="H45" s="506"/>
      <c r="I45" s="506"/>
      <c r="J45" s="506"/>
      <c r="K45" s="506"/>
      <c r="L45" s="526"/>
      <c r="M45" s="506">
        <f>'ARP Quarterly'!C6</f>
        <v>0</v>
      </c>
      <c r="N45" s="506">
        <f>'ARP Quarterly'!D6</f>
        <v>58.782959999999989</v>
      </c>
      <c r="O45" s="506">
        <f>'ARP Quarterly'!E6</f>
        <v>267.78904</v>
      </c>
      <c r="P45" s="506">
        <f>'ARP Quarterly'!F6</f>
        <v>110.24799999999999</v>
      </c>
      <c r="Q45" s="506">
        <f>'ARP Quarterly'!G6</f>
        <v>110.24799999999999</v>
      </c>
      <c r="R45" s="506">
        <f>'ARP Quarterly'!H6</f>
        <v>110.24799999999999</v>
      </c>
      <c r="S45" s="506">
        <f>'ARP Quarterly'!I6</f>
        <v>110.24799999999999</v>
      </c>
      <c r="T45" s="506">
        <f>'ARP Quarterly'!J6</f>
        <v>12.726000000000001</v>
      </c>
      <c r="U45" s="506">
        <f>'ARP Quarterly'!K6</f>
        <v>12.726000000000001</v>
      </c>
      <c r="V45" s="506">
        <f>'ARP Quarterly'!L6</f>
        <v>12.726000000000001</v>
      </c>
      <c r="W45" s="506">
        <f>'ARP Quarterly'!M6</f>
        <v>12.726000000000001</v>
      </c>
      <c r="X45" s="506">
        <f>'ARP Quarterly'!N6</f>
        <v>1.365</v>
      </c>
      <c r="Y45" s="504">
        <f>'ARP Quarterly'!O6</f>
        <v>1.365</v>
      </c>
      <c r="Z45" s="504">
        <f>'ARP Quarterly'!P6</f>
        <v>1.365</v>
      </c>
      <c r="AA45" s="504">
        <f>'ARP Quarterly'!Q6</f>
        <v>1.365</v>
      </c>
      <c r="AB45" s="504">
        <f>'ARP Quarterly'!R6</f>
        <v>-0.90100000000000025</v>
      </c>
      <c r="AC45" s="504">
        <f>'ARP Quarterly'!S6</f>
        <v>-0.90100000000000025</v>
      </c>
      <c r="AD45" s="504">
        <f>'ARP Quarterly'!T6</f>
        <v>-0.90100000000000025</v>
      </c>
      <c r="AE45" s="504">
        <f>'ARP Quarterly'!U6</f>
        <v>-0.90100000000000025</v>
      </c>
      <c r="AF45" s="504">
        <f>'ARP Quarterly'!V6</f>
        <v>-2.1500000000000004</v>
      </c>
      <c r="AG45" s="502">
        <v>0</v>
      </c>
      <c r="AH45" s="502">
        <v>0</v>
      </c>
      <c r="AI45" s="502">
        <v>0</v>
      </c>
      <c r="AJ45" s="502">
        <v>0</v>
      </c>
      <c r="AK45" s="502">
        <v>0</v>
      </c>
      <c r="AL45" s="502">
        <v>0</v>
      </c>
      <c r="AM45" s="502">
        <v>0</v>
      </c>
      <c r="AN45" s="502">
        <v>0</v>
      </c>
    </row>
    <row r="46" spans="1:79" ht="19.5" customHeight="1" x14ac:dyDescent="0.35">
      <c r="A46" s="498"/>
      <c r="B46" s="533" t="s">
        <v>199</v>
      </c>
      <c r="C46" s="534"/>
      <c r="D46" s="533"/>
      <c r="E46" s="534"/>
      <c r="F46" s="507">
        <f>F11-F45</f>
        <v>60.5</v>
      </c>
      <c r="G46" s="507">
        <f>G11-G45</f>
        <v>81.400000000000006</v>
      </c>
      <c r="H46" s="507">
        <f t="shared" ref="H46:AE46" si="75">H11-H45</f>
        <v>82.1</v>
      </c>
      <c r="I46" s="507">
        <f>I11-I45</f>
        <v>80</v>
      </c>
      <c r="J46" s="507">
        <f t="shared" si="75"/>
        <v>1031.8</v>
      </c>
      <c r="K46" s="507">
        <f t="shared" si="75"/>
        <v>1163.3</v>
      </c>
      <c r="L46" s="507">
        <f>L11-L45</f>
        <v>516.4</v>
      </c>
      <c r="M46" s="507">
        <f>M11-M45</f>
        <v>518.1</v>
      </c>
      <c r="N46" s="507">
        <f t="shared" si="75"/>
        <v>763.21704</v>
      </c>
      <c r="O46" s="507">
        <f>O11-O45</f>
        <v>405.61095999999998</v>
      </c>
      <c r="P46" s="507">
        <f>P11-P45</f>
        <v>303.15199999999999</v>
      </c>
      <c r="Q46" s="507">
        <f t="shared" si="75"/>
        <v>40.552000000000021</v>
      </c>
      <c r="R46" s="507">
        <f t="shared" si="75"/>
        <v>19.052000000000021</v>
      </c>
      <c r="S46" s="507">
        <f t="shared" si="75"/>
        <v>8.1520000000000152</v>
      </c>
      <c r="T46" s="507">
        <f t="shared" si="75"/>
        <v>98.073999999999998</v>
      </c>
      <c r="U46" s="507">
        <f t="shared" si="75"/>
        <v>91.073999999999998</v>
      </c>
      <c r="V46" s="507">
        <f>V11-V45</f>
        <v>89.073999999999998</v>
      </c>
      <c r="W46" s="507">
        <f t="shared" si="75"/>
        <v>91.274000000000001</v>
      </c>
      <c r="X46" s="507">
        <f>X11-X45</f>
        <v>97.535000000000011</v>
      </c>
      <c r="Y46" s="536">
        <f t="shared" si="75"/>
        <v>94.734999999999999</v>
      </c>
      <c r="Z46" s="536">
        <f t="shared" si="75"/>
        <v>92.335000000000008</v>
      </c>
      <c r="AA46" s="536">
        <f t="shared" si="75"/>
        <v>90.734999999999999</v>
      </c>
      <c r="AB46" s="536">
        <f t="shared" si="75"/>
        <v>93.900999999999996</v>
      </c>
      <c r="AC46" s="536">
        <f>AC11-AC45</f>
        <v>93.900999999999996</v>
      </c>
      <c r="AD46" s="536">
        <f t="shared" si="75"/>
        <v>85.879000000000005</v>
      </c>
      <c r="AE46" s="536">
        <f t="shared" si="75"/>
        <v>85.879000000000005</v>
      </c>
      <c r="AF46" s="536">
        <f>AF11-AF45</f>
        <v>90.218000000000004</v>
      </c>
      <c r="AG46" s="536">
        <f>AG11-AG45</f>
        <v>88.067999999999998</v>
      </c>
      <c r="AH46" s="536">
        <f>AH11-AH45</f>
        <v>88.067999999999998</v>
      </c>
      <c r="AI46" s="536">
        <f t="shared" ref="AI46:AN46" si="76">AI11-AI45</f>
        <v>88.067999999999998</v>
      </c>
      <c r="AJ46" s="536">
        <f t="shared" si="76"/>
        <v>88.067999999999998</v>
      </c>
      <c r="AK46" s="536">
        <f t="shared" si="76"/>
        <v>88.067999999999998</v>
      </c>
      <c r="AL46" s="536">
        <f t="shared" si="76"/>
        <v>88.067999999999998</v>
      </c>
      <c r="AM46" s="536">
        <f t="shared" si="76"/>
        <v>88.067999999999998</v>
      </c>
      <c r="AN46" s="536">
        <f t="shared" si="76"/>
        <v>88.067999999999998</v>
      </c>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c r="CA46" s="498"/>
    </row>
    <row r="47" spans="1:79" ht="19.5" customHeight="1" x14ac:dyDescent="0.35">
      <c r="A47" s="498"/>
      <c r="B47" s="253"/>
      <c r="C47" s="253"/>
      <c r="D47" s="253"/>
      <c r="E47" s="253"/>
      <c r="F47" s="535"/>
      <c r="G47" s="535"/>
      <c r="H47" s="535"/>
      <c r="I47" s="535"/>
      <c r="J47" s="535"/>
      <c r="K47" s="535"/>
      <c r="L47" s="535"/>
      <c r="M47" s="535"/>
      <c r="N47" s="535"/>
      <c r="O47" s="535"/>
      <c r="P47" s="535"/>
      <c r="Q47" s="535"/>
      <c r="R47" s="535"/>
      <c r="S47" s="535"/>
      <c r="T47" s="535"/>
      <c r="U47" s="535"/>
      <c r="V47" s="535"/>
      <c r="W47" s="535"/>
      <c r="X47" s="535"/>
      <c r="Y47" s="535"/>
      <c r="Z47" s="535"/>
      <c r="AA47" s="535"/>
      <c r="AB47" s="535"/>
      <c r="AC47" s="535"/>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row>
    <row r="48" spans="1:79" ht="19.5" customHeight="1" x14ac:dyDescent="0.35">
      <c r="A48" s="498"/>
      <c r="B48" s="253" t="s">
        <v>861</v>
      </c>
      <c r="C48" s="253"/>
      <c r="D48" s="253"/>
      <c r="E48" s="253"/>
      <c r="F48" s="535"/>
      <c r="G48" s="535"/>
      <c r="H48" s="535"/>
      <c r="I48" s="535"/>
      <c r="J48" s="535"/>
      <c r="K48" s="535"/>
      <c r="L48" s="535"/>
      <c r="M48" s="535"/>
      <c r="N48" s="535"/>
      <c r="O48" s="535"/>
      <c r="P48" s="535"/>
      <c r="Q48" s="535"/>
      <c r="R48" s="535"/>
      <c r="S48" s="535"/>
      <c r="T48" s="535">
        <v>110.8</v>
      </c>
      <c r="U48" s="517">
        <v>96.021999999999991</v>
      </c>
      <c r="V48" s="230">
        <v>88.50800000000001</v>
      </c>
      <c r="W48" s="230">
        <v>88.50800000000001</v>
      </c>
      <c r="X48" s="230">
        <v>85.631</v>
      </c>
      <c r="Y48" s="230">
        <v>85.631</v>
      </c>
      <c r="Z48" s="230">
        <v>85.631</v>
      </c>
      <c r="AA48" s="230">
        <v>85.631</v>
      </c>
      <c r="AB48" s="230">
        <v>90.463999999999999</v>
      </c>
      <c r="AC48" s="230">
        <v>90.463999999999999</v>
      </c>
      <c r="AD48" s="516">
        <f>U11-U48</f>
        <v>7.7780000000000058</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c r="CA48" s="498"/>
    </row>
    <row r="49" spans="2:30" x14ac:dyDescent="0.35">
      <c r="B49" s="512" t="s">
        <v>403</v>
      </c>
      <c r="C49" s="235"/>
      <c r="D49" s="235"/>
      <c r="E49" s="235"/>
      <c r="F49" s="235"/>
      <c r="G49" s="235"/>
      <c r="H49" s="235"/>
      <c r="I49" s="235"/>
      <c r="J49" s="235"/>
      <c r="K49" s="235"/>
      <c r="L49" s="235"/>
      <c r="M49" s="235"/>
      <c r="N49" s="235"/>
      <c r="O49" s="235"/>
      <c r="P49" s="479"/>
      <c r="Q49" s="479"/>
      <c r="R49" s="479"/>
      <c r="S49" s="479"/>
      <c r="T49" s="513">
        <v>78.977999999999994</v>
      </c>
      <c r="U49" s="514">
        <v>76</v>
      </c>
      <c r="V49" s="514">
        <v>76</v>
      </c>
      <c r="W49" s="514">
        <v>76</v>
      </c>
      <c r="X49" s="514">
        <v>76</v>
      </c>
      <c r="Y49" s="514">
        <v>76</v>
      </c>
      <c r="Z49" s="514">
        <v>76</v>
      </c>
      <c r="AA49" s="514">
        <v>76</v>
      </c>
      <c r="AB49" s="514">
        <v>76</v>
      </c>
      <c r="AC49" s="514">
        <v>76</v>
      </c>
      <c r="AD49" s="516">
        <f t="shared" ref="AD49:AD83" si="77">U12-U49</f>
        <v>15.292000000000002</v>
      </c>
    </row>
    <row r="50" spans="2:30" x14ac:dyDescent="0.35">
      <c r="B50" t="s">
        <v>404</v>
      </c>
      <c r="T50" s="70">
        <v>31.822000000000003</v>
      </c>
      <c r="U50" s="70">
        <v>20.021999999999998</v>
      </c>
      <c r="V50" s="70">
        <v>12.508000000000003</v>
      </c>
      <c r="W50" s="70">
        <v>12.508000000000003</v>
      </c>
      <c r="X50" s="70">
        <v>9.6310000000000002</v>
      </c>
      <c r="Y50" s="70">
        <v>9.6310000000000002</v>
      </c>
      <c r="Z50" s="70">
        <v>9.6310000000000002</v>
      </c>
      <c r="AA50" s="70">
        <v>9.6310000000000002</v>
      </c>
      <c r="AB50" s="70">
        <v>14.464</v>
      </c>
      <c r="AC50" s="70">
        <v>14.464</v>
      </c>
      <c r="AD50" s="516">
        <f t="shared" si="77"/>
        <v>-7.5139999999999958</v>
      </c>
    </row>
    <row r="51" spans="2:30" x14ac:dyDescent="0.35">
      <c r="B51" t="s">
        <v>50</v>
      </c>
      <c r="S51" s="56"/>
      <c r="T51" s="71">
        <v>0</v>
      </c>
      <c r="U51" s="70"/>
      <c r="V51" s="70"/>
      <c r="W51" s="70"/>
      <c r="X51" s="70"/>
      <c r="Y51" s="70"/>
      <c r="AD51" s="516">
        <f t="shared" si="77"/>
        <v>0</v>
      </c>
    </row>
    <row r="52" spans="2:30" x14ac:dyDescent="0.35">
      <c r="B52" t="s">
        <v>405</v>
      </c>
      <c r="T52" s="71">
        <v>28.200000000000003</v>
      </c>
      <c r="U52" s="71">
        <v>16.399999999999999</v>
      </c>
      <c r="V52" s="71">
        <v>8.886000000000001</v>
      </c>
      <c r="W52" s="71">
        <v>8.886000000000001</v>
      </c>
      <c r="X52" s="71">
        <v>0.2</v>
      </c>
      <c r="Y52" s="71">
        <v>0.2</v>
      </c>
      <c r="Z52" s="71">
        <v>0.2</v>
      </c>
      <c r="AA52" s="71">
        <v>0.2</v>
      </c>
      <c r="AB52" s="71">
        <v>0</v>
      </c>
      <c r="AC52" s="71">
        <v>0</v>
      </c>
      <c r="AD52" s="516">
        <f t="shared" si="77"/>
        <v>-7.5139999999999976</v>
      </c>
    </row>
    <row r="53" spans="2:30" x14ac:dyDescent="0.35">
      <c r="B53" t="s">
        <v>145</v>
      </c>
      <c r="T53" s="71">
        <v>0</v>
      </c>
      <c r="U53" s="70"/>
      <c r="V53" s="70"/>
      <c r="W53" s="70"/>
      <c r="X53" s="70"/>
      <c r="Y53" s="70"/>
      <c r="AD53" s="516">
        <f t="shared" si="77"/>
        <v>0</v>
      </c>
    </row>
    <row r="54" spans="2:30" x14ac:dyDescent="0.35">
      <c r="B54" t="s">
        <v>143</v>
      </c>
      <c r="T54" s="71">
        <v>0</v>
      </c>
      <c r="U54" s="70">
        <v>0</v>
      </c>
      <c r="V54" s="70">
        <v>0</v>
      </c>
      <c r="W54" s="70">
        <v>0</v>
      </c>
      <c r="X54" s="70">
        <v>0</v>
      </c>
      <c r="Y54" s="70">
        <v>0</v>
      </c>
      <c r="Z54" s="70">
        <v>0</v>
      </c>
      <c r="AA54" s="70">
        <v>0</v>
      </c>
      <c r="AB54" s="70">
        <v>0</v>
      </c>
      <c r="AC54" s="70">
        <v>0</v>
      </c>
      <c r="AD54" s="516">
        <f t="shared" si="77"/>
        <v>0</v>
      </c>
    </row>
    <row r="55" spans="2:30" x14ac:dyDescent="0.35">
      <c r="B55" t="s">
        <v>142</v>
      </c>
      <c r="T55" s="71">
        <v>0.4</v>
      </c>
      <c r="U55" s="70">
        <v>0</v>
      </c>
      <c r="V55" s="70">
        <v>0</v>
      </c>
      <c r="W55" s="70">
        <v>0</v>
      </c>
      <c r="X55" s="70">
        <v>0</v>
      </c>
      <c r="Y55" s="70">
        <v>0</v>
      </c>
      <c r="Z55" s="70">
        <v>0</v>
      </c>
      <c r="AA55" s="70">
        <v>0</v>
      </c>
      <c r="AB55" s="70">
        <v>0</v>
      </c>
      <c r="AC55" s="70">
        <v>0</v>
      </c>
      <c r="AD55" s="516">
        <f t="shared" si="77"/>
        <v>0</v>
      </c>
    </row>
    <row r="56" spans="2:30" x14ac:dyDescent="0.35">
      <c r="B56" t="s">
        <v>409</v>
      </c>
      <c r="T56" s="71">
        <v>3.6</v>
      </c>
      <c r="U56" s="70"/>
      <c r="V56" s="70"/>
      <c r="W56" s="70"/>
      <c r="X56" s="70"/>
      <c r="Y56" s="70"/>
      <c r="AD56" s="516">
        <f t="shared" si="77"/>
        <v>0</v>
      </c>
    </row>
    <row r="57" spans="2:30" x14ac:dyDescent="0.35">
      <c r="B57" t="s">
        <v>144</v>
      </c>
      <c r="T57" s="71">
        <v>15.8</v>
      </c>
      <c r="U57" s="70">
        <v>8</v>
      </c>
      <c r="V57" s="70">
        <v>0.48599999999999993</v>
      </c>
      <c r="W57" s="70">
        <v>0.48599999999999993</v>
      </c>
      <c r="X57" s="70">
        <v>0</v>
      </c>
      <c r="Y57" s="70">
        <v>0</v>
      </c>
      <c r="Z57" s="70">
        <v>0</v>
      </c>
      <c r="AA57" s="70">
        <v>0</v>
      </c>
      <c r="AB57" s="70">
        <v>0</v>
      </c>
      <c r="AC57" s="70">
        <v>0</v>
      </c>
      <c r="AD57" s="516">
        <f t="shared" si="77"/>
        <v>-7.5140000000000002</v>
      </c>
    </row>
    <row r="58" spans="2:30" x14ac:dyDescent="0.35">
      <c r="B58" t="s">
        <v>148</v>
      </c>
      <c r="T58" s="71">
        <v>0</v>
      </c>
      <c r="U58" s="70">
        <v>0</v>
      </c>
      <c r="V58" s="70">
        <v>0</v>
      </c>
      <c r="W58" s="70">
        <v>0</v>
      </c>
      <c r="X58" s="70">
        <v>0</v>
      </c>
      <c r="Y58" s="70">
        <v>0</v>
      </c>
      <c r="Z58" s="70">
        <v>0</v>
      </c>
      <c r="AA58" s="70">
        <v>0</v>
      </c>
      <c r="AB58" s="70">
        <v>0</v>
      </c>
      <c r="AC58" s="70">
        <v>0</v>
      </c>
      <c r="AD58" s="516">
        <f t="shared" si="77"/>
        <v>0</v>
      </c>
    </row>
    <row r="59" spans="2:30" x14ac:dyDescent="0.35">
      <c r="B59" t="s">
        <v>412</v>
      </c>
      <c r="T59" s="71">
        <v>0</v>
      </c>
      <c r="U59" s="70">
        <v>0</v>
      </c>
      <c r="V59" s="70">
        <v>0</v>
      </c>
      <c r="W59" s="70">
        <v>0</v>
      </c>
      <c r="X59" s="70">
        <v>0</v>
      </c>
      <c r="Y59" s="70">
        <v>0</v>
      </c>
      <c r="Z59" s="70">
        <v>0</v>
      </c>
      <c r="AA59" s="70">
        <v>0</v>
      </c>
      <c r="AB59" s="70">
        <v>0</v>
      </c>
      <c r="AC59" s="70">
        <v>0</v>
      </c>
      <c r="AD59" s="516">
        <f t="shared" si="77"/>
        <v>0</v>
      </c>
    </row>
    <row r="60" spans="2:30" x14ac:dyDescent="0.35">
      <c r="B60" t="s">
        <v>413</v>
      </c>
      <c r="T60" s="71">
        <v>0</v>
      </c>
      <c r="U60" s="70">
        <v>0</v>
      </c>
      <c r="V60" s="70">
        <v>0</v>
      </c>
      <c r="W60" s="70">
        <v>0</v>
      </c>
      <c r="X60" s="70">
        <v>0</v>
      </c>
      <c r="Y60" s="70">
        <v>0</v>
      </c>
      <c r="Z60" s="70">
        <v>0</v>
      </c>
      <c r="AA60" s="70">
        <v>0</v>
      </c>
      <c r="AB60" s="70">
        <v>0</v>
      </c>
      <c r="AC60" s="70">
        <v>0</v>
      </c>
      <c r="AD60" s="516">
        <f t="shared" si="77"/>
        <v>0</v>
      </c>
    </row>
    <row r="61" spans="2:30" x14ac:dyDescent="0.35">
      <c r="B61" t="s">
        <v>414</v>
      </c>
      <c r="T61" s="70">
        <v>8.4</v>
      </c>
      <c r="U61" s="70">
        <v>8.4</v>
      </c>
      <c r="V61" s="70">
        <v>8.4</v>
      </c>
      <c r="W61" s="70">
        <v>8.4</v>
      </c>
      <c r="X61" s="70">
        <v>0.2</v>
      </c>
      <c r="Y61" s="70">
        <v>0.2</v>
      </c>
      <c r="Z61" s="70">
        <v>0.2</v>
      </c>
      <c r="AA61" s="70">
        <v>0.2</v>
      </c>
      <c r="AB61" s="70">
        <v>0</v>
      </c>
      <c r="AC61" s="70">
        <v>0</v>
      </c>
      <c r="AD61" s="516">
        <f t="shared" si="77"/>
        <v>0</v>
      </c>
    </row>
    <row r="62" spans="2:30" x14ac:dyDescent="0.35">
      <c r="B62" t="s">
        <v>415</v>
      </c>
      <c r="T62" s="70">
        <v>0</v>
      </c>
      <c r="U62" s="70">
        <v>0</v>
      </c>
      <c r="V62" s="70">
        <v>0</v>
      </c>
      <c r="W62" s="70">
        <v>0</v>
      </c>
      <c r="X62" s="70">
        <v>0</v>
      </c>
      <c r="Y62" s="70">
        <v>0</v>
      </c>
      <c r="Z62" s="70">
        <v>0</v>
      </c>
      <c r="AA62" s="70">
        <v>0</v>
      </c>
      <c r="AB62" s="70">
        <v>0</v>
      </c>
      <c r="AC62" s="70">
        <v>0</v>
      </c>
      <c r="AD62" s="516">
        <f t="shared" si="77"/>
        <v>0</v>
      </c>
    </row>
    <row r="63" spans="2:30" x14ac:dyDescent="0.35">
      <c r="B63" t="s">
        <v>1372</v>
      </c>
      <c r="T63" s="70">
        <v>2.3250000000000002</v>
      </c>
      <c r="U63" s="70">
        <v>2.3250000000000002</v>
      </c>
      <c r="V63" s="70">
        <v>2.3250000000000002</v>
      </c>
      <c r="W63" s="70">
        <v>2.3250000000000002</v>
      </c>
      <c r="X63" s="70">
        <v>5.5830000000000002</v>
      </c>
      <c r="Y63" s="70">
        <v>5.5830000000000002</v>
      </c>
      <c r="Z63" s="70">
        <v>5.5830000000000002</v>
      </c>
      <c r="AA63" s="70">
        <v>5.5830000000000002</v>
      </c>
      <c r="AB63" s="70">
        <v>8.0220000000000002</v>
      </c>
      <c r="AC63" s="70">
        <v>8.0220000000000002</v>
      </c>
      <c r="AD63" s="516">
        <f t="shared" si="77"/>
        <v>0</v>
      </c>
    </row>
    <row r="64" spans="2:30" x14ac:dyDescent="0.35">
      <c r="B64" t="s">
        <v>1180</v>
      </c>
      <c r="T64" s="70">
        <v>1.2969999999999999</v>
      </c>
      <c r="U64" s="70">
        <v>1.2969999999999999</v>
      </c>
      <c r="V64" s="70">
        <v>1.2969999999999999</v>
      </c>
      <c r="W64" s="70">
        <v>1.2969999999999999</v>
      </c>
      <c r="X64" s="70">
        <v>3.8479999999999999</v>
      </c>
      <c r="Y64" s="70">
        <v>3.8479999999999999</v>
      </c>
      <c r="Z64" s="70">
        <v>3.8479999999999999</v>
      </c>
      <c r="AA64" s="70">
        <v>3.8479999999999999</v>
      </c>
      <c r="AB64" s="70">
        <v>6.4420000000000002</v>
      </c>
      <c r="AC64" s="70">
        <v>6.4420000000000002</v>
      </c>
      <c r="AD64" s="516">
        <f t="shared" si="77"/>
        <v>0</v>
      </c>
    </row>
    <row r="65" spans="2:30" x14ac:dyDescent="0.35">
      <c r="B65" t="s">
        <v>416</v>
      </c>
      <c r="T65" s="70"/>
      <c r="U65" s="70"/>
      <c r="AD65" s="516">
        <f t="shared" si="77"/>
        <v>0</v>
      </c>
    </row>
    <row r="66" spans="2:30" x14ac:dyDescent="0.35">
      <c r="B66" t="s">
        <v>417</v>
      </c>
      <c r="T66" s="70"/>
      <c r="U66" s="70"/>
      <c r="AD66" s="516">
        <f t="shared" si="77"/>
        <v>0</v>
      </c>
    </row>
    <row r="67" spans="2:30" x14ac:dyDescent="0.35">
      <c r="B67" t="s">
        <v>418</v>
      </c>
      <c r="T67" s="70"/>
      <c r="U67" s="70"/>
      <c r="AD67" s="516">
        <f t="shared" si="77"/>
        <v>0</v>
      </c>
    </row>
    <row r="68" spans="2:30" x14ac:dyDescent="0.35">
      <c r="B68" t="s">
        <v>415</v>
      </c>
      <c r="T68" s="70"/>
      <c r="U68" s="70"/>
      <c r="AD68" s="516">
        <f t="shared" si="77"/>
        <v>0</v>
      </c>
    </row>
    <row r="69" spans="2:30" x14ac:dyDescent="0.35">
      <c r="B69" t="s">
        <v>412</v>
      </c>
      <c r="T69" s="515"/>
      <c r="U69" s="515"/>
      <c r="AD69" s="516">
        <f t="shared" si="77"/>
        <v>0</v>
      </c>
    </row>
    <row r="70" spans="2:30" x14ac:dyDescent="0.35">
      <c r="B70" t="s">
        <v>419</v>
      </c>
      <c r="T70" s="515"/>
      <c r="U70" s="515"/>
      <c r="AD70" s="516">
        <f t="shared" si="77"/>
        <v>0</v>
      </c>
    </row>
    <row r="71" spans="2:30" x14ac:dyDescent="0.35">
      <c r="B71" t="s">
        <v>420</v>
      </c>
      <c r="T71" s="70"/>
      <c r="U71" s="70"/>
      <c r="AD71" s="516">
        <f t="shared" si="77"/>
        <v>0</v>
      </c>
    </row>
    <row r="72" spans="2:30" x14ac:dyDescent="0.35">
      <c r="B72" t="s">
        <v>421</v>
      </c>
      <c r="T72" s="70"/>
      <c r="U72" s="70"/>
      <c r="AD72" s="516">
        <f t="shared" si="77"/>
        <v>0</v>
      </c>
    </row>
    <row r="73" spans="2:30" x14ac:dyDescent="0.35">
      <c r="B73" t="s">
        <v>143</v>
      </c>
      <c r="T73" s="70">
        <v>0</v>
      </c>
      <c r="U73" s="70">
        <v>0</v>
      </c>
      <c r="V73" s="70">
        <v>0</v>
      </c>
      <c r="W73" s="70">
        <v>0</v>
      </c>
      <c r="X73" s="70">
        <v>0</v>
      </c>
      <c r="Y73" s="70">
        <v>0</v>
      </c>
      <c r="Z73" s="70">
        <v>0</v>
      </c>
      <c r="AA73" s="70">
        <v>0</v>
      </c>
      <c r="AB73" s="70">
        <v>0</v>
      </c>
      <c r="AC73" s="70">
        <v>0</v>
      </c>
      <c r="AD73" s="516">
        <f t="shared" si="77"/>
        <v>0</v>
      </c>
    </row>
    <row r="74" spans="2:30" x14ac:dyDescent="0.35">
      <c r="B74" t="s">
        <v>422</v>
      </c>
      <c r="T74" s="70">
        <v>0.48599999999999993</v>
      </c>
      <c r="U74" s="70">
        <v>0.48599999999999993</v>
      </c>
      <c r="V74" s="70">
        <v>0.48599999999999993</v>
      </c>
      <c r="W74" s="70">
        <v>0.48599999999999993</v>
      </c>
      <c r="X74" s="70">
        <v>0</v>
      </c>
      <c r="Y74" s="70">
        <v>0</v>
      </c>
      <c r="Z74" s="70">
        <v>0</v>
      </c>
      <c r="AA74" s="70">
        <v>0</v>
      </c>
      <c r="AB74" s="70">
        <v>0</v>
      </c>
      <c r="AC74" s="70">
        <v>0</v>
      </c>
      <c r="AD74" s="516">
        <f t="shared" si="77"/>
        <v>0</v>
      </c>
    </row>
    <row r="75" spans="2:30" x14ac:dyDescent="0.35">
      <c r="B75" t="s">
        <v>148</v>
      </c>
      <c r="T75" s="70">
        <v>0</v>
      </c>
      <c r="U75" s="70">
        <v>0</v>
      </c>
      <c r="V75" s="70">
        <v>0</v>
      </c>
      <c r="W75" s="70">
        <v>0</v>
      </c>
      <c r="X75" s="70">
        <v>0</v>
      </c>
      <c r="Y75" s="70">
        <v>0</v>
      </c>
      <c r="Z75" s="70">
        <v>0</v>
      </c>
      <c r="AA75" s="70">
        <v>0</v>
      </c>
      <c r="AB75" s="70">
        <v>0</v>
      </c>
      <c r="AC75" s="70">
        <v>0</v>
      </c>
      <c r="AD75" s="516">
        <f t="shared" si="77"/>
        <v>0</v>
      </c>
    </row>
    <row r="76" spans="2:30" x14ac:dyDescent="0.35">
      <c r="B76" t="s">
        <v>412</v>
      </c>
      <c r="T76" s="70">
        <v>0.78750000000000009</v>
      </c>
      <c r="U76" s="70">
        <v>0.78750000000000009</v>
      </c>
      <c r="V76" s="70">
        <v>0.78750000000000009</v>
      </c>
      <c r="W76" s="70">
        <v>0.78750000000000009</v>
      </c>
      <c r="X76" s="70">
        <v>0</v>
      </c>
      <c r="Y76" s="70">
        <v>0</v>
      </c>
      <c r="Z76" s="70">
        <v>0</v>
      </c>
      <c r="AA76" s="70">
        <v>0</v>
      </c>
      <c r="AB76" s="70">
        <v>0</v>
      </c>
      <c r="AC76" s="70">
        <v>0</v>
      </c>
      <c r="AD76" s="516">
        <f t="shared" si="77"/>
        <v>0</v>
      </c>
    </row>
    <row r="77" spans="2:30" x14ac:dyDescent="0.35">
      <c r="B77" t="s">
        <v>423</v>
      </c>
      <c r="T77" s="70">
        <v>1.3125000000000002</v>
      </c>
      <c r="U77" s="70">
        <v>1.3125000000000002</v>
      </c>
      <c r="V77" s="70">
        <v>1.3125000000000002</v>
      </c>
      <c r="W77" s="70">
        <v>1.3125000000000002</v>
      </c>
      <c r="X77" s="70">
        <v>0</v>
      </c>
      <c r="Y77" s="70">
        <v>0</v>
      </c>
      <c r="Z77" s="70">
        <v>0</v>
      </c>
      <c r="AA77" s="70">
        <v>0</v>
      </c>
      <c r="AB77" s="70">
        <v>0</v>
      </c>
      <c r="AC77" s="70">
        <v>0</v>
      </c>
      <c r="AD77" s="516">
        <f t="shared" si="77"/>
        <v>0</v>
      </c>
    </row>
    <row r="78" spans="2:30" x14ac:dyDescent="0.35">
      <c r="B78" t="s">
        <v>424</v>
      </c>
      <c r="T78" s="70">
        <v>8.4</v>
      </c>
      <c r="U78" s="70">
        <v>8.4</v>
      </c>
      <c r="V78" s="70">
        <v>8.4</v>
      </c>
      <c r="W78" s="70">
        <v>8.4</v>
      </c>
      <c r="X78" s="70">
        <v>0.2</v>
      </c>
      <c r="Y78" s="70">
        <v>0.2</v>
      </c>
      <c r="Z78" s="70">
        <v>0.2</v>
      </c>
      <c r="AA78" s="70">
        <v>0.2</v>
      </c>
      <c r="AB78" s="70">
        <v>0</v>
      </c>
      <c r="AC78" s="70">
        <v>0</v>
      </c>
      <c r="AD78" s="516">
        <f t="shared" si="77"/>
        <v>0</v>
      </c>
    </row>
    <row r="79" spans="2:30" x14ac:dyDescent="0.35">
      <c r="B79" t="s">
        <v>425</v>
      </c>
      <c r="T79" s="70">
        <v>0</v>
      </c>
      <c r="U79" s="70">
        <v>0</v>
      </c>
      <c r="V79" s="70">
        <v>0</v>
      </c>
      <c r="W79" s="70">
        <v>0</v>
      </c>
      <c r="X79" s="70">
        <v>0</v>
      </c>
      <c r="Y79" s="70">
        <v>0</v>
      </c>
      <c r="Z79" s="70">
        <v>0</v>
      </c>
      <c r="AA79" s="70">
        <v>0</v>
      </c>
      <c r="AB79" s="70">
        <v>0</v>
      </c>
      <c r="AC79" s="70">
        <v>0</v>
      </c>
      <c r="AD79" s="516">
        <f t="shared" si="77"/>
        <v>0</v>
      </c>
    </row>
    <row r="80" spans="2:30" x14ac:dyDescent="0.35">
      <c r="B80" t="s">
        <v>311</v>
      </c>
      <c r="T80" s="70">
        <v>12.362</v>
      </c>
      <c r="U80" s="70">
        <v>12.362</v>
      </c>
      <c r="V80" s="70">
        <v>12.362</v>
      </c>
      <c r="W80" s="70">
        <v>12.362</v>
      </c>
      <c r="X80" s="70">
        <v>-0.67500000000000004</v>
      </c>
      <c r="Y80" s="70">
        <v>-0.67500000000000004</v>
      </c>
      <c r="Z80" s="70">
        <v>-0.67500000000000004</v>
      </c>
      <c r="AA80" s="70">
        <v>-0.67500000000000004</v>
      </c>
      <c r="AB80" s="70">
        <v>0</v>
      </c>
      <c r="AC80" s="70">
        <v>0</v>
      </c>
      <c r="AD80" s="516">
        <f t="shared" si="77"/>
        <v>0</v>
      </c>
    </row>
    <row r="81" spans="2:30" x14ac:dyDescent="0.35">
      <c r="B81" t="s">
        <v>426</v>
      </c>
      <c r="T81" s="70"/>
      <c r="U81" s="70"/>
      <c r="AD81" s="516">
        <f t="shared" si="77"/>
        <v>0</v>
      </c>
    </row>
    <row r="82" spans="2:30" x14ac:dyDescent="0.35">
      <c r="B82" t="s">
        <v>427</v>
      </c>
      <c r="T82" s="70">
        <v>12.726000000000001</v>
      </c>
      <c r="U82" s="70">
        <v>12.726000000000001</v>
      </c>
      <c r="V82" s="70">
        <v>12.726000000000001</v>
      </c>
      <c r="W82" s="70">
        <v>12.726000000000001</v>
      </c>
      <c r="X82" s="70">
        <v>1.365</v>
      </c>
      <c r="Y82" s="70">
        <v>1.365</v>
      </c>
      <c r="Z82" s="70">
        <v>1.365</v>
      </c>
      <c r="AA82" s="70">
        <v>1.365</v>
      </c>
      <c r="AB82" s="70">
        <v>-0.90100000000000025</v>
      </c>
      <c r="AC82" s="70">
        <v>-0.90100000000000025</v>
      </c>
      <c r="AD82" s="516">
        <f t="shared" si="77"/>
        <v>0</v>
      </c>
    </row>
    <row r="83" spans="2:30" x14ac:dyDescent="0.35">
      <c r="B83" t="s">
        <v>199</v>
      </c>
      <c r="T83" s="71">
        <v>98.073999999999998</v>
      </c>
      <c r="U83" s="516">
        <v>83.295999999999992</v>
      </c>
      <c r="V83" s="71">
        <v>75.782000000000011</v>
      </c>
      <c r="W83" s="71">
        <v>75.782000000000011</v>
      </c>
      <c r="X83" s="71">
        <v>84.266000000000005</v>
      </c>
      <c r="Y83" s="71">
        <v>84.266000000000005</v>
      </c>
      <c r="Z83" s="71">
        <v>84.266000000000005</v>
      </c>
      <c r="AA83" s="71">
        <v>84.266000000000005</v>
      </c>
      <c r="AB83" s="71">
        <v>91.364999999999995</v>
      </c>
      <c r="AC83" s="71">
        <v>91.364999999999995</v>
      </c>
      <c r="AD83" s="516">
        <f t="shared" si="77"/>
        <v>7.7780000000000058</v>
      </c>
    </row>
    <row r="84" spans="2:30" x14ac:dyDescent="0.35">
      <c r="AD84" s="516"/>
    </row>
  </sheetData>
  <mergeCells count="16">
    <mergeCell ref="B44:C44"/>
    <mergeCell ref="B28:C28"/>
    <mergeCell ref="B8:C10"/>
    <mergeCell ref="I9:L9"/>
    <mergeCell ref="E9:H9"/>
    <mergeCell ref="B35:C35"/>
    <mergeCell ref="D8:AB8"/>
    <mergeCell ref="AK9:AN9"/>
    <mergeCell ref="U9:X9"/>
    <mergeCell ref="Q9:T9"/>
    <mergeCell ref="B1:AC1"/>
    <mergeCell ref="M9:P9"/>
    <mergeCell ref="B2:AC6"/>
    <mergeCell ref="AC9:AF9"/>
    <mergeCell ref="AG9:AJ9"/>
    <mergeCell ref="AC8:AN8"/>
  </mergeCells>
  <pageMargins left="0.7" right="0.7" top="0.75" bottom="0.75" header="0.3" footer="0.3"/>
  <pageSetup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zoomScale="85" zoomScaleNormal="85" workbookViewId="0">
      <pane xSplit="3" ySplit="9" topLeftCell="K16" activePane="bottomRight" state="frozen"/>
      <selection pane="topRight" activeCell="D1" sqref="D1"/>
      <selection pane="bottomLeft" activeCell="A10" sqref="A10"/>
      <selection pane="bottomRight" activeCell="Q27" sqref="Q27"/>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69" t="s">
        <v>54</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12"/>
      <c r="AE1" s="212"/>
      <c r="AF1" s="212"/>
      <c r="AG1" s="212"/>
      <c r="AH1" s="212"/>
    </row>
    <row r="2" spans="2:41" ht="14.25" customHeight="1" x14ac:dyDescent="0.35">
      <c r="B2" s="1335" t="s">
        <v>856</v>
      </c>
      <c r="C2" s="1335"/>
      <c r="D2" s="1335"/>
      <c r="E2" s="1335"/>
      <c r="F2" s="1335"/>
      <c r="G2" s="1335"/>
      <c r="H2" s="1335"/>
      <c r="I2" s="1335"/>
      <c r="J2" s="1335"/>
      <c r="K2" s="1335"/>
      <c r="L2" s="1335"/>
      <c r="M2" s="1335"/>
      <c r="N2" s="1335"/>
      <c r="O2" s="1335"/>
      <c r="P2" s="1335"/>
      <c r="Q2" s="1335"/>
      <c r="R2" s="1335"/>
      <c r="S2" s="1335"/>
      <c r="T2" s="1335"/>
      <c r="U2" s="1335"/>
      <c r="V2" s="1334" t="s">
        <v>905</v>
      </c>
      <c r="W2" s="1334"/>
      <c r="X2" s="1334"/>
      <c r="Y2" s="1334"/>
      <c r="Z2" s="1334"/>
      <c r="AA2" s="1334"/>
      <c r="AB2" s="1334"/>
      <c r="AC2" s="587"/>
      <c r="AD2" s="587"/>
      <c r="AE2" s="587"/>
      <c r="AF2" s="587"/>
      <c r="AG2" s="587"/>
      <c r="AH2" s="587"/>
    </row>
    <row r="3" spans="2:41" ht="59.9" customHeight="1" x14ac:dyDescent="0.35">
      <c r="B3" s="1335"/>
      <c r="C3" s="1335"/>
      <c r="D3" s="1335"/>
      <c r="E3" s="1335"/>
      <c r="F3" s="1335"/>
      <c r="G3" s="1335"/>
      <c r="H3" s="1335"/>
      <c r="I3" s="1335"/>
      <c r="J3" s="1335"/>
      <c r="K3" s="1335"/>
      <c r="L3" s="1335"/>
      <c r="M3" s="1335"/>
      <c r="N3" s="1335"/>
      <c r="O3" s="1335"/>
      <c r="P3" s="1335"/>
      <c r="Q3" s="1335"/>
      <c r="R3" s="1335"/>
      <c r="S3" s="1335"/>
      <c r="T3" s="1335"/>
      <c r="U3" s="1335"/>
      <c r="V3" s="1334"/>
      <c r="W3" s="1334"/>
      <c r="X3" s="1334"/>
      <c r="Y3" s="1334"/>
      <c r="Z3" s="1334"/>
      <c r="AA3" s="1334"/>
      <c r="AB3" s="1334"/>
      <c r="AC3" s="587"/>
      <c r="AD3" s="587"/>
      <c r="AE3" s="587"/>
      <c r="AF3" s="587"/>
      <c r="AG3" s="587"/>
      <c r="AH3" s="587"/>
    </row>
    <row r="4" spans="2:41" ht="88.5" customHeight="1" x14ac:dyDescent="0.35">
      <c r="B4" s="1335"/>
      <c r="C4" s="1335"/>
      <c r="D4" s="1335"/>
      <c r="E4" s="1335"/>
      <c r="F4" s="1335"/>
      <c r="G4" s="1335"/>
      <c r="H4" s="1335"/>
      <c r="I4" s="1335"/>
      <c r="J4" s="1335"/>
      <c r="K4" s="1335"/>
      <c r="L4" s="1335"/>
      <c r="M4" s="1335"/>
      <c r="N4" s="1335"/>
      <c r="O4" s="1335"/>
      <c r="P4" s="1335"/>
      <c r="Q4" s="1335"/>
      <c r="R4" s="1335"/>
      <c r="S4" s="1335"/>
      <c r="T4" s="1335"/>
      <c r="U4" s="1335"/>
      <c r="V4" s="1334"/>
      <c r="W4" s="1334"/>
      <c r="X4" s="1334"/>
      <c r="Y4" s="1334"/>
      <c r="Z4" s="1334"/>
      <c r="AA4" s="1334"/>
      <c r="AB4" s="1334"/>
      <c r="AC4" s="587"/>
      <c r="AD4" s="587"/>
      <c r="AE4" s="587"/>
      <c r="AF4" s="587"/>
      <c r="AG4" s="587"/>
      <c r="AH4" s="587"/>
    </row>
    <row r="5" spans="2:41" ht="33" customHeight="1" x14ac:dyDescent="0.35">
      <c r="B5" s="587"/>
      <c r="C5" s="587"/>
      <c r="D5" s="587"/>
      <c r="E5" s="587"/>
      <c r="F5" s="587"/>
      <c r="G5" s="587"/>
      <c r="H5" s="587"/>
      <c r="I5" s="587"/>
      <c r="J5" s="587"/>
      <c r="K5" s="587"/>
      <c r="L5" s="587"/>
      <c r="M5" s="587"/>
      <c r="N5" s="587"/>
      <c r="O5" s="587"/>
      <c r="P5" s="587"/>
      <c r="Q5" s="587"/>
      <c r="R5" s="587"/>
      <c r="S5" s="587"/>
      <c r="T5" s="587"/>
      <c r="U5" s="587"/>
      <c r="V5" s="587"/>
      <c r="W5" s="587"/>
      <c r="X5" s="587"/>
      <c r="Y5" s="587"/>
      <c r="Z5" s="587"/>
      <c r="AA5" s="587"/>
      <c r="AB5" s="587"/>
      <c r="AC5" s="587"/>
      <c r="AD5" s="587"/>
      <c r="AE5" s="587"/>
      <c r="AF5" s="587"/>
      <c r="AG5" s="587"/>
      <c r="AH5" s="587"/>
    </row>
    <row r="6" spans="2:41" x14ac:dyDescent="0.35">
      <c r="B6" s="587"/>
      <c r="C6" s="587"/>
      <c r="D6" s="587"/>
      <c r="E6" s="587"/>
      <c r="F6" s="587"/>
      <c r="G6" s="587"/>
      <c r="H6" s="587"/>
      <c r="I6" s="587"/>
      <c r="J6" s="587"/>
      <c r="K6" s="587"/>
      <c r="L6" s="587"/>
      <c r="M6" s="587"/>
      <c r="N6" s="587"/>
      <c r="O6" s="587"/>
      <c r="P6" s="587"/>
      <c r="Q6" s="587"/>
      <c r="R6" s="587"/>
      <c r="S6" s="587"/>
      <c r="T6" s="587"/>
      <c r="U6" s="587"/>
      <c r="V6" s="587"/>
      <c r="W6" s="587"/>
      <c r="X6" s="587"/>
      <c r="Y6" s="587"/>
      <c r="Z6" s="587"/>
      <c r="AA6" s="587"/>
      <c r="AB6" s="587"/>
      <c r="AC6" s="587"/>
      <c r="AD6" s="587"/>
      <c r="AE6" s="587"/>
      <c r="AF6" s="587"/>
      <c r="AG6" s="587"/>
      <c r="AH6" s="587"/>
    </row>
    <row r="7" spans="2:41" ht="14.9" customHeight="1" x14ac:dyDescent="0.35">
      <c r="B7" s="1274" t="s">
        <v>402</v>
      </c>
      <c r="C7" s="1275"/>
      <c r="D7" s="1284" t="s">
        <v>279</v>
      </c>
      <c r="E7" s="1284"/>
      <c r="F7" s="1284"/>
      <c r="G7" s="1284"/>
      <c r="H7" s="1284"/>
      <c r="I7" s="1284"/>
      <c r="J7" s="1284"/>
      <c r="K7" s="1284"/>
      <c r="L7" s="1284"/>
      <c r="M7" s="1284"/>
      <c r="N7" s="1284"/>
      <c r="O7" s="1284"/>
      <c r="P7" s="1284"/>
      <c r="Q7" s="1284"/>
      <c r="R7" s="1284"/>
      <c r="S7" s="1284"/>
      <c r="T7" s="1284"/>
      <c r="U7" s="1284"/>
      <c r="V7" s="1284"/>
      <c r="W7" s="1284"/>
      <c r="X7" s="1284"/>
      <c r="Y7" s="1284"/>
      <c r="Z7" s="1284"/>
      <c r="AA7" s="1284"/>
      <c r="AB7" s="1284"/>
      <c r="AC7" s="1302" t="s">
        <v>280</v>
      </c>
      <c r="AD7" s="1282"/>
      <c r="AE7" s="1282"/>
      <c r="AF7" s="1282"/>
      <c r="AG7" s="1282"/>
      <c r="AH7" s="1282"/>
      <c r="AI7" s="1282"/>
      <c r="AJ7" s="1282"/>
      <c r="AK7" s="1282"/>
      <c r="AL7" s="1282"/>
      <c r="AM7" s="1282"/>
      <c r="AN7" s="1283"/>
    </row>
    <row r="8" spans="2:41" x14ac:dyDescent="0.35">
      <c r="B8" s="1276"/>
      <c r="C8" s="1327"/>
      <c r="D8" s="282">
        <v>2018</v>
      </c>
      <c r="E8" s="1293">
        <v>2019</v>
      </c>
      <c r="F8" s="1294"/>
      <c r="G8" s="1294"/>
      <c r="H8" s="1295"/>
      <c r="I8" s="1293">
        <v>2020</v>
      </c>
      <c r="J8" s="1294"/>
      <c r="K8" s="1294"/>
      <c r="L8" s="1294"/>
      <c r="M8" s="1293">
        <v>2021</v>
      </c>
      <c r="N8" s="1294"/>
      <c r="O8" s="1294"/>
      <c r="P8" s="1294"/>
      <c r="Q8" s="1293">
        <v>2022</v>
      </c>
      <c r="R8" s="1301"/>
      <c r="S8" s="1301"/>
      <c r="T8" s="1295"/>
      <c r="U8" s="288"/>
      <c r="V8" s="288">
        <v>2023</v>
      </c>
      <c r="W8" s="428"/>
      <c r="X8" s="295"/>
      <c r="Y8" s="437"/>
      <c r="Z8" s="428">
        <v>2024</v>
      </c>
      <c r="AA8" s="428"/>
      <c r="AB8" s="295"/>
      <c r="AC8" s="1280">
        <v>2025</v>
      </c>
      <c r="AD8" s="1286"/>
      <c r="AE8" s="1286"/>
      <c r="AF8" s="1285"/>
      <c r="AG8" s="1280">
        <v>2026</v>
      </c>
      <c r="AH8" s="1281"/>
      <c r="AI8" s="1281"/>
      <c r="AJ8" s="1285"/>
      <c r="AK8" s="1280">
        <v>2027</v>
      </c>
      <c r="AL8" s="1281"/>
      <c r="AM8" s="1281"/>
      <c r="AN8" s="1285"/>
      <c r="AO8" s="235"/>
    </row>
    <row r="9" spans="2:41" x14ac:dyDescent="0.35">
      <c r="B9" s="1276"/>
      <c r="C9" s="1327"/>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8" t="s">
        <v>281</v>
      </c>
      <c r="U9" s="215" t="s">
        <v>282</v>
      </c>
      <c r="V9" s="274" t="s">
        <v>283</v>
      </c>
      <c r="W9" s="274" t="s">
        <v>238</v>
      </c>
      <c r="X9" s="272" t="s">
        <v>281</v>
      </c>
      <c r="Y9" s="273" t="s">
        <v>282</v>
      </c>
      <c r="Z9" s="279" t="s">
        <v>283</v>
      </c>
      <c r="AA9" s="274" t="s">
        <v>238</v>
      </c>
      <c r="AB9" s="274" t="s">
        <v>281</v>
      </c>
      <c r="AC9" s="259" t="s">
        <v>282</v>
      </c>
      <c r="AD9" s="257" t="s">
        <v>283</v>
      </c>
      <c r="AE9" s="260" t="s">
        <v>238</v>
      </c>
      <c r="AF9" s="260" t="s">
        <v>281</v>
      </c>
      <c r="AG9" s="222" t="s">
        <v>282</v>
      </c>
      <c r="AH9" s="257" t="s">
        <v>283</v>
      </c>
      <c r="AI9" s="257" t="s">
        <v>238</v>
      </c>
      <c r="AJ9" s="277" t="s">
        <v>281</v>
      </c>
      <c r="AK9" s="222" t="s">
        <v>282</v>
      </c>
      <c r="AL9" s="257" t="s">
        <v>283</v>
      </c>
      <c r="AM9" s="257" t="s">
        <v>238</v>
      </c>
      <c r="AN9" s="277" t="s">
        <v>281</v>
      </c>
      <c r="AO9" s="219"/>
    </row>
    <row r="10" spans="2:41" x14ac:dyDescent="0.35">
      <c r="B10" s="557" t="s">
        <v>101</v>
      </c>
      <c r="C10" s="543" t="s">
        <v>428</v>
      </c>
      <c r="D10" s="563">
        <f>'Haver Pivoted'!GO13</f>
        <v>589.5</v>
      </c>
      <c r="E10" s="564">
        <f>'Haver Pivoted'!GP13</f>
        <v>598.70000000000005</v>
      </c>
      <c r="F10" s="564">
        <f>'Haver Pivoted'!GQ13</f>
        <v>614.4</v>
      </c>
      <c r="G10" s="564">
        <f>'Haver Pivoted'!GR13</f>
        <v>622.4</v>
      </c>
      <c r="H10" s="564">
        <f>'Haver Pivoted'!GS13</f>
        <v>620.6</v>
      </c>
      <c r="I10" s="564">
        <f>'Haver Pivoted'!GT13</f>
        <v>606.5</v>
      </c>
      <c r="J10" s="564">
        <f>'Haver Pivoted'!GU13</f>
        <v>654.6</v>
      </c>
      <c r="K10" s="564">
        <f>'Haver Pivoted'!GV13</f>
        <v>690.8</v>
      </c>
      <c r="L10" s="564">
        <f>'Haver Pivoted'!GW13</f>
        <v>678.6</v>
      </c>
      <c r="M10" s="564">
        <f>'Haver Pivoted'!GX13</f>
        <v>704.9</v>
      </c>
      <c r="N10" s="564">
        <f>'Haver Pivoted'!GY13</f>
        <v>745.6</v>
      </c>
      <c r="O10" s="564">
        <f>'Haver Pivoted'!GZ13</f>
        <v>749.2</v>
      </c>
      <c r="P10" s="564">
        <f>'Haver Pivoted'!HA13</f>
        <v>746.3</v>
      </c>
      <c r="Q10" s="564">
        <f>'Haver Pivoted'!HB13</f>
        <v>791.9</v>
      </c>
      <c r="R10" s="564">
        <f>'Haver Pivoted'!HC13</f>
        <v>819.2</v>
      </c>
      <c r="S10" s="565">
        <f>'Haver Pivoted'!HD13</f>
        <v>819</v>
      </c>
      <c r="T10" s="555">
        <f>'Haver Pivoted'!HE13</f>
        <v>827.5</v>
      </c>
      <c r="U10" s="565">
        <f>'Haver Pivoted'!HF13</f>
        <v>877.6</v>
      </c>
      <c r="V10" s="565">
        <f>'Haver Pivoted'!HG13</f>
        <v>911.6</v>
      </c>
      <c r="W10" s="565">
        <f>'Haver Pivoted'!HH13</f>
        <v>867.2</v>
      </c>
      <c r="X10" s="565">
        <f>'Haver Pivoted'!HI13</f>
        <v>856.2</v>
      </c>
      <c r="Y10" s="565">
        <f>'Haver Pivoted'!HJ13</f>
        <v>904.8</v>
      </c>
      <c r="Z10" s="565">
        <f>'Haver Pivoted'!HK13</f>
        <v>924.7</v>
      </c>
      <c r="AA10" s="565">
        <f>'Haver Pivoted'!HL13</f>
        <v>932.4</v>
      </c>
      <c r="AB10" s="565">
        <f>'Haver Pivoted'!HM13</f>
        <v>957.6</v>
      </c>
      <c r="AC10" s="210"/>
      <c r="AD10" s="315"/>
      <c r="AE10" s="315"/>
      <c r="AF10" s="315"/>
      <c r="AG10" s="315"/>
      <c r="AH10" s="315"/>
      <c r="AI10" s="315"/>
      <c r="AJ10" s="315"/>
      <c r="AK10" s="315"/>
      <c r="AL10" s="315"/>
      <c r="AM10" s="315"/>
      <c r="AN10" s="315"/>
    </row>
    <row r="11" spans="2:41" x14ac:dyDescent="0.35">
      <c r="B11" s="548" t="s">
        <v>429</v>
      </c>
      <c r="C11" s="235" t="s">
        <v>338</v>
      </c>
      <c r="D11" s="583">
        <f>'Haver Pivoted'!GO40</f>
        <v>391.92099999999999</v>
      </c>
      <c r="E11" s="490">
        <f>'Haver Pivoted'!GP40</f>
        <v>405.36799999999999</v>
      </c>
      <c r="F11" s="490">
        <f>'Haver Pivoted'!GQ40</f>
        <v>414.19600000000003</v>
      </c>
      <c r="G11" s="490">
        <f>'Haver Pivoted'!GR40</f>
        <v>418.68599999999998</v>
      </c>
      <c r="H11" s="490">
        <f>'Haver Pivoted'!GS40</f>
        <v>416.185</v>
      </c>
      <c r="I11" s="490">
        <f>'Haver Pivoted'!GT40</f>
        <v>422.89</v>
      </c>
      <c r="J11" s="490">
        <f>'Haver Pivoted'!GU40</f>
        <v>502.90600000000001</v>
      </c>
      <c r="K11" s="490">
        <f>'Haver Pivoted'!GV40</f>
        <v>484.48</v>
      </c>
      <c r="L11" s="490">
        <f>'Haver Pivoted'!GW40</f>
        <v>509.88400000000001</v>
      </c>
      <c r="M11" s="490">
        <f>'Haver Pivoted'!GX40</f>
        <v>499.42899999999997</v>
      </c>
      <c r="N11" s="490">
        <f>'Haver Pivoted'!GY40</f>
        <v>520.79</v>
      </c>
      <c r="O11" s="490">
        <f>'Haver Pivoted'!GZ40</f>
        <v>545.32600000000002</v>
      </c>
      <c r="P11" s="490">
        <f>'Haver Pivoted'!HA40</f>
        <v>567.61</v>
      </c>
      <c r="Q11" s="490">
        <f>'Haver Pivoted'!HB40</f>
        <v>589.92700000000002</v>
      </c>
      <c r="R11" s="490">
        <f>'Haver Pivoted'!HC40</f>
        <v>585.74599999999998</v>
      </c>
      <c r="S11" s="553">
        <f>'Haver Pivoted'!HD40</f>
        <v>617.88900000000001</v>
      </c>
      <c r="T11" s="553">
        <f>'Haver Pivoted'!HE40</f>
        <v>611.67999999999995</v>
      </c>
      <c r="U11" s="553">
        <f>'Haver Pivoted'!HF40</f>
        <v>632.66</v>
      </c>
      <c r="V11" s="553">
        <f>'Haver Pivoted'!HG40</f>
        <v>628.88699999999994</v>
      </c>
      <c r="W11" s="553">
        <f>'Haver Pivoted'!HH40</f>
        <v>585.98400000000004</v>
      </c>
      <c r="X11" s="553">
        <f>'Haver Pivoted'!HI40</f>
        <v>612.03399999999999</v>
      </c>
      <c r="Y11" s="553">
        <f>'Haver Pivoted'!HJ40</f>
        <v>618.72699999999998</v>
      </c>
      <c r="Z11" s="553">
        <f>'Haver Pivoted'!HK40</f>
        <v>628.15700000000004</v>
      </c>
      <c r="AA11" s="553">
        <f>'Haver Pivoted'!HL40</f>
        <v>641.23699999999997</v>
      </c>
      <c r="AB11" s="553">
        <f>'Haver Pivoted'!HM40</f>
        <v>655.17499999999995</v>
      </c>
      <c r="AC11" s="315"/>
      <c r="AD11" s="315"/>
      <c r="AE11" s="315"/>
      <c r="AF11" s="315"/>
      <c r="AG11" s="315"/>
      <c r="AH11" s="315"/>
      <c r="AI11" s="315"/>
      <c r="AJ11" s="315"/>
      <c r="AK11" s="315"/>
      <c r="AL11" s="315"/>
      <c r="AM11" s="315"/>
      <c r="AN11" s="315"/>
    </row>
    <row r="12" spans="2:41" ht="27.65" customHeight="1" x14ac:dyDescent="0.35">
      <c r="B12" s="522" t="s">
        <v>888</v>
      </c>
      <c r="C12" s="35"/>
      <c r="D12" s="586">
        <f t="shared" ref="D12:N12" si="0">D11/D10</f>
        <v>0.66483630195080579</v>
      </c>
      <c r="E12" s="570">
        <f t="shared" si="0"/>
        <v>0.67708034073826617</v>
      </c>
      <c r="F12" s="570">
        <f t="shared" si="0"/>
        <v>0.67414713541666671</v>
      </c>
      <c r="G12" s="570">
        <f t="shared" si="0"/>
        <v>0.67269601542416446</v>
      </c>
      <c r="H12" s="570">
        <f t="shared" si="0"/>
        <v>0.67061714469867872</v>
      </c>
      <c r="I12" s="570">
        <f t="shared" si="0"/>
        <v>0.69726298433635614</v>
      </c>
      <c r="J12" s="570">
        <f t="shared" si="0"/>
        <v>0.76826458906202255</v>
      </c>
      <c r="K12" s="570">
        <f t="shared" si="0"/>
        <v>0.70133178922987849</v>
      </c>
      <c r="L12" s="570">
        <f t="shared" si="0"/>
        <v>0.75137636310050104</v>
      </c>
      <c r="M12" s="570">
        <f t="shared" si="0"/>
        <v>0.70851042701092348</v>
      </c>
      <c r="N12" s="570">
        <f t="shared" si="0"/>
        <v>0.69848444206008575</v>
      </c>
      <c r="O12" s="570">
        <f t="shared" ref="O12:T12" si="1">O11/O10</f>
        <v>0.72787773625200214</v>
      </c>
      <c r="P12" s="570">
        <f t="shared" si="1"/>
        <v>0.76056545625083749</v>
      </c>
      <c r="Q12" s="570">
        <f t="shared" si="1"/>
        <v>0.74495138275034734</v>
      </c>
      <c r="R12" s="570">
        <f t="shared" si="1"/>
        <v>0.71502197265624989</v>
      </c>
      <c r="S12" s="566">
        <f>S11/S10</f>
        <v>0.75444322344322345</v>
      </c>
      <c r="T12" s="566">
        <f t="shared" si="1"/>
        <v>0.73919033232628395</v>
      </c>
      <c r="U12" s="566">
        <f t="shared" ref="U12:W12" si="2">U11/U10</f>
        <v>0.72089790337283499</v>
      </c>
      <c r="V12" s="566">
        <f t="shared" si="2"/>
        <v>0.68987165423431318</v>
      </c>
      <c r="W12" s="566">
        <f t="shared" si="2"/>
        <v>0.67571955719557197</v>
      </c>
      <c r="X12" s="566">
        <f>X11/X10</f>
        <v>0.71482597523943003</v>
      </c>
      <c r="Y12" s="566">
        <f>Y11/Y10</f>
        <v>0.68382736516357212</v>
      </c>
      <c r="Z12" s="566">
        <f>Z11/Z10</f>
        <v>0.67930896506975236</v>
      </c>
      <c r="AA12" s="566">
        <f>AA11/AA10</f>
        <v>0.68772737022737018</v>
      </c>
      <c r="AB12" s="566">
        <f>AB11/AB10</f>
        <v>0.68418441938178776</v>
      </c>
      <c r="AC12" s="588">
        <f>AVERAGE(Y12:AB12)</f>
        <v>0.68376202996062063</v>
      </c>
      <c r="AD12" s="588">
        <f t="shared" ref="AD12:AN12" si="3">AVERAGE(Z12:AC12)</f>
        <v>0.68374569615988268</v>
      </c>
      <c r="AE12" s="588">
        <f t="shared" si="3"/>
        <v>0.68485487893241537</v>
      </c>
      <c r="AF12" s="588">
        <f t="shared" si="3"/>
        <v>0.68413675610867664</v>
      </c>
      <c r="AG12" s="588">
        <f t="shared" si="3"/>
        <v>0.68412484029039877</v>
      </c>
      <c r="AH12" s="588">
        <f t="shared" si="3"/>
        <v>0.68421554287284336</v>
      </c>
      <c r="AI12" s="588">
        <f t="shared" si="3"/>
        <v>0.68433300455108359</v>
      </c>
      <c r="AJ12" s="588">
        <f t="shared" si="3"/>
        <v>0.68420253595575065</v>
      </c>
      <c r="AK12" s="588">
        <f t="shared" si="3"/>
        <v>0.6842189809175192</v>
      </c>
      <c r="AL12" s="588">
        <f t="shared" si="3"/>
        <v>0.6842425160742992</v>
      </c>
      <c r="AM12" s="588">
        <f t="shared" si="3"/>
        <v>0.68424925937466319</v>
      </c>
      <c r="AN12" s="588">
        <f t="shared" si="3"/>
        <v>0.68422832308055814</v>
      </c>
    </row>
    <row r="13" spans="2:41" ht="27.65" customHeight="1" x14ac:dyDescent="0.35">
      <c r="O13" s="56"/>
      <c r="P13" s="56"/>
      <c r="Q13" s="56"/>
      <c r="R13" s="56"/>
      <c r="S13" s="56"/>
      <c r="T13" s="56"/>
      <c r="Y13" s="554"/>
      <c r="Z13" s="554"/>
      <c r="AA13" s="554"/>
      <c r="AB13" s="554"/>
      <c r="AC13" s="554"/>
      <c r="AD13" s="554"/>
      <c r="AE13" s="554"/>
      <c r="AF13" s="554"/>
      <c r="AG13" s="554"/>
      <c r="AH13" s="554"/>
      <c r="AI13" s="56"/>
    </row>
    <row r="14" spans="2:41" x14ac:dyDescent="0.35">
      <c r="O14" s="56"/>
      <c r="P14" s="235"/>
      <c r="Q14" s="56"/>
      <c r="R14" s="56"/>
      <c r="S14" s="56"/>
      <c r="T14" s="490"/>
      <c r="Y14" s="219"/>
      <c r="Z14" s="219"/>
      <c r="AA14" s="219"/>
      <c r="AB14" s="219"/>
      <c r="AC14" s="219"/>
      <c r="AD14" s="219"/>
      <c r="AE14" s="219"/>
      <c r="AF14" s="219"/>
      <c r="AG14" s="219"/>
      <c r="AH14" s="219"/>
      <c r="AI14" s="56"/>
    </row>
    <row r="15" spans="2:41" x14ac:dyDescent="0.35">
      <c r="B15" s="512" t="s">
        <v>351</v>
      </c>
      <c r="O15" s="56"/>
      <c r="P15" s="235"/>
      <c r="Q15" s="56"/>
      <c r="R15" s="56"/>
      <c r="S15" s="56"/>
      <c r="T15" s="490"/>
      <c r="Y15" s="219"/>
      <c r="Z15" s="219"/>
      <c r="AA15" s="219"/>
      <c r="AB15" s="219"/>
      <c r="AC15" s="219"/>
      <c r="AD15" s="219"/>
      <c r="AE15" s="219"/>
      <c r="AF15" s="219"/>
      <c r="AG15" s="219"/>
      <c r="AH15" s="219"/>
      <c r="AI15" s="56"/>
    </row>
    <row r="16" spans="2:41" ht="25.4" customHeight="1" x14ac:dyDescent="0.35">
      <c r="B16" s="560" t="s">
        <v>430</v>
      </c>
      <c r="C16" s="558">
        <v>2020</v>
      </c>
      <c r="D16" s="558">
        <v>2021</v>
      </c>
      <c r="E16" s="558">
        <v>2022</v>
      </c>
      <c r="F16" s="558">
        <v>2023</v>
      </c>
      <c r="G16" s="558">
        <v>2024</v>
      </c>
      <c r="H16" s="558">
        <v>2025</v>
      </c>
      <c r="I16" s="558">
        <v>2026</v>
      </c>
      <c r="J16" s="558">
        <v>2027</v>
      </c>
      <c r="K16" s="559">
        <v>2028</v>
      </c>
      <c r="O16" s="56"/>
      <c r="P16" s="235"/>
      <c r="Q16" s="56"/>
      <c r="R16" s="56"/>
      <c r="S16" s="56"/>
      <c r="T16" s="554"/>
      <c r="U16" s="554"/>
      <c r="V16" s="554"/>
      <c r="W16" s="554"/>
      <c r="X16" s="554"/>
      <c r="Y16" s="554"/>
      <c r="Z16" s="554"/>
      <c r="AA16" s="554"/>
      <c r="AB16" s="554"/>
      <c r="AC16" s="554"/>
      <c r="AD16" s="554"/>
      <c r="AE16" s="554"/>
      <c r="AF16" s="554"/>
      <c r="AG16" s="554"/>
      <c r="AH16" s="554"/>
      <c r="AI16" s="56"/>
    </row>
    <row r="17" spans="2:41" ht="31.5" customHeight="1" x14ac:dyDescent="0.35">
      <c r="B17" s="585" t="s">
        <v>1971</v>
      </c>
      <c r="C17" s="245">
        <v>458.46800000000002</v>
      </c>
      <c r="D17" s="256">
        <v>520.58799999999997</v>
      </c>
      <c r="E17" s="256">
        <v>591.94899999999996</v>
      </c>
      <c r="F17" s="256">
        <v>615.77200000000005</v>
      </c>
      <c r="G17" s="256">
        <v>617.51700000000005</v>
      </c>
      <c r="H17" s="256">
        <v>655.87</v>
      </c>
      <c r="I17" s="256">
        <v>695.20899999999995</v>
      </c>
      <c r="J17" s="256">
        <v>737.62</v>
      </c>
      <c r="K17" s="544">
        <v>766.58699999999999</v>
      </c>
      <c r="L17" s="256">
        <v>803.17</v>
      </c>
      <c r="M17" s="256">
        <v>836.60199999999998</v>
      </c>
      <c r="N17" s="256">
        <v>870.99400000000003</v>
      </c>
      <c r="O17" s="256">
        <v>910.18399999999997</v>
      </c>
      <c r="P17" s="256">
        <v>947.56500000000005</v>
      </c>
      <c r="Q17" s="256">
        <v>985.65899999999999</v>
      </c>
      <c r="R17" s="256">
        <v>1025.287</v>
      </c>
      <c r="S17" s="56"/>
      <c r="T17" s="56"/>
      <c r="U17" s="56"/>
      <c r="V17" s="56"/>
      <c r="W17" s="56"/>
      <c r="X17" s="56"/>
      <c r="Y17" s="56"/>
      <c r="Z17" s="56"/>
      <c r="AA17" s="56"/>
      <c r="AB17" s="56"/>
      <c r="AC17" s="56"/>
      <c r="AD17" s="56"/>
      <c r="AE17" s="56"/>
      <c r="AF17" s="56"/>
      <c r="AH17" s="56"/>
      <c r="AI17" s="56"/>
    </row>
    <row r="18" spans="2:41" x14ac:dyDescent="0.35">
      <c r="B18" s="548" t="s">
        <v>431</v>
      </c>
      <c r="C18" s="554">
        <f>AVERAGE(H12:K12)</f>
        <v>0.70936912683173392</v>
      </c>
      <c r="D18" s="554">
        <f>AVERAGE(L12:O12)</f>
        <v>0.72156224210587805</v>
      </c>
      <c r="E18" s="554">
        <f>AVERAGE(P12:S12)</f>
        <v>0.74374550877516454</v>
      </c>
      <c r="F18" s="554">
        <f>AVERAGE(T12:W12)</f>
        <v>0.70641986178225102</v>
      </c>
      <c r="G18" s="554">
        <f>AVERAGE(X12:AA12)</f>
        <v>0.6914224189250312</v>
      </c>
      <c r="H18" s="554">
        <f>AVERAGE(Y12:AB12)</f>
        <v>0.68376202996062063</v>
      </c>
      <c r="I18" s="554">
        <f>AVERAGE(AB12:AE12)</f>
        <v>0.68413675610867664</v>
      </c>
      <c r="J18" s="554">
        <f>AVERAGE(AA12:AI12)</f>
        <v>0.68456494872056439</v>
      </c>
      <c r="K18" s="225"/>
    </row>
    <row r="19" spans="2:41" x14ac:dyDescent="0.35">
      <c r="B19" s="548" t="s">
        <v>432</v>
      </c>
      <c r="C19" s="219">
        <f t="shared" ref="C19:K19" si="4">C17/C18</f>
        <v>646.30385318242224</v>
      </c>
      <c r="D19" s="219">
        <f t="shared" si="4"/>
        <v>721.47344972024155</v>
      </c>
      <c r="E19" s="219">
        <f t="shared" si="4"/>
        <v>795.90262128083259</v>
      </c>
      <c r="F19" s="219">
        <f t="shared" si="4"/>
        <v>871.67990781919355</v>
      </c>
      <c r="G19" s="219">
        <f t="shared" si="4"/>
        <v>893.11104629795852</v>
      </c>
      <c r="H19" s="219">
        <f t="shared" si="4"/>
        <v>959.20798649461858</v>
      </c>
      <c r="I19" s="219">
        <f t="shared" si="4"/>
        <v>1016.1842552566558</v>
      </c>
      <c r="J19" s="219">
        <f t="shared" si="4"/>
        <v>1077.5018519113405</v>
      </c>
      <c r="K19" s="545" t="e">
        <f t="shared" si="4"/>
        <v>#DIV/0!</v>
      </c>
    </row>
    <row r="20" spans="2:41" ht="32.25" customHeight="1" x14ac:dyDescent="0.35">
      <c r="B20" s="522" t="s">
        <v>433</v>
      </c>
      <c r="C20" s="491"/>
      <c r="D20" s="570">
        <f>D19/C19-1</f>
        <v>0.11630689832295071</v>
      </c>
      <c r="E20" s="570">
        <f t="shared" ref="E20" si="5">E19/D19-1</f>
        <v>0.10316273119884278</v>
      </c>
      <c r="F20" s="570">
        <f>F19/E19-1</f>
        <v>9.5209243583610492E-2</v>
      </c>
      <c r="G20" s="570">
        <f>G19/F19-1</f>
        <v>2.4586018659512598E-2</v>
      </c>
      <c r="H20" s="570">
        <f>H19/G19-1+0.01</f>
        <v>8.4007527362514475E-2</v>
      </c>
      <c r="I20" s="570">
        <f>I19/H19-1</f>
        <v>5.9399285206386043E-2</v>
      </c>
      <c r="J20" s="570">
        <f>J19/I19-1</f>
        <v>6.0341022149765333E-2</v>
      </c>
      <c r="K20" s="546" t="e">
        <f>K19/J19-1</f>
        <v>#DIV/0!</v>
      </c>
      <c r="L20" s="572"/>
      <c r="R20" s="56"/>
      <c r="S20" s="515"/>
      <c r="T20" s="515"/>
      <c r="U20" s="515"/>
    </row>
    <row r="21" spans="2:41" ht="32.25" customHeight="1" x14ac:dyDescent="0.35">
      <c r="B21" s="271"/>
      <c r="C21" s="219"/>
      <c r="D21" s="554"/>
      <c r="E21" s="554"/>
      <c r="F21" s="554"/>
      <c r="G21" s="554"/>
      <c r="H21" s="554"/>
      <c r="I21" s="554"/>
      <c r="J21" s="554"/>
      <c r="K21" s="572"/>
      <c r="L21" s="572"/>
      <c r="R21" s="56"/>
      <c r="S21" s="515"/>
      <c r="T21" s="515"/>
      <c r="U21" s="515"/>
    </row>
    <row r="23" spans="2:41" x14ac:dyDescent="0.35">
      <c r="B23" s="512" t="s">
        <v>364</v>
      </c>
    </row>
    <row r="24" spans="2:41" x14ac:dyDescent="0.35">
      <c r="B24" s="1274" t="s">
        <v>434</v>
      </c>
      <c r="C24" s="1326"/>
      <c r="D24" s="1298" t="s">
        <v>279</v>
      </c>
      <c r="E24" s="1299"/>
      <c r="F24" s="1299"/>
      <c r="G24" s="1299"/>
      <c r="H24" s="1299"/>
      <c r="I24" s="1299"/>
      <c r="J24" s="1299"/>
      <c r="K24" s="1299"/>
      <c r="L24" s="1299"/>
      <c r="M24" s="1299"/>
      <c r="N24" s="1299"/>
      <c r="O24" s="1299"/>
      <c r="P24" s="1299"/>
      <c r="Q24" s="1299"/>
      <c r="R24" s="1299"/>
      <c r="S24" s="1299"/>
      <c r="T24" s="1299"/>
      <c r="U24" s="1299"/>
      <c r="V24" s="1299"/>
      <c r="W24" s="1299"/>
      <c r="X24" s="1299"/>
      <c r="Y24" s="1299"/>
      <c r="Z24" s="1299"/>
      <c r="AA24" s="1299"/>
      <c r="AB24" s="1300"/>
      <c r="AC24" s="1302" t="s">
        <v>280</v>
      </c>
      <c r="AD24" s="1282"/>
      <c r="AE24" s="1282"/>
      <c r="AF24" s="1282"/>
      <c r="AG24" s="1282"/>
      <c r="AH24" s="1282"/>
      <c r="AI24" s="1282"/>
      <c r="AJ24" s="1282"/>
      <c r="AK24" s="1282"/>
      <c r="AL24" s="1282"/>
      <c r="AM24" s="1282"/>
      <c r="AN24" s="1283"/>
    </row>
    <row r="25" spans="2:41" x14ac:dyDescent="0.35">
      <c r="B25" s="1276"/>
      <c r="C25" s="1327"/>
      <c r="D25" s="282">
        <v>2018</v>
      </c>
      <c r="E25" s="1293">
        <v>2019</v>
      </c>
      <c r="F25" s="1294"/>
      <c r="G25" s="1294"/>
      <c r="H25" s="1295"/>
      <c r="I25" s="1293">
        <v>2020</v>
      </c>
      <c r="J25" s="1294"/>
      <c r="K25" s="1294"/>
      <c r="L25" s="1294"/>
      <c r="M25" s="1293">
        <v>2021</v>
      </c>
      <c r="N25" s="1294"/>
      <c r="O25" s="1294"/>
      <c r="P25" s="1294"/>
      <c r="Q25" s="1293">
        <v>2022</v>
      </c>
      <c r="R25" s="1301"/>
      <c r="S25" s="1301"/>
      <c r="T25" s="1295"/>
      <c r="U25" s="437"/>
      <c r="V25" s="428">
        <v>2023</v>
      </c>
      <c r="W25" s="428"/>
      <c r="X25" s="295"/>
      <c r="Y25" s="437"/>
      <c r="Z25" s="428">
        <v>2024</v>
      </c>
      <c r="AA25" s="428"/>
      <c r="AB25" s="295"/>
      <c r="AC25" s="1280">
        <v>2025</v>
      </c>
      <c r="AD25" s="1286"/>
      <c r="AE25" s="1286"/>
      <c r="AF25" s="1285"/>
      <c r="AG25" s="1280">
        <v>2026</v>
      </c>
      <c r="AH25" s="1281"/>
      <c r="AI25" s="1281"/>
      <c r="AJ25" s="1285"/>
      <c r="AK25" s="1280">
        <v>2027</v>
      </c>
      <c r="AL25" s="1281"/>
      <c r="AM25" s="1281"/>
      <c r="AN25" s="1285"/>
    </row>
    <row r="26" spans="2:41" x14ac:dyDescent="0.35">
      <c r="B26" s="1278"/>
      <c r="C26" s="1328"/>
      <c r="D26" s="214" t="s">
        <v>281</v>
      </c>
      <c r="E26" s="214" t="s">
        <v>282</v>
      </c>
      <c r="F26" s="215" t="s">
        <v>283</v>
      </c>
      <c r="G26" s="215" t="s">
        <v>238</v>
      </c>
      <c r="H26" s="218" t="s">
        <v>281</v>
      </c>
      <c r="I26" s="215" t="s">
        <v>282</v>
      </c>
      <c r="J26" s="215" t="s">
        <v>283</v>
      </c>
      <c r="K26" s="215" t="s">
        <v>238</v>
      </c>
      <c r="L26" s="215" t="s">
        <v>281</v>
      </c>
      <c r="M26" s="214" t="s">
        <v>282</v>
      </c>
      <c r="N26" s="215" t="s">
        <v>283</v>
      </c>
      <c r="O26" s="215" t="s">
        <v>238</v>
      </c>
      <c r="P26" s="215" t="s">
        <v>281</v>
      </c>
      <c r="Q26" s="214" t="s">
        <v>282</v>
      </c>
      <c r="R26" s="215" t="s">
        <v>283</v>
      </c>
      <c r="S26" s="215" t="s">
        <v>238</v>
      </c>
      <c r="T26" s="218" t="s">
        <v>281</v>
      </c>
      <c r="U26" s="273" t="s">
        <v>282</v>
      </c>
      <c r="V26" s="279" t="s">
        <v>283</v>
      </c>
      <c r="W26" s="274" t="s">
        <v>238</v>
      </c>
      <c r="X26" s="274" t="s">
        <v>281</v>
      </c>
      <c r="Y26" s="273" t="s">
        <v>282</v>
      </c>
      <c r="Z26" s="279" t="s">
        <v>283</v>
      </c>
      <c r="AA26" s="274" t="s">
        <v>238</v>
      </c>
      <c r="AB26" s="274" t="s">
        <v>281</v>
      </c>
      <c r="AC26" s="259" t="s">
        <v>282</v>
      </c>
      <c r="AD26" s="257" t="s">
        <v>283</v>
      </c>
      <c r="AE26" s="260" t="s">
        <v>238</v>
      </c>
      <c r="AF26" s="260" t="s">
        <v>281</v>
      </c>
      <c r="AG26" s="222" t="s">
        <v>282</v>
      </c>
      <c r="AH26" s="257" t="s">
        <v>283</v>
      </c>
      <c r="AI26" s="257" t="s">
        <v>238</v>
      </c>
      <c r="AJ26" s="277" t="s">
        <v>281</v>
      </c>
      <c r="AK26" s="222" t="s">
        <v>282</v>
      </c>
      <c r="AL26" s="257" t="s">
        <v>283</v>
      </c>
      <c r="AM26" s="257" t="s">
        <v>238</v>
      </c>
      <c r="AN26" s="277" t="s">
        <v>281</v>
      </c>
    </row>
    <row r="27" spans="2:41" ht="19.5" customHeight="1" x14ac:dyDescent="0.35">
      <c r="B27" s="580" t="s">
        <v>435</v>
      </c>
      <c r="C27" s="581"/>
      <c r="D27" s="567">
        <f t="shared" ref="D27:AB27" si="6">D10</f>
        <v>589.5</v>
      </c>
      <c r="E27" s="568">
        <f t="shared" si="6"/>
        <v>598.70000000000005</v>
      </c>
      <c r="F27" s="568">
        <f t="shared" si="6"/>
        <v>614.4</v>
      </c>
      <c r="G27" s="568">
        <f t="shared" si="6"/>
        <v>622.4</v>
      </c>
      <c r="H27" s="568">
        <f t="shared" si="6"/>
        <v>620.6</v>
      </c>
      <c r="I27" s="568">
        <f t="shared" si="6"/>
        <v>606.5</v>
      </c>
      <c r="J27" s="568">
        <f t="shared" si="6"/>
        <v>654.6</v>
      </c>
      <c r="K27" s="568">
        <f t="shared" si="6"/>
        <v>690.8</v>
      </c>
      <c r="L27" s="568">
        <f t="shared" si="6"/>
        <v>678.6</v>
      </c>
      <c r="M27" s="568">
        <f t="shared" si="6"/>
        <v>704.9</v>
      </c>
      <c r="N27" s="568">
        <f t="shared" si="6"/>
        <v>745.6</v>
      </c>
      <c r="O27" s="568">
        <f t="shared" si="6"/>
        <v>749.2</v>
      </c>
      <c r="P27" s="568">
        <f t="shared" si="6"/>
        <v>746.3</v>
      </c>
      <c r="Q27" s="568">
        <f t="shared" si="6"/>
        <v>791.9</v>
      </c>
      <c r="R27" s="568">
        <f t="shared" si="6"/>
        <v>819.2</v>
      </c>
      <c r="S27" s="569">
        <f t="shared" si="6"/>
        <v>819</v>
      </c>
      <c r="T27" s="556">
        <f t="shared" si="6"/>
        <v>827.5</v>
      </c>
      <c r="U27" s="569">
        <f t="shared" si="6"/>
        <v>877.6</v>
      </c>
      <c r="V27" s="569">
        <f t="shared" si="6"/>
        <v>911.6</v>
      </c>
      <c r="W27" s="569">
        <f t="shared" si="6"/>
        <v>867.2</v>
      </c>
      <c r="X27" s="569">
        <f t="shared" si="6"/>
        <v>856.2</v>
      </c>
      <c r="Y27" s="569">
        <f t="shared" si="6"/>
        <v>904.8</v>
      </c>
      <c r="Z27" s="569">
        <f t="shared" si="6"/>
        <v>924.7</v>
      </c>
      <c r="AA27" s="569">
        <f t="shared" si="6"/>
        <v>932.4</v>
      </c>
      <c r="AB27" s="569">
        <f t="shared" si="6"/>
        <v>957.6</v>
      </c>
      <c r="AC27" s="579">
        <f>AB27*(1+$H$20)^0.25+AC28</f>
        <v>967.10719642383469</v>
      </c>
      <c r="AD27" s="579">
        <f>AC27*(1+$H$20)^0.25+AD28</f>
        <v>986.80806321951536</v>
      </c>
      <c r="AE27" s="579">
        <f>AD27*(1+$H$20)^0.25+AE28</f>
        <v>1006.9102548672251</v>
      </c>
      <c r="AF27" s="550">
        <f>AE27*(1+$I$20)^0.25+AF28</f>
        <v>1021.540719904543</v>
      </c>
      <c r="AG27" s="552">
        <f>AF27*(1+$I$20)^0.25+AG28</f>
        <v>1036.383766456622</v>
      </c>
      <c r="AH27" s="552">
        <f>AG27*(1+$I$20)^0.25+AH28</f>
        <v>1051.4424833453349</v>
      </c>
      <c r="AI27" s="552">
        <f>AH27*(1+$I$20)^0.25+AI28</f>
        <v>1066.7200042733177</v>
      </c>
      <c r="AJ27" s="550">
        <f>AI27*(1+$J$20)^0.25+AJ28</f>
        <v>1082.4599340037141</v>
      </c>
      <c r="AK27" s="552">
        <f>AJ27*(1+$J$20)^0.25+AK28</f>
        <v>1098.4321134218687</v>
      </c>
      <c r="AL27" s="552">
        <f>AK27*(1+$J$20)^0.25+AL28</f>
        <v>1114.6399694755753</v>
      </c>
      <c r="AM27" s="552">
        <f>AL27*(1+$J$20)^0.25+AM28</f>
        <v>1131.0869796787715</v>
      </c>
      <c r="AN27" s="550" t="e">
        <f>AM27*(1+$K$20)^0.25+AN28</f>
        <v>#DIV/0!</v>
      </c>
      <c r="AO27" s="561" t="s">
        <v>1829</v>
      </c>
    </row>
    <row r="28" spans="2:41" ht="19.5" customHeight="1" x14ac:dyDescent="0.35">
      <c r="B28" s="571" t="s">
        <v>1699</v>
      </c>
      <c r="C28" s="253"/>
      <c r="D28" s="582"/>
      <c r="E28" s="549"/>
      <c r="F28" s="549"/>
      <c r="G28" s="549"/>
      <c r="H28" s="549"/>
      <c r="I28" s="549"/>
      <c r="J28" s="549"/>
      <c r="K28" s="549"/>
      <c r="L28" s="549"/>
      <c r="M28" s="549"/>
      <c r="N28" s="549"/>
      <c r="O28" s="549"/>
      <c r="P28" s="549"/>
      <c r="Q28" s="549"/>
      <c r="R28" s="549"/>
      <c r="S28" s="549"/>
      <c r="T28" s="549"/>
      <c r="U28" s="549"/>
      <c r="V28" s="549"/>
      <c r="W28" s="549"/>
      <c r="X28" s="549"/>
      <c r="Y28" s="552"/>
      <c r="Z28" s="552"/>
      <c r="AA28" s="552"/>
      <c r="AB28" s="552"/>
      <c r="AC28" s="552">
        <f>-10</f>
        <v>-10</v>
      </c>
      <c r="AD28" s="552"/>
      <c r="AE28" s="552"/>
      <c r="AF28" s="552"/>
      <c r="AG28" s="552"/>
      <c r="AH28" s="552"/>
      <c r="AI28" s="552"/>
      <c r="AJ28" s="552"/>
      <c r="AK28" s="552"/>
      <c r="AL28" s="552"/>
      <c r="AM28" s="552"/>
      <c r="AN28" s="552"/>
    </row>
    <row r="29" spans="2:41" ht="19.399999999999999" customHeight="1" x14ac:dyDescent="0.35">
      <c r="B29" s="571" t="s">
        <v>207</v>
      </c>
      <c r="C29" s="253"/>
      <c r="D29" s="582">
        <f t="shared" ref="D29:Q29" si="7">D10*D12</f>
        <v>391.92099999999999</v>
      </c>
      <c r="E29" s="549">
        <f t="shared" si="7"/>
        <v>405.36799999999999</v>
      </c>
      <c r="F29" s="549">
        <f t="shared" si="7"/>
        <v>414.19600000000003</v>
      </c>
      <c r="G29" s="549">
        <f t="shared" si="7"/>
        <v>418.68599999999992</v>
      </c>
      <c r="H29" s="549">
        <f t="shared" si="7"/>
        <v>416.18500000000006</v>
      </c>
      <c r="I29" s="549">
        <f t="shared" si="7"/>
        <v>422.89</v>
      </c>
      <c r="J29" s="549">
        <f t="shared" si="7"/>
        <v>502.90600000000001</v>
      </c>
      <c r="K29" s="549">
        <f t="shared" si="7"/>
        <v>484.48</v>
      </c>
      <c r="L29" s="549">
        <f t="shared" si="7"/>
        <v>509.88400000000001</v>
      </c>
      <c r="M29" s="549">
        <f t="shared" si="7"/>
        <v>499.42899999999997</v>
      </c>
      <c r="N29" s="549">
        <f t="shared" si="7"/>
        <v>520.79</v>
      </c>
      <c r="O29" s="549">
        <f t="shared" si="7"/>
        <v>545.32600000000002</v>
      </c>
      <c r="P29" s="549">
        <f t="shared" si="7"/>
        <v>567.61</v>
      </c>
      <c r="Q29" s="549">
        <f t="shared" si="7"/>
        <v>589.92700000000002</v>
      </c>
      <c r="R29" s="549">
        <f t="shared" ref="R29:AN29" si="8">R27*R12</f>
        <v>585.74599999999998</v>
      </c>
      <c r="S29" s="549">
        <f t="shared" si="8"/>
        <v>617.88900000000001</v>
      </c>
      <c r="T29" s="549">
        <f t="shared" si="8"/>
        <v>611.67999999999995</v>
      </c>
      <c r="U29" s="549">
        <f t="shared" si="8"/>
        <v>632.66</v>
      </c>
      <c r="V29" s="549">
        <f t="shared" si="8"/>
        <v>628.88699999999994</v>
      </c>
      <c r="W29" s="549">
        <f t="shared" si="8"/>
        <v>585.98400000000004</v>
      </c>
      <c r="X29" s="549">
        <f t="shared" si="8"/>
        <v>612.03399999999999</v>
      </c>
      <c r="Y29" s="552">
        <f t="shared" si="8"/>
        <v>618.72699999999998</v>
      </c>
      <c r="Z29" s="552">
        <f t="shared" si="8"/>
        <v>628.15700000000004</v>
      </c>
      <c r="AA29" s="552">
        <f t="shared" si="8"/>
        <v>641.23699999999997</v>
      </c>
      <c r="AB29" s="552">
        <f t="shared" si="8"/>
        <v>655.17499999999995</v>
      </c>
      <c r="AC29" s="552">
        <f t="shared" si="8"/>
        <v>661.27117981628589</v>
      </c>
      <c r="AD29" s="552">
        <f t="shared" si="8"/>
        <v>674.72576616221306</v>
      </c>
      <c r="AE29" s="552">
        <f t="shared" si="8"/>
        <v>689.58740069290093</v>
      </c>
      <c r="AF29" s="552">
        <f t="shared" si="8"/>
        <v>698.87355434841629</v>
      </c>
      <c r="AG29" s="552">
        <f t="shared" si="8"/>
        <v>709.01587870669846</v>
      </c>
      <c r="AH29" s="552">
        <f t="shared" si="8"/>
        <v>719.41328954169887</v>
      </c>
      <c r="AI29" s="552">
        <f t="shared" si="8"/>
        <v>729.99170553910426</v>
      </c>
      <c r="AJ29" s="552">
        <f t="shared" si="8"/>
        <v>740.62183191583563</v>
      </c>
      <c r="AK29" s="552">
        <f t="shared" si="8"/>
        <v>751.56810125258789</v>
      </c>
      <c r="AL29" s="552">
        <f t="shared" si="8"/>
        <v>762.6840572309477</v>
      </c>
      <c r="AM29" s="552">
        <f t="shared" si="8"/>
        <v>773.94542813352416</v>
      </c>
      <c r="AN29" s="552" t="e">
        <f t="shared" si="8"/>
        <v>#DIV/0!</v>
      </c>
    </row>
    <row r="30" spans="2:41" ht="19.399999999999999" customHeight="1" x14ac:dyDescent="0.35">
      <c r="B30" s="547" t="s">
        <v>436</v>
      </c>
      <c r="C30" s="356"/>
      <c r="D30" s="584">
        <f t="shared" ref="D30:G30" si="9">D27-D29</f>
        <v>197.57900000000001</v>
      </c>
      <c r="E30" s="551">
        <f t="shared" si="9"/>
        <v>193.33200000000005</v>
      </c>
      <c r="F30" s="551">
        <f t="shared" si="9"/>
        <v>200.20399999999995</v>
      </c>
      <c r="G30" s="551">
        <f t="shared" si="9"/>
        <v>203.71400000000006</v>
      </c>
      <c r="H30" s="551">
        <f t="shared" ref="H30:AC30" si="10">H27-H29</f>
        <v>204.41499999999996</v>
      </c>
      <c r="I30" s="551">
        <f t="shared" si="10"/>
        <v>183.61</v>
      </c>
      <c r="J30" s="551">
        <f t="shared" si="10"/>
        <v>151.69400000000002</v>
      </c>
      <c r="K30" s="551">
        <f t="shared" si="10"/>
        <v>206.31999999999994</v>
      </c>
      <c r="L30" s="551">
        <f t="shared" si="10"/>
        <v>168.71600000000001</v>
      </c>
      <c r="M30" s="551">
        <f t="shared" si="10"/>
        <v>205.471</v>
      </c>
      <c r="N30" s="551">
        <f t="shared" si="10"/>
        <v>224.81000000000006</v>
      </c>
      <c r="O30" s="551">
        <f>O27-O29</f>
        <v>203.87400000000002</v>
      </c>
      <c r="P30" s="551">
        <f>P27-P29</f>
        <v>178.68999999999994</v>
      </c>
      <c r="Q30" s="551">
        <f t="shared" si="10"/>
        <v>201.97299999999996</v>
      </c>
      <c r="R30" s="551">
        <f t="shared" si="10"/>
        <v>233.45400000000006</v>
      </c>
      <c r="S30" s="551">
        <f t="shared" si="10"/>
        <v>201.11099999999999</v>
      </c>
      <c r="T30" s="551">
        <f t="shared" si="10"/>
        <v>215.82000000000005</v>
      </c>
      <c r="U30" s="551">
        <f t="shared" si="10"/>
        <v>244.94000000000005</v>
      </c>
      <c r="V30" s="551">
        <f t="shared" si="10"/>
        <v>282.71300000000008</v>
      </c>
      <c r="W30" s="551">
        <f t="shared" si="10"/>
        <v>281.21600000000001</v>
      </c>
      <c r="X30" s="551">
        <f t="shared" si="10"/>
        <v>244.16600000000005</v>
      </c>
      <c r="Y30" s="578">
        <f t="shared" si="10"/>
        <v>286.07299999999998</v>
      </c>
      <c r="Z30" s="578">
        <f t="shared" si="10"/>
        <v>296.54300000000001</v>
      </c>
      <c r="AA30" s="578">
        <f t="shared" si="10"/>
        <v>291.16300000000001</v>
      </c>
      <c r="AB30" s="578">
        <f>AB27-AB29</f>
        <v>302.42500000000007</v>
      </c>
      <c r="AC30" s="578">
        <f t="shared" si="10"/>
        <v>305.8360166075488</v>
      </c>
      <c r="AD30" s="578">
        <f t="shared" ref="AD30:AG30" si="11">AD27-AD29</f>
        <v>312.0822970573023</v>
      </c>
      <c r="AE30" s="578">
        <f t="shared" si="11"/>
        <v>317.32285417432422</v>
      </c>
      <c r="AF30" s="578">
        <f t="shared" si="11"/>
        <v>322.66716555612675</v>
      </c>
      <c r="AG30" s="578">
        <f t="shared" si="11"/>
        <v>327.36788774992351</v>
      </c>
      <c r="AH30" s="578">
        <f>AH27-AH29</f>
        <v>332.02919380363608</v>
      </c>
      <c r="AI30" s="578">
        <f>AI27-AI29</f>
        <v>336.72829873421347</v>
      </c>
      <c r="AJ30" s="578">
        <f>AJ27-AJ29</f>
        <v>341.8381020878785</v>
      </c>
      <c r="AK30" s="578">
        <f>AK27-AK29</f>
        <v>346.86401216928084</v>
      </c>
      <c r="AL30" s="578">
        <f>AL27-AL29</f>
        <v>351.9559122446276</v>
      </c>
      <c r="AM30" s="578">
        <f t="shared" ref="AM30:AN30" si="12">AM27-AM29</f>
        <v>357.14155154524735</v>
      </c>
      <c r="AN30" s="578" t="e">
        <f t="shared" si="12"/>
        <v>#DIV/0!</v>
      </c>
    </row>
    <row r="31" spans="2:41" ht="19.399999999999999" customHeight="1" x14ac:dyDescent="0.35">
      <c r="B31" s="235"/>
      <c r="C31" s="235"/>
      <c r="D31" s="490"/>
      <c r="E31" s="490"/>
      <c r="F31" s="490"/>
      <c r="G31" s="490"/>
      <c r="H31" s="490"/>
      <c r="I31" s="490"/>
      <c r="J31" s="490"/>
      <c r="K31" s="490"/>
      <c r="L31" s="490"/>
      <c r="M31" s="490"/>
      <c r="N31" s="490"/>
      <c r="O31" s="490"/>
      <c r="P31" s="490"/>
      <c r="Q31" s="490"/>
      <c r="R31" s="490"/>
      <c r="S31" s="490"/>
      <c r="T31" s="490"/>
      <c r="U31" s="490"/>
      <c r="V31" s="490"/>
      <c r="W31" s="490"/>
      <c r="X31" s="490"/>
    </row>
    <row r="32" spans="2:41" ht="19.399999999999999" customHeight="1" x14ac:dyDescent="0.35">
      <c r="B32" s="235"/>
      <c r="C32" s="235"/>
      <c r="D32" s="490"/>
      <c r="E32" s="490"/>
      <c r="F32" s="490"/>
      <c r="G32" s="490"/>
      <c r="H32" s="490"/>
      <c r="I32" s="490"/>
    </row>
    <row r="33" spans="2:34" ht="19.399999999999999" customHeight="1" x14ac:dyDescent="0.35">
      <c r="B33" s="235"/>
      <c r="C33" s="235"/>
      <c r="D33" s="490"/>
      <c r="E33" s="490"/>
      <c r="F33" s="490"/>
      <c r="G33" s="490"/>
      <c r="H33" s="490"/>
      <c r="I33" s="490"/>
    </row>
    <row r="34" spans="2:34" ht="19.399999999999999" customHeight="1" x14ac:dyDescent="0.35">
      <c r="B34" s="235"/>
      <c r="C34" s="235"/>
      <c r="D34" s="490"/>
      <c r="E34" s="490"/>
      <c r="F34" s="490"/>
      <c r="G34" s="490"/>
      <c r="H34" s="490"/>
      <c r="I34" s="490"/>
      <c r="J34" s="490"/>
      <c r="K34" s="490"/>
      <c r="L34" s="490"/>
      <c r="M34" s="490"/>
      <c r="N34" s="490"/>
      <c r="O34" s="490"/>
      <c r="P34" s="490"/>
      <c r="Q34" s="490"/>
      <c r="R34" s="490"/>
      <c r="S34" s="490"/>
      <c r="T34" s="490"/>
      <c r="Y34" s="490"/>
      <c r="Z34" s="490"/>
      <c r="AA34" s="490"/>
      <c r="AB34" s="490"/>
      <c r="AC34" s="490"/>
      <c r="AD34" s="490"/>
      <c r="AE34" s="490"/>
      <c r="AF34" s="490"/>
      <c r="AG34" s="490"/>
      <c r="AH34" s="490"/>
    </row>
    <row r="35" spans="2:34" ht="19.399999999999999" customHeight="1" x14ac:dyDescent="0.35">
      <c r="B35" s="235"/>
      <c r="C35" s="235"/>
      <c r="D35" s="490"/>
      <c r="E35" s="490"/>
      <c r="F35" s="490"/>
      <c r="G35" s="490"/>
      <c r="H35" s="490"/>
      <c r="I35" s="490"/>
      <c r="J35" s="490"/>
      <c r="K35" s="490"/>
      <c r="L35" s="490"/>
      <c r="M35" s="490"/>
      <c r="N35" s="490"/>
      <c r="O35" s="490"/>
      <c r="P35" s="490"/>
      <c r="Q35" s="490"/>
      <c r="R35" s="490"/>
      <c r="S35" s="490"/>
      <c r="T35" s="490"/>
      <c r="Y35" s="490"/>
      <c r="Z35" s="490"/>
      <c r="AA35" s="490"/>
      <c r="AB35" s="490"/>
      <c r="AC35" s="490"/>
      <c r="AD35" s="490"/>
      <c r="AE35" s="490"/>
      <c r="AF35" s="490"/>
      <c r="AG35" s="490"/>
      <c r="AH35" s="490"/>
    </row>
    <row r="36" spans="2:34" ht="19" customHeight="1" x14ac:dyDescent="0.35">
      <c r="B36" s="235"/>
      <c r="C36" s="235"/>
      <c r="D36" s="490"/>
      <c r="E36" s="490"/>
      <c r="F36" s="490"/>
      <c r="G36" s="490"/>
      <c r="H36" s="490"/>
      <c r="I36" s="490"/>
      <c r="J36" s="490"/>
      <c r="K36" s="490"/>
      <c r="L36" s="490"/>
      <c r="M36" s="490"/>
      <c r="N36" s="490"/>
      <c r="O36" s="490"/>
      <c r="AG36" s="490"/>
      <c r="AH36" s="490"/>
    </row>
    <row r="37" spans="2:34" ht="19" customHeight="1" x14ac:dyDescent="0.35">
      <c r="B37" s="235"/>
      <c r="C37" s="235"/>
      <c r="D37" s="490"/>
      <c r="E37" s="490"/>
      <c r="F37" s="490"/>
      <c r="G37" s="490"/>
      <c r="H37" s="490"/>
      <c r="I37" s="490"/>
      <c r="J37" s="490"/>
      <c r="K37" s="490"/>
      <c r="L37" s="490"/>
      <c r="M37" s="490"/>
      <c r="N37" s="490"/>
      <c r="O37" s="490"/>
      <c r="AG37" s="490"/>
      <c r="AH37" s="490"/>
    </row>
    <row r="38" spans="2:34" ht="19.399999999999999" customHeight="1" x14ac:dyDescent="0.35">
      <c r="B38" s="235"/>
      <c r="C38" s="235"/>
      <c r="D38" s="490"/>
      <c r="E38" s="490"/>
      <c r="F38" s="490"/>
      <c r="G38" s="490"/>
      <c r="H38" s="490"/>
      <c r="I38" s="490"/>
      <c r="J38" s="490"/>
      <c r="K38" s="490"/>
      <c r="L38" s="490"/>
      <c r="M38" s="490"/>
      <c r="N38" s="490"/>
      <c r="O38" s="490"/>
      <c r="P38" s="490"/>
      <c r="Q38" s="490"/>
      <c r="R38" s="490"/>
      <c r="S38" s="490"/>
      <c r="T38" s="490"/>
      <c r="Y38" s="490"/>
      <c r="Z38" s="490"/>
      <c r="AA38" s="490"/>
      <c r="AB38" s="490"/>
      <c r="AC38" s="490"/>
      <c r="AD38" s="490"/>
      <c r="AE38" s="490"/>
      <c r="AF38" s="490"/>
      <c r="AG38" s="490"/>
      <c r="AH38" s="490"/>
    </row>
    <row r="39" spans="2:34" ht="14.9" customHeight="1" x14ac:dyDescent="0.35">
      <c r="B39" s="573" t="s">
        <v>437</v>
      </c>
      <c r="C39" s="574"/>
      <c r="D39" s="574"/>
      <c r="E39" s="575"/>
      <c r="F39" s="576">
        <v>2021</v>
      </c>
      <c r="G39" s="576">
        <v>2022</v>
      </c>
      <c r="H39" s="576">
        <v>2023</v>
      </c>
      <c r="I39" s="576">
        <v>2024</v>
      </c>
      <c r="J39" s="576">
        <v>2025</v>
      </c>
      <c r="K39" s="576">
        <v>2025</v>
      </c>
      <c r="L39" s="576">
        <v>2027</v>
      </c>
      <c r="M39" s="576">
        <v>2028</v>
      </c>
      <c r="N39" s="576">
        <v>2029</v>
      </c>
      <c r="O39" s="576">
        <v>2030</v>
      </c>
      <c r="P39" s="577">
        <v>2031</v>
      </c>
    </row>
    <row r="40" spans="2:34" ht="15" customHeight="1" x14ac:dyDescent="0.35">
      <c r="B40" s="1342" t="s">
        <v>438</v>
      </c>
      <c r="C40" s="1343"/>
      <c r="D40" s="1343"/>
      <c r="E40" s="1344"/>
      <c r="F40" s="219">
        <v>287</v>
      </c>
      <c r="G40" s="219">
        <v>534</v>
      </c>
      <c r="H40" s="219">
        <v>247</v>
      </c>
      <c r="I40" s="219">
        <v>63</v>
      </c>
      <c r="J40" s="219"/>
      <c r="K40" s="219"/>
      <c r="L40" s="219"/>
      <c r="M40" s="219"/>
      <c r="N40" s="219"/>
      <c r="O40" s="219"/>
      <c r="P40" s="545"/>
    </row>
    <row r="41" spans="2:34" ht="15" customHeight="1" x14ac:dyDescent="0.35">
      <c r="B41" s="1339" t="s">
        <v>439</v>
      </c>
      <c r="C41" s="1340"/>
      <c r="D41" s="1340"/>
      <c r="E41" s="1341"/>
      <c r="F41" s="219">
        <v>0</v>
      </c>
      <c r="G41" s="219">
        <v>0</v>
      </c>
      <c r="H41" s="219">
        <v>756</v>
      </c>
      <c r="I41" s="219">
        <v>1249</v>
      </c>
      <c r="J41" s="219">
        <v>1417</v>
      </c>
      <c r="K41" s="219">
        <v>1522</v>
      </c>
      <c r="L41" s="219">
        <v>1107</v>
      </c>
      <c r="M41" s="219"/>
      <c r="N41" s="219"/>
      <c r="O41" s="219"/>
      <c r="P41" s="545"/>
    </row>
    <row r="42" spans="2:34" x14ac:dyDescent="0.35">
      <c r="B42" s="1339" t="s">
        <v>440</v>
      </c>
      <c r="C42" s="1340"/>
      <c r="D42" s="1340"/>
      <c r="E42" s="1341"/>
      <c r="F42" s="219">
        <v>0</v>
      </c>
      <c r="G42" s="219">
        <v>5</v>
      </c>
      <c r="H42" s="219">
        <v>77</v>
      </c>
      <c r="I42" s="219">
        <v>307</v>
      </c>
      <c r="J42" s="219">
        <v>332</v>
      </c>
      <c r="K42" s="219">
        <v>270</v>
      </c>
      <c r="L42" s="219">
        <v>25</v>
      </c>
      <c r="M42" s="219">
        <v>32</v>
      </c>
      <c r="N42" s="219">
        <v>40</v>
      </c>
      <c r="O42" s="219">
        <v>49</v>
      </c>
      <c r="P42" s="545">
        <v>58</v>
      </c>
    </row>
    <row r="43" spans="2:34" ht="32.9" customHeight="1" x14ac:dyDescent="0.35">
      <c r="B43" s="1336" t="s">
        <v>441</v>
      </c>
      <c r="C43" s="1337"/>
      <c r="D43" s="1337"/>
      <c r="E43" s="1338"/>
      <c r="F43" s="219">
        <v>0</v>
      </c>
      <c r="G43" s="219">
        <v>0</v>
      </c>
      <c r="H43" s="219">
        <v>3768</v>
      </c>
      <c r="I43" s="219">
        <v>3428</v>
      </c>
      <c r="J43" s="219">
        <v>2176</v>
      </c>
      <c r="K43" s="219">
        <v>2304</v>
      </c>
      <c r="L43" s="219">
        <v>2129</v>
      </c>
      <c r="M43" s="219">
        <v>1335</v>
      </c>
      <c r="N43" s="219">
        <v>478</v>
      </c>
      <c r="O43" s="219">
        <v>531</v>
      </c>
      <c r="P43" s="545">
        <v>212</v>
      </c>
    </row>
    <row r="44" spans="2:34" ht="32.9" customHeight="1" x14ac:dyDescent="0.35">
      <c r="B44" s="1336" t="s">
        <v>442</v>
      </c>
      <c r="C44" s="1337"/>
      <c r="D44" s="1337"/>
      <c r="E44" s="1338"/>
      <c r="F44" s="219">
        <v>38</v>
      </c>
      <c r="G44" s="219">
        <v>81</v>
      </c>
      <c r="H44" s="219">
        <v>43</v>
      </c>
      <c r="I44" s="219"/>
      <c r="J44" s="219"/>
      <c r="K44" s="219"/>
      <c r="L44" s="219"/>
      <c r="M44" s="219"/>
      <c r="N44" s="219"/>
      <c r="O44" s="219"/>
      <c r="P44" s="545"/>
    </row>
    <row r="45" spans="2:34" x14ac:dyDescent="0.35">
      <c r="B45" s="1339" t="s">
        <v>443</v>
      </c>
      <c r="C45" s="1340"/>
      <c r="D45" s="1340"/>
      <c r="E45" s="1341"/>
      <c r="F45" s="219"/>
      <c r="G45" s="219"/>
      <c r="H45" s="219"/>
      <c r="I45" s="219">
        <v>-184</v>
      </c>
      <c r="J45" s="219">
        <v>-1830</v>
      </c>
      <c r="K45" s="219">
        <v>-2406</v>
      </c>
      <c r="L45" s="219">
        <v>-2419</v>
      </c>
      <c r="M45" s="219">
        <v>-2467</v>
      </c>
      <c r="N45" s="219">
        <v>-2531</v>
      </c>
      <c r="O45" s="219">
        <v>-2667</v>
      </c>
      <c r="P45" s="545">
        <v>-2809</v>
      </c>
    </row>
    <row r="46" spans="2:34" ht="15.75" customHeight="1" x14ac:dyDescent="0.35">
      <c r="B46" s="1348" t="s">
        <v>444</v>
      </c>
      <c r="C46" s="1349"/>
      <c r="D46" s="1349"/>
      <c r="E46" s="1350"/>
      <c r="F46" s="219">
        <v>6524</v>
      </c>
      <c r="G46" s="219">
        <v>6143</v>
      </c>
      <c r="H46" s="219"/>
      <c r="I46" s="219"/>
      <c r="J46" s="219"/>
      <c r="K46" s="219"/>
      <c r="L46" s="219"/>
      <c r="M46" s="219"/>
      <c r="N46" s="219"/>
      <c r="O46" s="219"/>
      <c r="P46" s="545"/>
    </row>
    <row r="47" spans="2:34" x14ac:dyDescent="0.35">
      <c r="B47" s="1339" t="s">
        <v>445</v>
      </c>
      <c r="C47" s="1340"/>
      <c r="D47" s="1340"/>
      <c r="E47" s="1341"/>
      <c r="F47" s="219">
        <v>50</v>
      </c>
      <c r="G47" s="219">
        <v>175</v>
      </c>
      <c r="H47" s="219">
        <v>25</v>
      </c>
      <c r="I47" s="219"/>
      <c r="J47" s="219"/>
      <c r="K47" s="219"/>
      <c r="L47" s="219"/>
      <c r="M47" s="219"/>
      <c r="N47" s="219"/>
      <c r="O47" s="219"/>
      <c r="P47" s="545"/>
    </row>
    <row r="48" spans="2:34" x14ac:dyDescent="0.35">
      <c r="B48" s="1339" t="s">
        <v>446</v>
      </c>
      <c r="C48" s="1340"/>
      <c r="D48" s="1340"/>
      <c r="E48" s="1341"/>
      <c r="F48" s="219">
        <v>829</v>
      </c>
      <c r="G48" s="219">
        <v>844</v>
      </c>
      <c r="H48" s="219"/>
      <c r="I48" s="219"/>
      <c r="J48" s="219"/>
      <c r="K48" s="219"/>
      <c r="L48" s="219"/>
      <c r="M48" s="219"/>
      <c r="N48" s="219"/>
      <c r="O48" s="219"/>
      <c r="P48" s="545"/>
    </row>
    <row r="49" spans="2:17" x14ac:dyDescent="0.35">
      <c r="B49" s="1351" t="s">
        <v>447</v>
      </c>
      <c r="C49" s="1352"/>
      <c r="D49" s="1352"/>
      <c r="E49" s="1353"/>
      <c r="F49" s="219">
        <f t="shared" ref="F49:P49" si="13">SUM(F40:F48)</f>
        <v>7728</v>
      </c>
      <c r="G49" s="219">
        <f t="shared" si="13"/>
        <v>7782</v>
      </c>
      <c r="H49" s="219">
        <f t="shared" si="13"/>
        <v>4916</v>
      </c>
      <c r="I49" s="219">
        <f t="shared" si="13"/>
        <v>4863</v>
      </c>
      <c r="J49" s="219">
        <f t="shared" si="13"/>
        <v>2095</v>
      </c>
      <c r="K49" s="219">
        <f t="shared" si="13"/>
        <v>1690</v>
      </c>
      <c r="L49" s="219">
        <f t="shared" si="13"/>
        <v>842</v>
      </c>
      <c r="M49" s="219">
        <f t="shared" si="13"/>
        <v>-1100</v>
      </c>
      <c r="N49" s="219">
        <f t="shared" si="13"/>
        <v>-2013</v>
      </c>
      <c r="O49" s="219">
        <f t="shared" si="13"/>
        <v>-2087</v>
      </c>
      <c r="P49" s="545">
        <f t="shared" si="13"/>
        <v>-2539</v>
      </c>
    </row>
    <row r="50" spans="2:17" x14ac:dyDescent="0.35">
      <c r="B50" s="1348" t="s">
        <v>448</v>
      </c>
      <c r="C50" s="1349"/>
      <c r="D50" s="1349"/>
      <c r="E50" s="1350"/>
      <c r="F50" s="219">
        <f t="shared" ref="F50:P50" si="14">F46+F44+F43</f>
        <v>6562</v>
      </c>
      <c r="G50" s="219">
        <f t="shared" si="14"/>
        <v>6224</v>
      </c>
      <c r="H50" s="219">
        <f t="shared" si="14"/>
        <v>3811</v>
      </c>
      <c r="I50" s="219">
        <f t="shared" si="14"/>
        <v>3428</v>
      </c>
      <c r="J50" s="219">
        <f t="shared" si="14"/>
        <v>2176</v>
      </c>
      <c r="K50" s="219">
        <f t="shared" si="14"/>
        <v>2304</v>
      </c>
      <c r="L50" s="219">
        <f t="shared" si="14"/>
        <v>2129</v>
      </c>
      <c r="M50" s="219">
        <f t="shared" si="14"/>
        <v>1335</v>
      </c>
      <c r="N50" s="219">
        <f t="shared" si="14"/>
        <v>478</v>
      </c>
      <c r="O50" s="219">
        <f t="shared" si="14"/>
        <v>531</v>
      </c>
      <c r="P50" s="545">
        <f t="shared" si="14"/>
        <v>212</v>
      </c>
      <c r="Q50" s="235" t="s">
        <v>449</v>
      </c>
    </row>
    <row r="51" spans="2:17" x14ac:dyDescent="0.35">
      <c r="B51" s="1339" t="s">
        <v>450</v>
      </c>
      <c r="C51" s="1340"/>
      <c r="D51" s="1340"/>
      <c r="E51" s="1341"/>
      <c r="F51" s="219">
        <f>(F50/1000)/M27</f>
        <v>9.3091218612569165E-3</v>
      </c>
      <c r="G51" s="219">
        <f>(G50/F50)*F51</f>
        <v>8.8296212228684921E-3</v>
      </c>
      <c r="H51" s="219">
        <f>(H50/G50)*G51+H52</f>
        <v>5.4064406298765782E-3</v>
      </c>
      <c r="I51" s="219">
        <f>(I50/H50)*H51+I52</f>
        <v>4.8631011490991626E-3</v>
      </c>
      <c r="J51" s="219">
        <f>J52</f>
        <v>0</v>
      </c>
      <c r="K51" s="219">
        <f t="shared" ref="K51:L51" si="15">K52</f>
        <v>0</v>
      </c>
      <c r="L51" s="219">
        <f t="shared" si="15"/>
        <v>0</v>
      </c>
      <c r="M51" s="219"/>
      <c r="N51" s="219"/>
      <c r="O51" s="219"/>
      <c r="P51" s="545"/>
      <c r="Q51" s="235" t="s">
        <v>451</v>
      </c>
    </row>
    <row r="52" spans="2:17" ht="29.25" customHeight="1" x14ac:dyDescent="0.35">
      <c r="B52" s="540" t="s">
        <v>889</v>
      </c>
      <c r="C52" s="541"/>
      <c r="D52" s="541"/>
      <c r="E52" s="542"/>
      <c r="F52" s="219"/>
      <c r="G52" s="219"/>
      <c r="H52" s="219"/>
      <c r="I52" s="219"/>
      <c r="J52" s="219"/>
      <c r="K52" s="219"/>
      <c r="L52" s="219"/>
      <c r="M52" s="219"/>
      <c r="N52" s="219"/>
      <c r="O52" s="219"/>
      <c r="P52" s="545"/>
      <c r="Q52" s="235"/>
    </row>
    <row r="53" spans="2:17" x14ac:dyDescent="0.35">
      <c r="B53" s="1345"/>
      <c r="C53" s="1346"/>
      <c r="D53" s="1346"/>
      <c r="E53" s="1347"/>
      <c r="F53" s="491"/>
      <c r="G53" s="491"/>
      <c r="H53" s="491"/>
      <c r="I53" s="491"/>
      <c r="J53" s="491"/>
      <c r="K53" s="491"/>
      <c r="L53" s="491"/>
      <c r="M53" s="491"/>
      <c r="N53" s="491"/>
      <c r="O53" s="491"/>
      <c r="P53" s="562"/>
    </row>
  </sheetData>
  <mergeCells count="36">
    <mergeCell ref="B45:E45"/>
    <mergeCell ref="B53:E53"/>
    <mergeCell ref="B46:E46"/>
    <mergeCell ref="B47:E47"/>
    <mergeCell ref="B48:E48"/>
    <mergeCell ref="B49:E49"/>
    <mergeCell ref="B50:E50"/>
    <mergeCell ref="B51:E51"/>
    <mergeCell ref="B43:E43"/>
    <mergeCell ref="AG8:AJ8"/>
    <mergeCell ref="AG25:AJ25"/>
    <mergeCell ref="B44:E44"/>
    <mergeCell ref="B42:E42"/>
    <mergeCell ref="B40:E40"/>
    <mergeCell ref="I25:L25"/>
    <mergeCell ref="B24:C26"/>
    <mergeCell ref="E25:H25"/>
    <mergeCell ref="B41:E41"/>
    <mergeCell ref="AC24:AN24"/>
    <mergeCell ref="D24:AB24"/>
    <mergeCell ref="B1:AC1"/>
    <mergeCell ref="V2:AB4"/>
    <mergeCell ref="B2:U4"/>
    <mergeCell ref="M25:P25"/>
    <mergeCell ref="M8:P8"/>
    <mergeCell ref="Q8:T8"/>
    <mergeCell ref="Q25:T25"/>
    <mergeCell ref="AC8:AF8"/>
    <mergeCell ref="AC25:AF25"/>
    <mergeCell ref="E8:H8"/>
    <mergeCell ref="B7:C9"/>
    <mergeCell ref="I8:L8"/>
    <mergeCell ref="AC7:AN7"/>
    <mergeCell ref="D7:AB7"/>
    <mergeCell ref="AK25:AN25"/>
    <mergeCell ref="AK8:AN8"/>
  </mergeCells>
  <pageMargins left="0.7" right="0.7" top="0.75" bottom="0.75" header="0.3" footer="0.3"/>
  <pageSetup paperSize="9"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R5" activePane="bottomRight" state="frozen"/>
      <selection pane="topRight" activeCell="C1" sqref="C1"/>
      <selection pane="bottomLeft" activeCell="A5" sqref="A5"/>
      <selection pane="bottomRight" activeCell="AD14" sqref="AD14"/>
    </sheetView>
  </sheetViews>
  <sheetFormatPr defaultColWidth="10.90625" defaultRowHeight="14.5" x14ac:dyDescent="0.35"/>
  <cols>
    <col min="2" max="2" width="51.179687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69" t="s">
        <v>55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ht="14.25" customHeight="1" x14ac:dyDescent="0.35">
      <c r="B2" s="1335" t="s">
        <v>857</v>
      </c>
      <c r="C2" s="1335"/>
      <c r="D2" s="1335"/>
      <c r="E2" s="1335"/>
      <c r="F2" s="1335"/>
      <c r="G2" s="1335"/>
      <c r="H2" s="1335"/>
      <c r="I2" s="1335"/>
      <c r="J2" s="1335"/>
      <c r="K2" s="1335"/>
      <c r="L2" s="1335"/>
      <c r="M2" s="1335"/>
      <c r="N2" s="1335"/>
      <c r="O2" s="1335"/>
      <c r="P2" s="1335"/>
      <c r="Q2" s="1335"/>
      <c r="R2" s="1335"/>
      <c r="S2" s="587"/>
      <c r="T2" s="1354" t="s">
        <v>906</v>
      </c>
      <c r="U2" s="1354"/>
      <c r="V2" s="1354"/>
      <c r="W2" s="1354"/>
      <c r="X2" s="1354"/>
      <c r="Y2" s="1354"/>
      <c r="Z2" s="1354"/>
      <c r="AA2" s="1354"/>
      <c r="AB2" s="1354"/>
      <c r="AC2" s="1354"/>
    </row>
    <row r="3" spans="2:40" x14ac:dyDescent="0.35">
      <c r="B3" s="1335"/>
      <c r="C3" s="1335"/>
      <c r="D3" s="1335"/>
      <c r="E3" s="1335"/>
      <c r="F3" s="1335"/>
      <c r="G3" s="1335"/>
      <c r="H3" s="1335"/>
      <c r="I3" s="1335"/>
      <c r="J3" s="1335"/>
      <c r="K3" s="1335"/>
      <c r="L3" s="1335"/>
      <c r="M3" s="1335"/>
      <c r="N3" s="1335"/>
      <c r="O3" s="1335"/>
      <c r="P3" s="1335"/>
      <c r="Q3" s="1335"/>
      <c r="R3" s="1335"/>
      <c r="S3" s="587"/>
      <c r="T3" s="1354"/>
      <c r="U3" s="1354"/>
      <c r="V3" s="1354"/>
      <c r="W3" s="1354"/>
      <c r="X3" s="1354"/>
      <c r="Y3" s="1354"/>
      <c r="Z3" s="1354"/>
      <c r="AA3" s="1354"/>
      <c r="AB3" s="1354"/>
      <c r="AC3" s="1354"/>
    </row>
    <row r="4" spans="2:40" ht="21" customHeight="1" x14ac:dyDescent="0.35">
      <c r="B4" s="1335"/>
      <c r="C4" s="1335"/>
      <c r="D4" s="1335"/>
      <c r="E4" s="1335"/>
      <c r="F4" s="1335"/>
      <c r="G4" s="1335"/>
      <c r="H4" s="1335"/>
      <c r="I4" s="1335"/>
      <c r="J4" s="1335"/>
      <c r="K4" s="1335"/>
      <c r="L4" s="1335"/>
      <c r="M4" s="1335"/>
      <c r="N4" s="1335"/>
      <c r="O4" s="1335"/>
      <c r="P4" s="1335"/>
      <c r="Q4" s="1335"/>
      <c r="R4" s="1335"/>
      <c r="S4" s="587"/>
      <c r="T4" s="1354"/>
      <c r="U4" s="1354"/>
      <c r="V4" s="1354"/>
      <c r="W4" s="1354"/>
      <c r="X4" s="1354"/>
      <c r="Y4" s="1354"/>
      <c r="Z4" s="1354"/>
      <c r="AA4" s="1354"/>
      <c r="AB4" s="1354"/>
      <c r="AC4" s="1354"/>
    </row>
    <row r="6" spans="2:40" x14ac:dyDescent="0.35">
      <c r="B6" s="512" t="s">
        <v>332</v>
      </c>
    </row>
    <row r="7" spans="2:40" ht="14.9" customHeight="1" x14ac:dyDescent="0.35">
      <c r="B7" s="1274" t="s">
        <v>402</v>
      </c>
      <c r="C7" s="1275"/>
      <c r="D7" s="1284" t="s">
        <v>279</v>
      </c>
      <c r="E7" s="1284"/>
      <c r="F7" s="1284"/>
      <c r="G7" s="1284"/>
      <c r="H7" s="1284"/>
      <c r="I7" s="1284"/>
      <c r="J7" s="1284"/>
      <c r="K7" s="1284"/>
      <c r="L7" s="1284"/>
      <c r="M7" s="1284"/>
      <c r="N7" s="1284"/>
      <c r="O7" s="1284"/>
      <c r="P7" s="1284"/>
      <c r="Q7" s="1284"/>
      <c r="R7" s="1284"/>
      <c r="S7" s="1284"/>
      <c r="T7" s="1284"/>
      <c r="U7" s="1284"/>
      <c r="V7" s="1284"/>
      <c r="W7" s="1284"/>
      <c r="X7" s="1284"/>
      <c r="Y7" s="1284"/>
      <c r="Z7" s="1284"/>
      <c r="AA7" s="1284"/>
      <c r="AB7" s="591"/>
      <c r="AC7" s="1302" t="s">
        <v>280</v>
      </c>
      <c r="AD7" s="1282"/>
      <c r="AE7" s="1282"/>
      <c r="AF7" s="1282"/>
      <c r="AG7" s="1282"/>
      <c r="AH7" s="1282"/>
      <c r="AI7" s="1282"/>
      <c r="AJ7" s="1282"/>
      <c r="AK7" s="1282"/>
      <c r="AL7" s="1282"/>
      <c r="AM7" s="1282"/>
      <c r="AN7" s="1283"/>
    </row>
    <row r="8" spans="2:40" x14ac:dyDescent="0.35">
      <c r="B8" s="1276"/>
      <c r="C8" s="1277"/>
      <c r="D8" s="282">
        <v>2018</v>
      </c>
      <c r="E8" s="1293">
        <v>2019</v>
      </c>
      <c r="F8" s="1294"/>
      <c r="G8" s="1294"/>
      <c r="H8" s="1295"/>
      <c r="I8" s="1293">
        <v>2020</v>
      </c>
      <c r="J8" s="1294"/>
      <c r="K8" s="1294"/>
      <c r="L8" s="1294"/>
      <c r="M8" s="1293">
        <v>2021</v>
      </c>
      <c r="N8" s="1294"/>
      <c r="O8" s="1294"/>
      <c r="P8" s="1301"/>
      <c r="Q8" s="1293">
        <v>2022</v>
      </c>
      <c r="R8" s="1301"/>
      <c r="S8" s="1301"/>
      <c r="T8" s="1301"/>
      <c r="U8" s="1293">
        <v>2023</v>
      </c>
      <c r="V8" s="1301"/>
      <c r="W8" s="1301"/>
      <c r="X8" s="1295"/>
      <c r="Y8" s="288"/>
      <c r="Z8" s="428">
        <v>2024</v>
      </c>
      <c r="AA8" s="428"/>
      <c r="AB8" s="295"/>
      <c r="AC8" s="1280">
        <v>2025</v>
      </c>
      <c r="AD8" s="1286"/>
      <c r="AE8" s="1286"/>
      <c r="AF8" s="1285"/>
      <c r="AG8" s="1280">
        <v>2026</v>
      </c>
      <c r="AH8" s="1286"/>
      <c r="AI8" s="1286"/>
      <c r="AJ8" s="1285"/>
      <c r="AK8" s="1280">
        <v>2027</v>
      </c>
      <c r="AL8" s="1286"/>
      <c r="AM8" s="1286"/>
      <c r="AN8" s="1285"/>
    </row>
    <row r="9" spans="2:40" x14ac:dyDescent="0.35">
      <c r="B9" s="1278"/>
      <c r="C9" s="1279"/>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5" t="s">
        <v>281</v>
      </c>
      <c r="U9" s="273" t="s">
        <v>282</v>
      </c>
      <c r="V9" s="274" t="s">
        <v>283</v>
      </c>
      <c r="W9" s="274" t="s">
        <v>238</v>
      </c>
      <c r="X9" s="272" t="s">
        <v>281</v>
      </c>
      <c r="Y9" s="274" t="s">
        <v>282</v>
      </c>
      <c r="Z9" s="279" t="s">
        <v>283</v>
      </c>
      <c r="AA9" s="274" t="s">
        <v>238</v>
      </c>
      <c r="AB9" s="274" t="s">
        <v>281</v>
      </c>
      <c r="AC9" s="259" t="s">
        <v>282</v>
      </c>
      <c r="AD9" s="257" t="s">
        <v>283</v>
      </c>
      <c r="AE9" s="260" t="s">
        <v>238</v>
      </c>
      <c r="AF9" s="260" t="s">
        <v>281</v>
      </c>
      <c r="AG9" s="259" t="s">
        <v>282</v>
      </c>
      <c r="AH9" s="257" t="s">
        <v>283</v>
      </c>
      <c r="AI9" s="260" t="s">
        <v>238</v>
      </c>
      <c r="AJ9" s="287" t="s">
        <v>281</v>
      </c>
      <c r="AK9" s="259" t="s">
        <v>282</v>
      </c>
      <c r="AL9" s="257" t="s">
        <v>283</v>
      </c>
      <c r="AM9" s="260" t="s">
        <v>238</v>
      </c>
      <c r="AN9" s="287" t="s">
        <v>281</v>
      </c>
    </row>
    <row r="10" spans="2:40" ht="14.9" customHeight="1" x14ac:dyDescent="0.35">
      <c r="B10" s="595" t="s">
        <v>452</v>
      </c>
      <c r="C10" s="56" t="s">
        <v>902</v>
      </c>
      <c r="D10" s="567">
        <f>'Haver Pivoted'!GO12</f>
        <v>755</v>
      </c>
      <c r="E10" s="568">
        <f>'Haver Pivoted'!GP12</f>
        <v>773.5</v>
      </c>
      <c r="F10" s="568">
        <f>'Haver Pivoted'!GQ12</f>
        <v>788.5</v>
      </c>
      <c r="G10" s="568">
        <f>'Haver Pivoted'!GR12</f>
        <v>798</v>
      </c>
      <c r="H10" s="568">
        <f>'Haver Pivoted'!GS12</f>
        <v>802</v>
      </c>
      <c r="I10" s="568">
        <f>'Haver Pivoted'!GT12</f>
        <v>801.9</v>
      </c>
      <c r="J10" s="568">
        <f>'Haver Pivoted'!GU12</f>
        <v>814.3</v>
      </c>
      <c r="K10" s="568">
        <f>'Haver Pivoted'!GV12</f>
        <v>826.6</v>
      </c>
      <c r="L10" s="568">
        <f>'Haver Pivoted'!GW12</f>
        <v>838.8</v>
      </c>
      <c r="M10" s="568">
        <f>'Haver Pivoted'!GX12</f>
        <v>854.9</v>
      </c>
      <c r="N10" s="568">
        <f>'Haver Pivoted'!GY12</f>
        <v>871.2</v>
      </c>
      <c r="O10" s="568">
        <f>'Haver Pivoted'!GZ12</f>
        <v>887.1</v>
      </c>
      <c r="P10" s="568">
        <f>'Haver Pivoted'!HA12</f>
        <v>902.4</v>
      </c>
      <c r="Q10" s="568">
        <f>'Haver Pivoted'!HB12</f>
        <v>917.6</v>
      </c>
      <c r="R10" s="568">
        <f>'Haver Pivoted'!HC12</f>
        <v>926.6</v>
      </c>
      <c r="S10" s="569">
        <f>'Haver Pivoted'!HD12</f>
        <v>937.4</v>
      </c>
      <c r="T10" s="556">
        <f>'Haver Pivoted'!HE12</f>
        <v>958.5</v>
      </c>
      <c r="U10" s="594">
        <f>'Haver Pivoted'!HF12</f>
        <v>981.1</v>
      </c>
      <c r="V10" s="569">
        <f>'Haver Pivoted'!HG12</f>
        <v>1001.8</v>
      </c>
      <c r="W10" s="569">
        <f>'Haver Pivoted'!HH12</f>
        <v>1019.9</v>
      </c>
      <c r="X10" s="569">
        <f>'Haver Pivoted'!HI12</f>
        <v>1035.3</v>
      </c>
      <c r="Y10" s="569">
        <f>'Haver Pivoted'!HJ12</f>
        <v>1049.2</v>
      </c>
      <c r="Z10" s="569">
        <f>'Haver Pivoted'!HK12</f>
        <v>1067.0999999999999</v>
      </c>
      <c r="AA10" s="569">
        <f>'Haver Pivoted'!HL12</f>
        <v>1090.2</v>
      </c>
      <c r="AB10" s="569">
        <f>'Haver Pivoted'!HM12</f>
        <v>1118.5</v>
      </c>
      <c r="AC10" s="579">
        <f t="shared" ref="AC10:AE10" si="0">AB10*(1+AC13)+AC12</f>
        <v>1148.7441849890008</v>
      </c>
      <c r="AD10" s="579">
        <f t="shared" si="0"/>
        <v>1163.3735320395349</v>
      </c>
      <c r="AE10" s="579">
        <f t="shared" si="0"/>
        <v>1178.1891849690642</v>
      </c>
      <c r="AF10" s="579">
        <f>AE10*(1+AF13)+AF12</f>
        <v>1195.8207821959634</v>
      </c>
      <c r="AG10" s="579">
        <f>AF10*(1+AG13)+AG12</f>
        <v>1213.7162362166082</v>
      </c>
      <c r="AH10" s="579">
        <f t="shared" ref="AH10:AI10" si="1">AG10*(1+AH13)+AH12</f>
        <v>1231.8794956470376</v>
      </c>
      <c r="AI10" s="579">
        <f t="shared" si="1"/>
        <v>1250.3145681943167</v>
      </c>
      <c r="AJ10" s="579">
        <f>AI10*(1+AJ13)+AJ12</f>
        <v>1269.1869229993349</v>
      </c>
      <c r="AK10" s="579">
        <f>AJ10*(1+AK13)+AK12</f>
        <v>1288.3441387385105</v>
      </c>
      <c r="AL10" s="579">
        <f t="shared" ref="AL10:AN10" si="2">AK10*(1+AL13)+AL12</f>
        <v>1307.7905151270961</v>
      </c>
      <c r="AM10" s="579">
        <f t="shared" si="2"/>
        <v>1327.5304167806135</v>
      </c>
      <c r="AN10" s="579">
        <f t="shared" si="2"/>
        <v>1327.5304167806135</v>
      </c>
    </row>
    <row r="11" spans="2:40" ht="28.5" customHeight="1" x14ac:dyDescent="0.35">
      <c r="B11" s="615" t="s">
        <v>904</v>
      </c>
      <c r="C11" s="607" t="s">
        <v>518</v>
      </c>
      <c r="D11" s="616"/>
      <c r="E11" s="604"/>
      <c r="F11" s="604"/>
      <c r="G11" s="604"/>
      <c r="H11" s="604"/>
      <c r="I11" s="604"/>
      <c r="J11" s="605">
        <f>'Haver Pivoted'!GU46</f>
        <v>9.6</v>
      </c>
      <c r="K11" s="605">
        <f>'Haver Pivoted'!GV46</f>
        <v>14.4</v>
      </c>
      <c r="L11" s="605">
        <f>'Haver Pivoted'!GW46</f>
        <v>14.3</v>
      </c>
      <c r="M11" s="605">
        <f>'Haver Pivoted'!GX46</f>
        <v>15</v>
      </c>
      <c r="N11" s="605">
        <f>'Haver Pivoted'!GY46</f>
        <v>15.3</v>
      </c>
      <c r="O11" s="605">
        <f>'Haver Pivoted'!GZ46</f>
        <v>15.6</v>
      </c>
      <c r="P11" s="605">
        <f>'Haver Pivoted'!HA46</f>
        <v>15.7</v>
      </c>
      <c r="Q11" s="605">
        <f>'Haver Pivoted'!HB46</f>
        <v>15.8</v>
      </c>
      <c r="R11" s="605">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39">
        <f>'Haver Pivoted'!HL46</f>
        <v>0</v>
      </c>
      <c r="AB11" s="539">
        <f>'Haver Pivoted'!HM46</f>
        <v>0</v>
      </c>
      <c r="AC11" s="597"/>
      <c r="AD11" s="597"/>
      <c r="AE11" s="597"/>
      <c r="AF11" s="597"/>
      <c r="AG11" s="597"/>
      <c r="AH11" s="597"/>
      <c r="AI11" s="597"/>
      <c r="AJ11" s="597"/>
      <c r="AK11" s="597"/>
      <c r="AL11" s="597"/>
      <c r="AM11" s="597"/>
      <c r="AN11" s="597"/>
    </row>
    <row r="12" spans="2:40" x14ac:dyDescent="0.35">
      <c r="B12" s="615" t="s">
        <v>1833</v>
      </c>
      <c r="C12" s="607"/>
      <c r="D12" s="616"/>
      <c r="E12" s="604"/>
      <c r="F12" s="604"/>
      <c r="G12" s="604"/>
      <c r="H12" s="604"/>
      <c r="I12" s="604"/>
      <c r="J12" s="605"/>
      <c r="K12" s="605"/>
      <c r="L12" s="605"/>
      <c r="M12" s="605"/>
      <c r="N12" s="605"/>
      <c r="O12" s="605"/>
      <c r="P12" s="605"/>
      <c r="Q12" s="605"/>
      <c r="R12" s="605"/>
      <c r="S12" s="539"/>
      <c r="T12" s="539"/>
      <c r="U12" s="539"/>
      <c r="V12" s="539"/>
      <c r="W12" s="397">
        <v>-7</v>
      </c>
      <c r="X12" s="597"/>
      <c r="Y12" s="597">
        <v>-13.3</v>
      </c>
      <c r="Z12" s="597">
        <v>-8</v>
      </c>
      <c r="AA12" s="597">
        <v>-2</v>
      </c>
      <c r="AB12" s="597">
        <v>12</v>
      </c>
      <c r="AC12" s="597">
        <f>16</f>
        <v>16</v>
      </c>
      <c r="AD12" s="597"/>
      <c r="AE12" s="597"/>
      <c r="AF12" s="597"/>
      <c r="AG12" s="597"/>
      <c r="AH12" s="597"/>
      <c r="AI12" s="597"/>
      <c r="AJ12" s="597"/>
      <c r="AK12" s="597"/>
      <c r="AL12" s="597"/>
      <c r="AM12" s="597"/>
      <c r="AN12" s="597"/>
    </row>
    <row r="13" spans="2:40" x14ac:dyDescent="0.35">
      <c r="B13" s="610" t="s">
        <v>453</v>
      </c>
      <c r="C13" s="609"/>
      <c r="D13" s="584"/>
      <c r="E13" s="551"/>
      <c r="F13" s="551"/>
      <c r="G13" s="551"/>
      <c r="H13" s="551"/>
      <c r="I13" s="551"/>
      <c r="J13" s="570"/>
      <c r="K13" s="570"/>
      <c r="L13" s="570"/>
      <c r="M13" s="570"/>
      <c r="N13" s="570">
        <f>(1 + $E$26)^0.25-1</f>
        <v>0</v>
      </c>
      <c r="O13" s="570">
        <f>(1 + $E$26)^0.25-1</f>
        <v>0</v>
      </c>
      <c r="P13" s="570">
        <f>(1 + $F$26)^0.25-1</f>
        <v>3.0584654007782985E-2</v>
      </c>
      <c r="Q13" s="570">
        <f>(1 +$F$26)^0.25-1</f>
        <v>3.0584654007782985E-2</v>
      </c>
      <c r="R13" s="570">
        <f>(1 +$F$26)^0.25-1</f>
        <v>3.0584654007782985E-2</v>
      </c>
      <c r="S13" s="606">
        <f>(1 +$F$26)^0.25-1</f>
        <v>3.0584654007782985E-2</v>
      </c>
      <c r="T13" s="606">
        <f>(1 +$G$26)^0.25-1</f>
        <v>1.0343738735768992E-2</v>
      </c>
      <c r="U13" s="606">
        <f>(1 +$G$26)^0.25-1</f>
        <v>1.0343738735768992E-2</v>
      </c>
      <c r="V13" s="606">
        <f>(1 +$G$26)^0.25-1</f>
        <v>1.0343738735768992E-2</v>
      </c>
      <c r="W13" s="570">
        <f>(1 +$G$26)^0.25-1</f>
        <v>1.0343738735768992E-2</v>
      </c>
      <c r="X13" s="598">
        <f>(1 +$H$26)^0.25-1</f>
        <v>2.4149796973031323E-2</v>
      </c>
      <c r="Y13" s="588">
        <f t="shared" ref="Y13:AA13" si="3">(1 +$H$26)^0.25-1</f>
        <v>2.4149796973031323E-2</v>
      </c>
      <c r="Z13" s="588">
        <f t="shared" si="3"/>
        <v>2.4149796973031323E-2</v>
      </c>
      <c r="AA13" s="588">
        <f t="shared" si="3"/>
        <v>2.4149796973031323E-2</v>
      </c>
      <c r="AB13" s="598">
        <f>(1 +$I$26)^0.25-1</f>
        <v>1.2735078219938245E-2</v>
      </c>
      <c r="AC13" s="588">
        <f>(1 +$I$26)^0.25-1</f>
        <v>1.2735078219938245E-2</v>
      </c>
      <c r="AD13" s="588">
        <f t="shared" ref="AD13:AE13" si="4">(1 +$I$26)^0.25-1</f>
        <v>1.2735078219938245E-2</v>
      </c>
      <c r="AE13" s="588">
        <f t="shared" si="4"/>
        <v>1.2735078219938245E-2</v>
      </c>
      <c r="AF13" s="598">
        <f>(1 +$J$26)^0.25-1</f>
        <v>1.4964996667629515E-2</v>
      </c>
      <c r="AG13" s="588">
        <f>(1 +$J$26)^0.25-1</f>
        <v>1.4964996667629515E-2</v>
      </c>
      <c r="AH13" s="588">
        <f>(1 +$J$26)^0.25-1</f>
        <v>1.4964996667629515E-2</v>
      </c>
      <c r="AI13" s="588">
        <f>(1 +$J$26)^0.25-1</f>
        <v>1.4964996667629515E-2</v>
      </c>
      <c r="AJ13" s="598">
        <f>(1 +$K$26)^0.25-1</f>
        <v>1.5094085348676067E-2</v>
      </c>
      <c r="AK13" s="588">
        <f>(1 +$K$26)^0.25-1</f>
        <v>1.5094085348676067E-2</v>
      </c>
      <c r="AL13" s="588">
        <f t="shared" ref="AL13:AM13" si="5">(1 +$K$26)^0.25-1</f>
        <v>1.5094085348676067E-2</v>
      </c>
      <c r="AM13" s="588">
        <f t="shared" si="5"/>
        <v>1.5094085348676067E-2</v>
      </c>
      <c r="AN13" s="598">
        <f>(1 +$L$26)^0.25-1</f>
        <v>0</v>
      </c>
    </row>
    <row r="14" spans="2:40" ht="15.75" customHeight="1" x14ac:dyDescent="0.35">
      <c r="B14" s="608"/>
      <c r="C14" s="596"/>
      <c r="D14" s="490"/>
      <c r="E14" s="490"/>
      <c r="F14" s="490"/>
      <c r="G14" s="490"/>
      <c r="H14" s="490"/>
      <c r="I14" s="490"/>
      <c r="J14" s="554"/>
      <c r="K14" s="554"/>
      <c r="L14" s="554"/>
      <c r="M14" s="554"/>
    </row>
    <row r="15" spans="2:40" ht="15.75" customHeight="1" x14ac:dyDescent="0.35">
      <c r="B15" s="608"/>
      <c r="C15" s="596"/>
      <c r="D15" s="490"/>
    </row>
    <row r="16" spans="2:40" ht="15.75" customHeight="1" x14ac:dyDescent="0.35">
      <c r="B16" s="608"/>
      <c r="C16" s="596"/>
      <c r="D16" s="490"/>
      <c r="E16" s="490"/>
      <c r="F16" s="490"/>
      <c r="G16" s="490"/>
      <c r="H16" s="490"/>
      <c r="I16" s="490"/>
      <c r="J16" s="554"/>
      <c r="K16" s="554"/>
      <c r="L16" s="554"/>
    </row>
    <row r="17" spans="2:32" x14ac:dyDescent="0.35">
      <c r="B17" s="608"/>
      <c r="C17" s="596"/>
      <c r="D17" s="490"/>
      <c r="E17" s="490"/>
      <c r="F17" s="490"/>
      <c r="G17" s="490"/>
      <c r="H17" s="490"/>
      <c r="I17" s="490"/>
      <c r="J17" s="554"/>
      <c r="K17" s="554"/>
      <c r="L17" s="554"/>
    </row>
    <row r="18" spans="2:32" x14ac:dyDescent="0.35">
      <c r="B18" s="608"/>
      <c r="C18" s="596"/>
      <c r="D18" s="490"/>
      <c r="E18" s="490"/>
      <c r="F18" s="490"/>
      <c r="G18" s="490"/>
      <c r="H18" s="490"/>
      <c r="I18" s="490"/>
      <c r="J18" s="554"/>
      <c r="K18" s="554"/>
      <c r="L18" s="554"/>
      <c r="N18" s="515"/>
      <c r="R18" s="515"/>
      <c r="V18" s="515"/>
      <c r="Z18" s="515"/>
    </row>
    <row r="19" spans="2:32" ht="14.9" customHeight="1" x14ac:dyDescent="0.35">
      <c r="B19" s="512" t="s">
        <v>351</v>
      </c>
    </row>
    <row r="20" spans="2:32" x14ac:dyDescent="0.35">
      <c r="B20" s="613" t="s">
        <v>430</v>
      </c>
      <c r="C20" s="613">
        <v>2019</v>
      </c>
      <c r="D20" s="614">
        <v>2020</v>
      </c>
      <c r="E20" s="589">
        <v>2021</v>
      </c>
      <c r="F20" s="589">
        <v>2022</v>
      </c>
      <c r="G20" s="589">
        <v>2023</v>
      </c>
      <c r="H20" s="589">
        <v>2024</v>
      </c>
      <c r="I20" s="589">
        <v>2025</v>
      </c>
      <c r="J20" s="589">
        <v>2026</v>
      </c>
      <c r="K20" s="590">
        <v>2027</v>
      </c>
    </row>
    <row r="21" spans="2:32" ht="21" customHeight="1" x14ac:dyDescent="0.35">
      <c r="B21" s="600" t="s">
        <v>1972</v>
      </c>
      <c r="C21" s="592"/>
      <c r="D21" s="592"/>
      <c r="E21" s="232">
        <v>867.67600000000004</v>
      </c>
      <c r="F21" s="232">
        <v>974.649</v>
      </c>
      <c r="G21" s="232">
        <v>1008.504</v>
      </c>
      <c r="H21" s="232">
        <v>1088.9089999999999</v>
      </c>
      <c r="I21" s="232">
        <v>1145.4469999999999</v>
      </c>
      <c r="J21" s="232">
        <v>1215.568</v>
      </c>
      <c r="K21" s="619">
        <v>1290.6379999999999</v>
      </c>
      <c r="L21" s="599">
        <v>1371.894</v>
      </c>
      <c r="M21" s="599">
        <v>1460.277</v>
      </c>
      <c r="N21" s="599">
        <v>1554.6379999999999</v>
      </c>
      <c r="O21" s="599">
        <v>1658.7670000000001</v>
      </c>
      <c r="P21" s="397">
        <v>1770.1189999999999</v>
      </c>
      <c r="Q21" s="397">
        <v>1904.5160000000001</v>
      </c>
      <c r="R21" s="397">
        <v>2036.5410000000002</v>
      </c>
      <c r="S21" s="397">
        <v>2166.35</v>
      </c>
      <c r="T21" s="397"/>
      <c r="U21" s="397"/>
      <c r="V21" s="397"/>
      <c r="W21" s="397"/>
      <c r="X21" s="397"/>
      <c r="Y21" s="397"/>
      <c r="Z21" s="397"/>
      <c r="AA21" s="397"/>
      <c r="AB21" s="397"/>
      <c r="AC21" s="397"/>
    </row>
    <row r="22" spans="2:32" ht="21" customHeight="1" x14ac:dyDescent="0.35">
      <c r="B22" s="601"/>
      <c r="C22" s="618"/>
      <c r="D22" s="618"/>
      <c r="E22" s="232">
        <f>AVERAGE(L10:O10)</f>
        <v>862.99999999999989</v>
      </c>
      <c r="F22" s="232">
        <f>AVERAGE(P10:S10)</f>
        <v>921</v>
      </c>
      <c r="G22" s="232">
        <f>AVERAGE(T10:W10)</f>
        <v>990.32499999999993</v>
      </c>
      <c r="H22" s="232">
        <f>AVERAGE(X10:AA10)</f>
        <v>1060.45</v>
      </c>
      <c r="I22" s="232">
        <f>AVERAGE(AB10:AE10)</f>
        <v>1152.2017254994</v>
      </c>
      <c r="J22" s="490">
        <f>AVERAGE(AF10:AI10)</f>
        <v>1222.9327705634814</v>
      </c>
      <c r="K22" s="327">
        <f>AVERAGE(AJ10:AM10)</f>
        <v>1298.2129984113888</v>
      </c>
      <c r="L22" s="599"/>
      <c r="M22" s="599"/>
      <c r="N22" s="599"/>
      <c r="O22" s="599"/>
      <c r="P22" s="397"/>
      <c r="Q22" s="397"/>
      <c r="R22" s="397"/>
      <c r="S22" s="397"/>
      <c r="T22" s="397"/>
      <c r="U22" s="397"/>
      <c r="V22" s="397"/>
      <c r="W22" s="397"/>
      <c r="X22" s="397"/>
      <c r="Y22" s="397"/>
      <c r="Z22" s="397"/>
      <c r="AA22" s="397"/>
      <c r="AB22" s="397"/>
      <c r="AC22" s="397"/>
    </row>
    <row r="23" spans="2:32" ht="21" customHeight="1" x14ac:dyDescent="0.35">
      <c r="B23" s="617" t="s">
        <v>454</v>
      </c>
      <c r="C23" s="219"/>
      <c r="D23" s="219">
        <v>47</v>
      </c>
      <c r="E23" s="219">
        <v>48</v>
      </c>
      <c r="F23" s="219">
        <v>-50</v>
      </c>
      <c r="G23" s="219">
        <v>-45</v>
      </c>
      <c r="H23" s="219"/>
      <c r="I23" s="219"/>
      <c r="J23" s="219">
        <f>SUM(D23:G23)</f>
        <v>0</v>
      </c>
      <c r="K23" s="545">
        <v>0</v>
      </c>
      <c r="M23" s="599"/>
      <c r="N23" s="599"/>
      <c r="O23" s="599"/>
      <c r="P23" s="397"/>
      <c r="Q23" s="397"/>
      <c r="R23" s="397"/>
      <c r="S23" s="397"/>
      <c r="T23" s="397"/>
      <c r="U23" s="397"/>
      <c r="V23" s="397"/>
      <c r="W23" s="397"/>
      <c r="X23" s="397"/>
      <c r="Y23" s="397"/>
      <c r="Z23" s="397"/>
      <c r="AA23" s="397"/>
      <c r="AB23" s="397"/>
      <c r="AC23" s="397"/>
    </row>
    <row r="24" spans="2:32" x14ac:dyDescent="0.35">
      <c r="B24" s="617" t="s">
        <v>1373</v>
      </c>
      <c r="C24" s="618"/>
      <c r="D24" s="618"/>
      <c r="E24" s="618">
        <f>E21-E23</f>
        <v>819.67600000000004</v>
      </c>
      <c r="F24" s="618">
        <f>F21+F23</f>
        <v>924.649</v>
      </c>
      <c r="G24" s="618">
        <f>G21+G23</f>
        <v>963.50400000000002</v>
      </c>
      <c r="H24" s="618">
        <f>H21+H23</f>
        <v>1088.9089999999999</v>
      </c>
      <c r="I24" s="618">
        <f>I21+I23</f>
        <v>1145.4469999999999</v>
      </c>
      <c r="J24" s="618">
        <f t="shared" ref="J24:K24" si="6">J21+J23</f>
        <v>1215.568</v>
      </c>
      <c r="K24" s="593">
        <f t="shared" si="6"/>
        <v>1290.6379999999999</v>
      </c>
      <c r="N24" s="612"/>
      <c r="O24" s="596"/>
      <c r="P24" s="397"/>
      <c r="Q24" s="397"/>
      <c r="R24" s="397"/>
      <c r="S24" s="397"/>
      <c r="T24" s="397"/>
      <c r="U24" s="397"/>
      <c r="V24" s="397"/>
      <c r="W24" s="397"/>
      <c r="X24" s="397"/>
      <c r="Y24" s="397"/>
      <c r="Z24" s="397"/>
      <c r="AA24" s="397"/>
      <c r="AB24" s="397"/>
      <c r="AC24" s="397"/>
    </row>
    <row r="25" spans="2:32" x14ac:dyDescent="0.35">
      <c r="B25" s="617" t="s">
        <v>456</v>
      </c>
      <c r="C25" s="490">
        <f>AVERAGE(D10:G10)</f>
        <v>778.75</v>
      </c>
      <c r="D25" s="490">
        <f>AVERAGE(H10:K10)</f>
        <v>811.19999999999993</v>
      </c>
      <c r="E25" s="618">
        <f>AVERAGE(L10:O10)</f>
        <v>862.99999999999989</v>
      </c>
      <c r="F25" s="219"/>
      <c r="G25" s="219"/>
      <c r="H25" s="219"/>
      <c r="I25" s="219"/>
      <c r="J25" s="219"/>
      <c r="K25" s="545"/>
      <c r="L25" s="235" t="s">
        <v>455</v>
      </c>
      <c r="P25" s="397"/>
      <c r="Q25" s="397"/>
      <c r="R25" s="397"/>
      <c r="S25" s="397"/>
      <c r="T25" s="397"/>
      <c r="U25" s="397"/>
      <c r="V25" s="397"/>
      <c r="W25" s="397"/>
      <c r="X25" s="397"/>
      <c r="Y25" s="397"/>
      <c r="Z25" s="397"/>
      <c r="AA25" s="397"/>
      <c r="AB25" s="397"/>
      <c r="AC25" s="397"/>
    </row>
    <row r="26" spans="2:32" x14ac:dyDescent="0.35">
      <c r="B26" s="602" t="s">
        <v>915</v>
      </c>
      <c r="C26" s="219"/>
      <c r="D26" s="219"/>
      <c r="E26" s="219"/>
      <c r="F26" s="219">
        <f>F24/E24-1</f>
        <v>0.12806645552632978</v>
      </c>
      <c r="G26" s="219">
        <f>G24/F24-1+G27</f>
        <v>4.2021350804467339E-2</v>
      </c>
      <c r="H26" s="219">
        <f>H24/G24-1+H27-0.03</f>
        <v>0.10015514206479662</v>
      </c>
      <c r="I26" s="219">
        <f>I24/H24-1</f>
        <v>5.1921694099323235E-2</v>
      </c>
      <c r="J26" s="219">
        <f>J24/I24-1</f>
        <v>6.1217149287570827E-2</v>
      </c>
      <c r="K26" s="545">
        <f>K24/J24-1</f>
        <v>6.1757137404077733E-2</v>
      </c>
      <c r="P26" s="235"/>
      <c r="Q26" s="235"/>
      <c r="R26" s="235"/>
      <c r="S26" s="235"/>
      <c r="T26" s="235"/>
      <c r="U26" s="235"/>
      <c r="V26" s="235"/>
      <c r="W26" s="235"/>
      <c r="X26" s="235"/>
      <c r="Y26" s="235"/>
      <c r="Z26" s="235"/>
      <c r="AA26" s="235"/>
      <c r="AB26" s="235"/>
      <c r="AC26" s="235"/>
    </row>
    <row r="27" spans="2:32" x14ac:dyDescent="0.35">
      <c r="B27" s="603" t="s">
        <v>887</v>
      </c>
      <c r="C27" s="491"/>
      <c r="D27" s="491"/>
      <c r="E27" s="491"/>
      <c r="F27" s="491"/>
      <c r="G27" s="491">
        <v>0</v>
      </c>
      <c r="H27" s="491"/>
      <c r="I27" s="491"/>
      <c r="J27" s="491"/>
      <c r="K27" s="562"/>
      <c r="P27" s="235"/>
      <c r="Q27" s="235"/>
      <c r="R27" s="235"/>
      <c r="S27" s="235"/>
      <c r="T27" s="235"/>
      <c r="U27" s="235"/>
      <c r="V27" s="235"/>
      <c r="W27" s="235"/>
      <c r="X27" s="235"/>
      <c r="Y27" s="235"/>
      <c r="Z27" s="235"/>
      <c r="AA27" s="235"/>
      <c r="AB27" s="235"/>
      <c r="AC27" s="235"/>
    </row>
    <row r="28" spans="2:32" x14ac:dyDescent="0.35">
      <c r="C28" s="611"/>
      <c r="D28" s="611"/>
      <c r="E28" s="611"/>
      <c r="F28" s="611"/>
      <c r="G28" s="611"/>
      <c r="H28" s="611"/>
      <c r="I28" s="611"/>
      <c r="J28" s="611"/>
      <c r="P28" s="235"/>
      <c r="Q28" s="235"/>
      <c r="R28" s="235"/>
      <c r="S28" s="235"/>
      <c r="T28" s="235"/>
      <c r="U28" s="235"/>
      <c r="V28" s="235"/>
      <c r="W28" s="235"/>
      <c r="X28" s="235"/>
      <c r="Y28" s="235"/>
      <c r="Z28" s="235"/>
      <c r="AA28" s="235"/>
      <c r="AB28" s="235"/>
      <c r="AC28" s="235"/>
    </row>
    <row r="29" spans="2:32" x14ac:dyDescent="0.35">
      <c r="P29" s="235"/>
      <c r="Q29" s="235"/>
      <c r="R29" s="235"/>
      <c r="S29" s="235"/>
      <c r="T29" s="235"/>
      <c r="U29" s="235"/>
      <c r="V29" s="235"/>
      <c r="W29" s="235"/>
      <c r="X29" s="235"/>
      <c r="Y29" s="235"/>
      <c r="Z29" s="235"/>
      <c r="AA29" s="235"/>
      <c r="AB29" s="235"/>
      <c r="AC29" s="235"/>
    </row>
    <row r="30" spans="2:32" x14ac:dyDescent="0.35">
      <c r="S30" s="235"/>
      <c r="T30" s="235"/>
      <c r="U30" s="235"/>
      <c r="V30" s="235"/>
      <c r="W30" s="235"/>
      <c r="X30" s="235"/>
      <c r="Y30" s="235"/>
      <c r="Z30" s="235"/>
      <c r="AA30" s="235"/>
      <c r="AB30" s="235"/>
      <c r="AC30" s="235"/>
      <c r="AD30" s="235"/>
      <c r="AE30" s="235"/>
      <c r="AF30" s="235"/>
    </row>
    <row r="31" spans="2:32" x14ac:dyDescent="0.35">
      <c r="P31" s="235"/>
      <c r="Q31" s="235"/>
      <c r="R31" s="235"/>
      <c r="S31" s="235"/>
      <c r="T31" s="235"/>
      <c r="U31" s="235"/>
      <c r="V31" s="235"/>
      <c r="W31" s="235"/>
      <c r="X31" s="235"/>
      <c r="Y31" s="235"/>
      <c r="Z31" s="235"/>
      <c r="AA31" s="235"/>
      <c r="AB31" s="235"/>
      <c r="AC31" s="235"/>
    </row>
    <row r="32" spans="2:32" x14ac:dyDescent="0.35">
      <c r="F32" s="56"/>
      <c r="G32" s="56"/>
      <c r="P32" s="235"/>
      <c r="Q32" s="235"/>
      <c r="R32" s="235"/>
      <c r="S32" s="235"/>
      <c r="T32" s="235"/>
      <c r="U32" s="235"/>
      <c r="V32" s="235"/>
      <c r="W32" s="235"/>
      <c r="X32" s="235"/>
      <c r="Y32" s="235"/>
      <c r="Z32" s="235"/>
      <c r="AA32" s="235"/>
      <c r="AB32" s="235"/>
      <c r="AC32" s="235"/>
    </row>
    <row r="33" spans="16:29" x14ac:dyDescent="0.35">
      <c r="P33" s="235"/>
      <c r="Q33" s="235"/>
      <c r="R33" s="235"/>
      <c r="S33" s="235"/>
      <c r="T33" s="235"/>
      <c r="U33" s="235"/>
      <c r="V33" s="235"/>
      <c r="W33" s="235"/>
      <c r="X33" s="235"/>
      <c r="Y33" s="235"/>
      <c r="Z33" s="235"/>
      <c r="AA33" s="235"/>
      <c r="AB33" s="235"/>
      <c r="AC33" s="235"/>
    </row>
    <row r="34" spans="16:29" x14ac:dyDescent="0.35">
      <c r="P34" s="235"/>
      <c r="Q34" s="235"/>
      <c r="R34" s="235"/>
      <c r="S34" s="235"/>
      <c r="T34" s="235"/>
      <c r="U34" s="235"/>
      <c r="V34" s="235"/>
      <c r="W34" s="235"/>
      <c r="X34" s="235"/>
      <c r="Y34" s="235"/>
      <c r="Z34" s="235"/>
      <c r="AA34" s="235"/>
      <c r="AB34" s="235"/>
      <c r="AC34" s="235"/>
    </row>
  </sheetData>
  <mergeCells count="14">
    <mergeCell ref="B1:AC1"/>
    <mergeCell ref="B7:C9"/>
    <mergeCell ref="E8:H8"/>
    <mergeCell ref="I8:L8"/>
    <mergeCell ref="M8:P8"/>
    <mergeCell ref="B2:R4"/>
    <mergeCell ref="T2:AC4"/>
    <mergeCell ref="Q8:T8"/>
    <mergeCell ref="AC8:AF8"/>
    <mergeCell ref="AC7:AN7"/>
    <mergeCell ref="AK8:AN8"/>
    <mergeCell ref="U8:X8"/>
    <mergeCell ref="D7:AA7"/>
    <mergeCell ref="AG8:AJ8"/>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F1" workbookViewId="0">
      <selection activeCell="AB11" sqref="AB11"/>
    </sheetView>
  </sheetViews>
  <sheetFormatPr defaultColWidth="10.90625" defaultRowHeight="14.5" x14ac:dyDescent="0.35"/>
  <sheetData>
    <row r="1" spans="2:36" x14ac:dyDescent="0.35">
      <c r="B1" s="1269" t="s">
        <v>1375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6" x14ac:dyDescent="0.35">
      <c r="B2" s="1270" t="s">
        <v>1378</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6"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6"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6" x14ac:dyDescent="0.35">
      <c r="B5" s="395"/>
      <c r="C5" s="235"/>
      <c r="D5" s="235"/>
      <c r="E5" s="235"/>
      <c r="F5" s="235"/>
      <c r="G5" s="235"/>
      <c r="H5" s="235"/>
      <c r="I5" s="235"/>
      <c r="J5" s="235"/>
      <c r="K5" s="235"/>
      <c r="L5" s="235"/>
      <c r="M5" s="235"/>
      <c r="N5" s="235"/>
      <c r="O5" s="235"/>
      <c r="P5" s="235"/>
      <c r="Q5" s="235"/>
      <c r="R5" s="235"/>
      <c r="S5" s="235"/>
      <c r="T5" s="235"/>
      <c r="U5" s="235"/>
      <c r="V5" s="235"/>
      <c r="W5" s="235"/>
      <c r="X5" s="235"/>
      <c r="Y5" s="235"/>
    </row>
    <row r="6" spans="2:36" x14ac:dyDescent="0.35">
      <c r="B6" s="1274" t="s">
        <v>1692</v>
      </c>
      <c r="C6" s="1326"/>
      <c r="D6" s="1278" t="s">
        <v>279</v>
      </c>
      <c r="E6" s="1328"/>
      <c r="F6" s="1328"/>
      <c r="G6" s="1328"/>
      <c r="H6" s="1328"/>
      <c r="I6" s="1328"/>
      <c r="J6" s="1328"/>
      <c r="K6" s="1328"/>
      <c r="L6" s="1328"/>
      <c r="M6" s="1328"/>
      <c r="N6" s="1328"/>
      <c r="O6" s="1328"/>
      <c r="P6" s="1328"/>
      <c r="Q6" s="1327"/>
      <c r="R6" s="1327"/>
      <c r="S6" s="1327"/>
      <c r="T6" s="1327"/>
      <c r="U6" s="1327"/>
      <c r="V6" s="1277"/>
      <c r="W6" s="1355" t="s">
        <v>280</v>
      </c>
      <c r="X6" s="1356"/>
      <c r="Y6" s="1356"/>
      <c r="Z6" s="1356"/>
      <c r="AA6" s="1356"/>
      <c r="AB6" s="1356"/>
      <c r="AC6" s="1356"/>
      <c r="AD6" s="1356"/>
      <c r="AE6" s="1356"/>
      <c r="AF6" s="1356"/>
      <c r="AG6" s="1357"/>
      <c r="AH6" s="620"/>
      <c r="AI6" s="620"/>
      <c r="AJ6" s="620"/>
    </row>
    <row r="7" spans="2:36" x14ac:dyDescent="0.35">
      <c r="B7" s="1276"/>
      <c r="C7" s="1277"/>
      <c r="D7" s="214">
        <v>2018</v>
      </c>
      <c r="E7" s="1271">
        <v>2019</v>
      </c>
      <c r="F7" s="1272"/>
      <c r="G7" s="1272"/>
      <c r="H7" s="1333"/>
      <c r="I7" s="1271">
        <v>2020</v>
      </c>
      <c r="J7" s="1272"/>
      <c r="K7" s="1272"/>
      <c r="L7" s="1272"/>
      <c r="M7" s="1271">
        <v>2021</v>
      </c>
      <c r="N7" s="1272"/>
      <c r="O7" s="1272"/>
      <c r="P7" s="1272"/>
      <c r="Q7" s="1296">
        <v>2022</v>
      </c>
      <c r="R7" s="1297"/>
      <c r="S7" s="288"/>
      <c r="T7" s="288"/>
      <c r="U7" s="437"/>
      <c r="V7" s="288">
        <v>2023</v>
      </c>
      <c r="W7" s="324"/>
      <c r="X7" s="321"/>
      <c r="Y7" s="1281">
        <v>2024</v>
      </c>
      <c r="Z7" s="1286"/>
      <c r="AA7" s="1286"/>
      <c r="AB7" s="1285"/>
      <c r="AC7" s="1280">
        <v>2025</v>
      </c>
      <c r="AD7" s="1286"/>
      <c r="AE7" s="1286"/>
      <c r="AF7" s="1285"/>
      <c r="AG7" s="1280">
        <v>2026</v>
      </c>
      <c r="AH7" s="1286"/>
      <c r="AI7" s="1286"/>
      <c r="AJ7" s="1285"/>
    </row>
    <row r="8" spans="2:36" x14ac:dyDescent="0.35">
      <c r="B8" s="1278"/>
      <c r="C8" s="1279"/>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73" t="s">
        <v>282</v>
      </c>
      <c r="R8" s="274" t="s">
        <v>283</v>
      </c>
      <c r="S8" s="274" t="s">
        <v>238</v>
      </c>
      <c r="T8" s="274" t="s">
        <v>281</v>
      </c>
      <c r="U8" s="273" t="s">
        <v>282</v>
      </c>
      <c r="V8" s="274" t="s">
        <v>283</v>
      </c>
      <c r="W8" s="260" t="s">
        <v>238</v>
      </c>
      <c r="X8" s="287" t="s">
        <v>281</v>
      </c>
      <c r="Y8" s="260" t="s">
        <v>282</v>
      </c>
      <c r="Z8" s="257" t="s">
        <v>283</v>
      </c>
      <c r="AA8" s="260" t="s">
        <v>238</v>
      </c>
      <c r="AB8" s="260" t="s">
        <v>281</v>
      </c>
      <c r="AC8" s="259" t="s">
        <v>282</v>
      </c>
      <c r="AD8" s="257" t="s">
        <v>283</v>
      </c>
      <c r="AE8" s="260" t="s">
        <v>238</v>
      </c>
      <c r="AF8" s="260" t="s">
        <v>281</v>
      </c>
      <c r="AG8" s="259" t="s">
        <v>282</v>
      </c>
      <c r="AH8" s="257" t="s">
        <v>283</v>
      </c>
      <c r="AI8" s="260" t="s">
        <v>238</v>
      </c>
      <c r="AJ8" s="260" t="s">
        <v>281</v>
      </c>
    </row>
    <row r="9" spans="2:36" x14ac:dyDescent="0.35">
      <c r="B9" s="487" t="s">
        <v>1377</v>
      </c>
      <c r="C9" s="644"/>
      <c r="D9" s="645"/>
      <c r="E9" s="644"/>
      <c r="F9" s="644"/>
      <c r="G9" s="644"/>
      <c r="H9" s="644"/>
      <c r="I9" s="644"/>
      <c r="J9" s="646"/>
      <c r="K9" s="646"/>
      <c r="L9" s="646"/>
      <c r="M9" s="646"/>
      <c r="N9" s="646"/>
      <c r="O9" s="646"/>
      <c r="P9" s="646"/>
      <c r="Q9" s="624"/>
      <c r="R9" s="625">
        <v>0</v>
      </c>
      <c r="S9" s="626">
        <v>0</v>
      </c>
      <c r="T9" s="625">
        <v>0</v>
      </c>
      <c r="U9" s="625">
        <v>0</v>
      </c>
      <c r="V9" s="625">
        <v>0</v>
      </c>
      <c r="W9" s="625">
        <v>-7.7999999999999999E-4</v>
      </c>
      <c r="X9" s="625">
        <v>-7.7999999999999999E-4</v>
      </c>
      <c r="Y9" s="625">
        <v>-9.5E-4</v>
      </c>
      <c r="Z9" s="625">
        <v>-9.5E-4</v>
      </c>
      <c r="AA9" s="625">
        <v>-9.5E-4</v>
      </c>
      <c r="AB9" s="625">
        <v>-9.5E-4</v>
      </c>
      <c r="AC9" s="625">
        <v>-9.3999999999999997E-4</v>
      </c>
      <c r="AD9" s="625">
        <v>-9.3999999999999997E-4</v>
      </c>
      <c r="AE9" s="625">
        <v>-9.3999999999999997E-4</v>
      </c>
      <c r="AF9" s="625">
        <v>-9.3999999999999997E-4</v>
      </c>
      <c r="AG9" s="625">
        <v>-9.3999999999999997E-4</v>
      </c>
      <c r="AH9" s="625">
        <v>-9.3999999999999997E-4</v>
      </c>
      <c r="AI9" s="625">
        <v>0</v>
      </c>
      <c r="AJ9" s="625">
        <v>0</v>
      </c>
    </row>
    <row r="10" spans="2:36" x14ac:dyDescent="0.35">
      <c r="B10" s="56" t="s">
        <v>1376</v>
      </c>
      <c r="C10" s="253"/>
      <c r="D10" s="571"/>
      <c r="E10" s="253"/>
      <c r="F10" s="253"/>
      <c r="G10" s="253"/>
      <c r="H10" s="253"/>
      <c r="I10" s="253"/>
      <c r="J10" s="623"/>
      <c r="K10" s="623"/>
      <c r="L10" s="623"/>
      <c r="M10" s="623"/>
      <c r="N10" s="623"/>
      <c r="O10" s="623"/>
      <c r="P10" s="623"/>
      <c r="Q10" s="623"/>
      <c r="R10" s="622"/>
      <c r="S10" s="622"/>
      <c r="T10" s="622"/>
      <c r="U10" s="622">
        <v>26095</v>
      </c>
      <c r="V10" s="622">
        <v>26404</v>
      </c>
      <c r="W10" s="622">
        <v>26686</v>
      </c>
      <c r="X10" s="622">
        <v>26931</v>
      </c>
      <c r="Y10" s="622">
        <v>27174</v>
      </c>
      <c r="Z10" s="622">
        <v>27411</v>
      </c>
      <c r="AA10" s="622">
        <v>27647</v>
      </c>
      <c r="AB10" s="622">
        <v>27893</v>
      </c>
      <c r="AC10" s="622">
        <v>28143</v>
      </c>
      <c r="AD10" s="622">
        <v>28400</v>
      </c>
      <c r="AE10" s="622">
        <v>28649</v>
      </c>
      <c r="AF10" s="622">
        <v>28910</v>
      </c>
      <c r="AG10" s="622">
        <v>28910</v>
      </c>
      <c r="AH10" s="622">
        <v>28910</v>
      </c>
    </row>
    <row r="11" spans="2:36" x14ac:dyDescent="0.35">
      <c r="B11" s="56" t="s">
        <v>311</v>
      </c>
      <c r="C11" s="534"/>
      <c r="D11" s="533"/>
      <c r="E11" s="534"/>
      <c r="F11" s="534"/>
      <c r="G11" s="534"/>
      <c r="H11" s="534"/>
      <c r="I11" s="534"/>
      <c r="J11" s="643">
        <v>45</v>
      </c>
      <c r="K11" s="643">
        <v>45</v>
      </c>
      <c r="L11" s="643">
        <v>45</v>
      </c>
      <c r="M11" s="643">
        <v>45</v>
      </c>
      <c r="N11" s="643">
        <v>45</v>
      </c>
      <c r="O11" s="643">
        <v>45</v>
      </c>
      <c r="P11" s="643">
        <v>45</v>
      </c>
      <c r="Q11" s="643">
        <v>45</v>
      </c>
      <c r="R11" s="642">
        <v>45</v>
      </c>
      <c r="S11" s="642">
        <v>45</v>
      </c>
      <c r="T11" s="642">
        <v>45</v>
      </c>
      <c r="U11" s="647">
        <v>45</v>
      </c>
      <c r="V11" s="647">
        <v>45</v>
      </c>
      <c r="W11" s="647">
        <f>W9*W10*(-1)*0.1</f>
        <v>2.0815079999999999</v>
      </c>
      <c r="X11" s="647">
        <f t="shared" ref="X11:AF11" si="0">X9*X10*(-1)*0.1</f>
        <v>2.1006180000000003</v>
      </c>
      <c r="Y11" s="647">
        <f t="shared" si="0"/>
        <v>2.5815300000000003</v>
      </c>
      <c r="Z11" s="647">
        <f t="shared" si="0"/>
        <v>2.6040450000000002</v>
      </c>
      <c r="AA11" s="647">
        <f t="shared" si="0"/>
        <v>2.626465</v>
      </c>
      <c r="AB11" s="647">
        <f t="shared" si="0"/>
        <v>2.6498349999999999</v>
      </c>
      <c r="AC11" s="647">
        <f t="shared" si="0"/>
        <v>2.6454420000000001</v>
      </c>
      <c r="AD11" s="647">
        <f t="shared" si="0"/>
        <v>2.6696</v>
      </c>
      <c r="AE11" s="647">
        <f t="shared" si="0"/>
        <v>2.693006</v>
      </c>
      <c r="AF11" s="647">
        <f t="shared" si="0"/>
        <v>2.7175400000000001</v>
      </c>
      <c r="AG11" s="647">
        <f>AG9*AG10*(-1)*0.1</f>
        <v>2.7175400000000001</v>
      </c>
      <c r="AH11" s="647">
        <f>AH9*AH10*(-1)*0.1</f>
        <v>2.7175400000000001</v>
      </c>
      <c r="AI11">
        <v>0</v>
      </c>
      <c r="AJ11">
        <v>0</v>
      </c>
    </row>
    <row r="12" spans="2:36" x14ac:dyDescent="0.35">
      <c r="B12" s="56"/>
      <c r="C12" s="253"/>
      <c r="D12" s="253"/>
      <c r="E12" s="253"/>
      <c r="F12" s="253"/>
      <c r="G12" s="253"/>
      <c r="H12" s="253"/>
      <c r="I12" s="253"/>
      <c r="J12" s="623"/>
      <c r="K12" s="623"/>
      <c r="L12" s="623"/>
      <c r="M12" s="623"/>
      <c r="N12" s="623"/>
      <c r="O12" s="623"/>
      <c r="P12" s="623"/>
      <c r="Q12" s="623"/>
      <c r="R12" s="622"/>
      <c r="S12" s="622"/>
      <c r="T12" s="622"/>
      <c r="U12" s="76"/>
      <c r="V12" s="76"/>
      <c r="W12" s="76"/>
      <c r="X12" s="76"/>
      <c r="Y12" s="76"/>
      <c r="Z12" s="76"/>
      <c r="AA12" s="76"/>
      <c r="AB12" s="76"/>
      <c r="AC12" s="76"/>
      <c r="AD12" s="76"/>
      <c r="AE12" s="76"/>
      <c r="AF12" s="76"/>
      <c r="AG12" s="76"/>
      <c r="AH12" s="76"/>
    </row>
    <row r="13" spans="2:36" x14ac:dyDescent="0.35">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56"/>
      <c r="AA13" s="56"/>
      <c r="AB13" s="56"/>
      <c r="AC13" s="56"/>
    </row>
    <row r="14" spans="2:36" x14ac:dyDescent="0.35">
      <c r="B14" s="1225" t="s">
        <v>1746</v>
      </c>
      <c r="C14" s="1225"/>
      <c r="D14" s="1225"/>
      <c r="E14" s="1225"/>
      <c r="F14" s="1225"/>
      <c r="G14" s="1225"/>
      <c r="H14" s="1225"/>
      <c r="I14" s="1225"/>
      <c r="J14" s="1225"/>
      <c r="K14" s="1225"/>
      <c r="L14" s="1225"/>
      <c r="M14" s="1225"/>
      <c r="N14" s="1225"/>
      <c r="O14" s="1225"/>
      <c r="P14" s="1225"/>
      <c r="Q14" s="1225"/>
      <c r="R14" s="1225"/>
      <c r="S14" s="1225"/>
      <c r="T14" s="1225"/>
      <c r="U14" s="1225"/>
      <c r="V14" s="1225"/>
      <c r="W14" s="1225"/>
      <c r="X14" s="1225"/>
      <c r="Y14" s="1225"/>
      <c r="Z14" s="1225"/>
      <c r="AA14" s="1225"/>
      <c r="AB14" s="1225"/>
      <c r="AC14" s="1225"/>
      <c r="AD14" s="1225"/>
      <c r="AE14" s="1225"/>
      <c r="AF14" s="1225"/>
    </row>
    <row r="15" spans="2:36" x14ac:dyDescent="0.35">
      <c r="B15" s="1274" t="s">
        <v>1691</v>
      </c>
      <c r="C15" s="1326"/>
      <c r="D15" s="1298" t="s">
        <v>279</v>
      </c>
      <c r="E15" s="1299"/>
      <c r="F15" s="1299"/>
      <c r="G15" s="1299"/>
      <c r="H15" s="1299"/>
      <c r="I15" s="1299"/>
      <c r="J15" s="1299"/>
      <c r="K15" s="1299"/>
      <c r="L15" s="1299"/>
      <c r="M15" s="1299"/>
      <c r="N15" s="1299"/>
      <c r="O15" s="1299"/>
      <c r="P15" s="1299"/>
      <c r="Q15" s="1299"/>
      <c r="R15" s="1299"/>
      <c r="S15" s="1299"/>
      <c r="T15" s="1299"/>
      <c r="U15" s="1299"/>
      <c r="V15" s="1299"/>
      <c r="W15" s="1356" t="s">
        <v>280</v>
      </c>
      <c r="X15" s="1356"/>
      <c r="Y15" s="1356"/>
      <c r="Z15" s="1356"/>
      <c r="AA15" s="1356"/>
      <c r="AB15" s="1356"/>
      <c r="AC15" s="1356"/>
      <c r="AD15" s="1356"/>
      <c r="AE15" s="1356"/>
      <c r="AF15" s="1356"/>
      <c r="AG15" s="1357"/>
      <c r="AH15" s="620"/>
    </row>
    <row r="16" spans="2:36" x14ac:dyDescent="0.35">
      <c r="B16" s="1276"/>
      <c r="C16" s="1277"/>
      <c r="D16" s="214">
        <v>2018</v>
      </c>
      <c r="E16" s="1271">
        <v>2019</v>
      </c>
      <c r="F16" s="1272"/>
      <c r="G16" s="1272"/>
      <c r="H16" s="1333"/>
      <c r="I16" s="1271">
        <v>2020</v>
      </c>
      <c r="J16" s="1272"/>
      <c r="K16" s="1272"/>
      <c r="L16" s="1272"/>
      <c r="M16" s="1271">
        <v>2021</v>
      </c>
      <c r="N16" s="1272"/>
      <c r="O16" s="1272"/>
      <c r="P16" s="1272"/>
      <c r="Q16" s="1296">
        <v>2022</v>
      </c>
      <c r="R16" s="1358"/>
      <c r="S16" s="288"/>
      <c r="T16" s="295"/>
      <c r="U16" s="437"/>
      <c r="V16" s="288">
        <v>2023</v>
      </c>
      <c r="W16" s="621"/>
      <c r="X16" s="621"/>
      <c r="Y16" s="1280">
        <v>2024</v>
      </c>
      <c r="Z16" s="1286"/>
      <c r="AA16" s="1286"/>
      <c r="AB16" s="1285"/>
      <c r="AC16" s="1280">
        <v>2025</v>
      </c>
      <c r="AD16" s="1286"/>
      <c r="AE16" s="1286"/>
      <c r="AF16" s="1285"/>
      <c r="AG16" s="1280">
        <v>2026</v>
      </c>
      <c r="AH16" s="1285"/>
    </row>
    <row r="17" spans="2:34" x14ac:dyDescent="0.35">
      <c r="B17" s="1278"/>
      <c r="C17" s="1279"/>
      <c r="D17" s="214" t="s">
        <v>281</v>
      </c>
      <c r="E17" s="214" t="s">
        <v>282</v>
      </c>
      <c r="F17" s="215" t="s">
        <v>283</v>
      </c>
      <c r="G17" s="215" t="s">
        <v>238</v>
      </c>
      <c r="H17" s="218" t="s">
        <v>281</v>
      </c>
      <c r="I17" s="215" t="s">
        <v>282</v>
      </c>
      <c r="J17" s="215" t="s">
        <v>283</v>
      </c>
      <c r="K17" s="215" t="s">
        <v>238</v>
      </c>
      <c r="L17" s="215" t="s">
        <v>281</v>
      </c>
      <c r="M17" s="214" t="s">
        <v>282</v>
      </c>
      <c r="N17" s="215" t="s">
        <v>283</v>
      </c>
      <c r="O17" s="215" t="s">
        <v>238</v>
      </c>
      <c r="P17" s="215" t="s">
        <v>281</v>
      </c>
      <c r="Q17" s="273" t="s">
        <v>282</v>
      </c>
      <c r="R17" s="274" t="s">
        <v>283</v>
      </c>
      <c r="S17" s="274" t="s">
        <v>238</v>
      </c>
      <c r="T17" s="272" t="s">
        <v>281</v>
      </c>
      <c r="U17" s="273" t="s">
        <v>282</v>
      </c>
      <c r="V17" s="274" t="s">
        <v>283</v>
      </c>
      <c r="W17" s="260" t="s">
        <v>238</v>
      </c>
      <c r="X17" s="260" t="s">
        <v>281</v>
      </c>
      <c r="Y17" s="259" t="s">
        <v>282</v>
      </c>
      <c r="Z17" s="257" t="s">
        <v>283</v>
      </c>
      <c r="AA17" s="260" t="s">
        <v>238</v>
      </c>
      <c r="AB17" s="287" t="s">
        <v>281</v>
      </c>
      <c r="AC17" s="259" t="s">
        <v>282</v>
      </c>
      <c r="AD17" s="257" t="s">
        <v>283</v>
      </c>
      <c r="AE17" s="260" t="s">
        <v>238</v>
      </c>
      <c r="AF17" s="260" t="s">
        <v>281</v>
      </c>
      <c r="AG17" s="259" t="s">
        <v>282</v>
      </c>
      <c r="AH17" s="287" t="s">
        <v>283</v>
      </c>
    </row>
    <row r="18" spans="2:34" x14ac:dyDescent="0.35">
      <c r="B18" s="487" t="s">
        <v>1377</v>
      </c>
      <c r="C18" s="630"/>
      <c r="D18" s="631"/>
      <c r="E18" s="630"/>
      <c r="F18" s="630"/>
      <c r="G18" s="630"/>
      <c r="H18" s="630"/>
      <c r="I18" s="630"/>
      <c r="J18" s="632"/>
      <c r="K18" s="632"/>
      <c r="L18" s="632"/>
      <c r="M18" s="632"/>
      <c r="N18" s="632"/>
      <c r="O18" s="632"/>
      <c r="P18" s="632"/>
      <c r="Q18" s="632"/>
      <c r="R18" s="633">
        <v>0</v>
      </c>
      <c r="S18" s="627">
        <v>0</v>
      </c>
      <c r="T18" s="629">
        <v>0</v>
      </c>
      <c r="U18" s="629">
        <v>-7.7999999999999999E-4</v>
      </c>
      <c r="V18" s="629">
        <v>-7.7999999999999999E-4</v>
      </c>
      <c r="W18" s="629">
        <v>-7.7999999999999999E-4</v>
      </c>
      <c r="X18" s="629">
        <v>-7.7999999999999999E-4</v>
      </c>
      <c r="Y18" s="629">
        <v>-9.5E-4</v>
      </c>
      <c r="Z18" s="629">
        <v>-9.5E-4</v>
      </c>
      <c r="AA18" s="629">
        <v>-9.5E-4</v>
      </c>
      <c r="AB18" s="629">
        <v>-9.5E-4</v>
      </c>
      <c r="AC18" s="629">
        <v>-9.3999999999999997E-4</v>
      </c>
      <c r="AD18" s="629">
        <v>-9.3999999999999997E-4</v>
      </c>
      <c r="AE18" s="629">
        <v>-9.3999999999999997E-4</v>
      </c>
      <c r="AF18" s="629">
        <v>-9.3999999999999997E-4</v>
      </c>
      <c r="AG18" s="627">
        <v>-9.3999999999999997E-4</v>
      </c>
      <c r="AH18" s="627">
        <v>-9.3999999999999997E-4</v>
      </c>
    </row>
    <row r="19" spans="2:34" x14ac:dyDescent="0.35">
      <c r="B19" s="56" t="s">
        <v>1376</v>
      </c>
      <c r="C19" s="634"/>
      <c r="D19" s="635"/>
      <c r="E19" s="634"/>
      <c r="F19" s="634"/>
      <c r="G19" s="634"/>
      <c r="H19" s="634"/>
      <c r="I19" s="634"/>
      <c r="J19" s="636"/>
      <c r="K19" s="636"/>
      <c r="L19" s="636"/>
      <c r="M19" s="636"/>
      <c r="N19" s="636"/>
      <c r="O19" s="636"/>
      <c r="P19" s="636"/>
      <c r="Q19" s="636"/>
      <c r="R19" s="628"/>
      <c r="S19" s="628"/>
      <c r="T19" s="628"/>
      <c r="U19" s="628">
        <v>26095</v>
      </c>
      <c r="V19" s="628">
        <v>26404</v>
      </c>
      <c r="W19" s="628">
        <v>26686</v>
      </c>
      <c r="X19" s="628">
        <v>26931</v>
      </c>
      <c r="Y19" s="628">
        <v>27174</v>
      </c>
      <c r="Z19" s="628">
        <v>27411</v>
      </c>
      <c r="AA19" s="628">
        <v>27647</v>
      </c>
      <c r="AB19" s="628">
        <v>27893</v>
      </c>
      <c r="AC19" s="628">
        <v>28143</v>
      </c>
      <c r="AD19" s="628">
        <v>28400</v>
      </c>
      <c r="AE19" s="628">
        <v>28649</v>
      </c>
      <c r="AF19" s="628">
        <v>28910</v>
      </c>
      <c r="AG19" s="628">
        <v>28910</v>
      </c>
      <c r="AH19" s="628">
        <v>28910</v>
      </c>
    </row>
    <row r="20" spans="2:34" x14ac:dyDescent="0.35">
      <c r="B20" s="56" t="s">
        <v>311</v>
      </c>
      <c r="C20" s="637"/>
      <c r="D20" s="638"/>
      <c r="E20" s="637"/>
      <c r="F20" s="637"/>
      <c r="G20" s="637"/>
      <c r="H20" s="637"/>
      <c r="I20" s="637"/>
      <c r="J20" s="639"/>
      <c r="K20" s="639"/>
      <c r="L20" s="639"/>
      <c r="M20" s="639"/>
      <c r="N20" s="639"/>
      <c r="O20" s="639"/>
      <c r="P20" s="639"/>
      <c r="Q20" s="639"/>
      <c r="R20" s="640">
        <f>R18*R19</f>
        <v>0</v>
      </c>
      <c r="S20" s="640">
        <f t="shared" ref="S20:T20" si="1">S18*S19</f>
        <v>0</v>
      </c>
      <c r="T20" s="640">
        <f t="shared" si="1"/>
        <v>0</v>
      </c>
      <c r="U20" s="641">
        <f>U18*U19*-1</f>
        <v>20.354099999999999</v>
      </c>
      <c r="V20" s="641">
        <f t="shared" ref="V20:AF20" si="2">V18*V19*-1</f>
        <v>20.595119999999998</v>
      </c>
      <c r="W20" s="641">
        <f t="shared" si="2"/>
        <v>20.815079999999998</v>
      </c>
      <c r="X20" s="641">
        <f t="shared" si="2"/>
        <v>21.006180000000001</v>
      </c>
      <c r="Y20" s="641">
        <f t="shared" si="2"/>
        <v>25.815300000000001</v>
      </c>
      <c r="Z20" s="641">
        <f t="shared" si="2"/>
        <v>26.04045</v>
      </c>
      <c r="AA20" s="641">
        <f t="shared" si="2"/>
        <v>26.26465</v>
      </c>
      <c r="AB20" s="641">
        <f t="shared" si="2"/>
        <v>26.498349999999999</v>
      </c>
      <c r="AC20" s="641">
        <f t="shared" si="2"/>
        <v>26.454419999999999</v>
      </c>
      <c r="AD20" s="641">
        <f t="shared" si="2"/>
        <v>26.695999999999998</v>
      </c>
      <c r="AE20" s="641">
        <f t="shared" si="2"/>
        <v>26.930059999999997</v>
      </c>
      <c r="AF20" s="641">
        <f t="shared" si="2"/>
        <v>27.1754</v>
      </c>
      <c r="AG20" s="641">
        <f>AG18*AG19*-1</f>
        <v>27.1754</v>
      </c>
      <c r="AH20" s="641">
        <f>AH18*AH19*-1</f>
        <v>27.1754</v>
      </c>
    </row>
    <row r="23" spans="2:34" x14ac:dyDescent="0.35">
      <c r="C23" t="s">
        <v>1835</v>
      </c>
      <c r="F23" s="119" t="s">
        <v>1834</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J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tabSelected="1" zoomScaleNormal="100" workbookViewId="0">
      <pane xSplit="2" ySplit="6" topLeftCell="AA55" activePane="bottomRight" state="frozen"/>
      <selection pane="topRight" activeCell="C1" sqref="C1"/>
      <selection pane="bottomLeft" activeCell="A7" sqref="A7"/>
      <selection pane="bottomRight" activeCell="AB64" sqref="AB6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59" t="s">
        <v>463</v>
      </c>
      <c r="C1" s="1359"/>
      <c r="D1" s="1359"/>
      <c r="E1" s="1359"/>
      <c r="F1" s="1359"/>
      <c r="G1" s="1359"/>
      <c r="H1" s="1359"/>
      <c r="I1" s="1359"/>
      <c r="J1" s="1359"/>
      <c r="K1" s="1359"/>
      <c r="L1" s="1359"/>
      <c r="M1" s="1359"/>
      <c r="N1" s="1359"/>
      <c r="O1" s="1359"/>
      <c r="P1" s="1359"/>
      <c r="Q1" s="1359"/>
      <c r="R1" s="1359"/>
      <c r="S1" s="1359"/>
      <c r="T1" s="1359"/>
      <c r="U1" s="1359"/>
      <c r="V1" s="1359"/>
      <c r="W1" s="1359"/>
      <c r="X1" s="1359"/>
      <c r="Y1" s="1359"/>
      <c r="Z1" s="1359"/>
      <c r="AA1" s="1359"/>
      <c r="AB1" s="1359"/>
      <c r="AC1" s="1359"/>
    </row>
    <row r="2" spans="2:40" ht="34.5" hidden="1" customHeight="1" outlineLevel="1" x14ac:dyDescent="0.35">
      <c r="B2" s="1270" t="s">
        <v>858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40" ht="3" hidden="1" customHeight="1" outlineLevel="1"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40" ht="10.4" hidden="1" customHeight="1" outlineLevel="1"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40" ht="14.25" hidden="1" customHeight="1" outlineLevel="1" x14ac:dyDescent="0.35">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row>
    <row r="6" spans="2:40" ht="14.25" hidden="1" customHeight="1" outlineLevel="1" x14ac:dyDescent="0.35">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row>
    <row r="7" spans="2:40" collapsed="1" x14ac:dyDescent="0.35">
      <c r="B7" s="712" t="s">
        <v>332</v>
      </c>
      <c r="C7" s="255"/>
      <c r="D7" s="255"/>
      <c r="E7" s="255"/>
      <c r="F7" s="255"/>
      <c r="G7" s="255"/>
      <c r="H7" s="256"/>
      <c r="I7" s="256"/>
      <c r="J7" s="256"/>
      <c r="K7" s="256"/>
      <c r="L7" s="256"/>
      <c r="M7" s="256"/>
      <c r="N7" s="256"/>
      <c r="O7" s="256"/>
      <c r="P7" s="256"/>
      <c r="Q7" s="256"/>
      <c r="R7" s="256"/>
      <c r="S7" s="256"/>
      <c r="T7" s="256"/>
      <c r="U7" s="256"/>
    </row>
    <row r="8" spans="2:40" ht="14.9" customHeight="1" x14ac:dyDescent="0.35">
      <c r="B8" s="679" t="s">
        <v>303</v>
      </c>
      <c r="C8" s="680"/>
      <c r="D8" s="1298" t="s">
        <v>279</v>
      </c>
      <c r="E8" s="1299"/>
      <c r="F8" s="1299"/>
      <c r="G8" s="1299"/>
      <c r="H8" s="1299"/>
      <c r="I8" s="1299"/>
      <c r="J8" s="1299"/>
      <c r="K8" s="1299"/>
      <c r="L8" s="1299"/>
      <c r="M8" s="1299"/>
      <c r="N8" s="1299"/>
      <c r="O8" s="1299"/>
      <c r="P8" s="1299"/>
      <c r="Q8" s="1299"/>
      <c r="R8" s="1299"/>
      <c r="S8" s="1299"/>
      <c r="T8" s="1299"/>
      <c r="U8" s="1299"/>
      <c r="V8" s="1299"/>
      <c r="W8" s="1299"/>
      <c r="X8" s="1299"/>
      <c r="Y8" s="1299"/>
      <c r="Z8" s="1299"/>
      <c r="AA8" s="1299"/>
      <c r="AB8" s="1300"/>
      <c r="AC8" s="1302" t="s">
        <v>280</v>
      </c>
      <c r="AD8" s="1282"/>
      <c r="AE8" s="1282"/>
      <c r="AF8" s="1282"/>
      <c r="AG8" s="1282"/>
      <c r="AH8" s="1282"/>
      <c r="AI8" s="1282"/>
      <c r="AJ8" s="1282"/>
      <c r="AK8" s="1282"/>
      <c r="AL8" s="1282"/>
      <c r="AM8" s="1282"/>
      <c r="AN8" s="1283"/>
    </row>
    <row r="9" spans="2:40" ht="14.9" customHeight="1" x14ac:dyDescent="0.35">
      <c r="B9" s="681"/>
      <c r="C9" s="682"/>
      <c r="D9" s="282">
        <v>2018</v>
      </c>
      <c r="E9" s="1293">
        <v>2019</v>
      </c>
      <c r="F9" s="1294"/>
      <c r="G9" s="1294"/>
      <c r="H9" s="1295"/>
      <c r="I9" s="1293">
        <v>2020</v>
      </c>
      <c r="J9" s="1294"/>
      <c r="K9" s="1294"/>
      <c r="L9" s="1294"/>
      <c r="M9" s="1293">
        <v>2021</v>
      </c>
      <c r="N9" s="1294"/>
      <c r="O9" s="1294"/>
      <c r="P9" s="1294"/>
      <c r="Q9" s="1293">
        <v>2022</v>
      </c>
      <c r="R9" s="1301"/>
      <c r="S9" s="1301"/>
      <c r="T9" s="1295"/>
      <c r="U9" s="1293">
        <v>2023</v>
      </c>
      <c r="V9" s="1301"/>
      <c r="W9" s="1301"/>
      <c r="X9" s="1295"/>
      <c r="Y9" s="74"/>
      <c r="Z9" s="288">
        <v>2024</v>
      </c>
      <c r="AA9" s="428"/>
      <c r="AB9" s="295"/>
      <c r="AC9" s="1280">
        <v>2025</v>
      </c>
      <c r="AD9" s="1286"/>
      <c r="AE9" s="1286"/>
      <c r="AF9" s="1281"/>
      <c r="AG9" s="1280">
        <v>2026</v>
      </c>
      <c r="AH9" s="1286"/>
      <c r="AI9" s="1286"/>
      <c r="AJ9" s="1285"/>
      <c r="AK9" s="1280">
        <v>2027</v>
      </c>
      <c r="AL9" s="1286"/>
      <c r="AM9" s="1286"/>
      <c r="AN9" s="1285"/>
    </row>
    <row r="10" spans="2:40" x14ac:dyDescent="0.35">
      <c r="B10" s="681"/>
      <c r="C10" s="682"/>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15" t="s">
        <v>282</v>
      </c>
      <c r="V10" s="274" t="s">
        <v>283</v>
      </c>
      <c r="W10" s="274" t="s">
        <v>238</v>
      </c>
      <c r="X10" s="272" t="s">
        <v>281</v>
      </c>
      <c r="Y10" s="273" t="s">
        <v>282</v>
      </c>
      <c r="Z10" s="279" t="s">
        <v>283</v>
      </c>
      <c r="AA10" s="274" t="s">
        <v>238</v>
      </c>
      <c r="AB10" s="274" t="s">
        <v>281</v>
      </c>
      <c r="AC10" s="314" t="s">
        <v>282</v>
      </c>
      <c r="AD10" s="257" t="s">
        <v>283</v>
      </c>
      <c r="AE10" s="260" t="s">
        <v>238</v>
      </c>
      <c r="AF10" s="260" t="s">
        <v>281</v>
      </c>
      <c r="AG10" s="259" t="s">
        <v>282</v>
      </c>
      <c r="AH10" s="257" t="s">
        <v>283</v>
      </c>
      <c r="AI10" s="260" t="s">
        <v>238</v>
      </c>
      <c r="AJ10" s="287" t="s">
        <v>281</v>
      </c>
      <c r="AK10" s="259" t="s">
        <v>282</v>
      </c>
      <c r="AL10" s="257" t="s">
        <v>283</v>
      </c>
      <c r="AM10" s="260" t="s">
        <v>238</v>
      </c>
      <c r="AN10" s="287" t="s">
        <v>281</v>
      </c>
    </row>
    <row r="11" spans="2:40" x14ac:dyDescent="0.35">
      <c r="B11" s="1360" t="s">
        <v>464</v>
      </c>
      <c r="C11" s="1361"/>
      <c r="D11" s="654"/>
      <c r="E11" s="705"/>
      <c r="F11" s="705"/>
      <c r="G11" s="705"/>
      <c r="H11" s="306"/>
      <c r="I11" s="306"/>
      <c r="J11" s="306"/>
      <c r="K11" s="306"/>
      <c r="L11" s="306"/>
      <c r="M11" s="564"/>
      <c r="N11" s="564"/>
      <c r="O11" s="564"/>
      <c r="P11" s="306"/>
      <c r="Q11" s="306"/>
      <c r="R11" s="306"/>
      <c r="S11" s="306"/>
      <c r="T11" s="275"/>
      <c r="U11" s="306"/>
      <c r="V11" s="306"/>
      <c r="W11" s="210"/>
      <c r="X11" s="210"/>
      <c r="Y11" s="210"/>
      <c r="Z11" s="210"/>
      <c r="AA11" s="210"/>
      <c r="AB11" s="210"/>
      <c r="AC11" s="210"/>
      <c r="AD11" s="210"/>
      <c r="AE11" s="210"/>
      <c r="AF11" s="210"/>
      <c r="AG11" s="210"/>
      <c r="AH11" s="210"/>
      <c r="AI11" s="210"/>
      <c r="AJ11" s="210"/>
      <c r="AK11" s="210"/>
      <c r="AL11" s="210"/>
      <c r="AM11" s="210"/>
      <c r="AN11" s="210"/>
    </row>
    <row r="12" spans="2:40" ht="17.149999999999999" customHeight="1" x14ac:dyDescent="0.35">
      <c r="B12" s="668" t="s">
        <v>465</v>
      </c>
      <c r="C12" s="235" t="s">
        <v>466</v>
      </c>
      <c r="D12" s="583">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3">
        <f>'Haver Pivoted'!HD31</f>
        <v>2970.4</v>
      </c>
      <c r="T12" s="553">
        <f>'Haver Pivoted'!HE31</f>
        <v>3024.4</v>
      </c>
      <c r="U12" s="553">
        <f>'Haver Pivoted'!HF31</f>
        <v>3038.4</v>
      </c>
      <c r="V12" s="553">
        <f>'Haver Pivoted'!HG31</f>
        <v>3049.1</v>
      </c>
      <c r="W12" s="553">
        <f>'Haver Pivoted'!HH31</f>
        <v>3078</v>
      </c>
      <c r="X12" s="553">
        <f>'Haver Pivoted'!HI31</f>
        <v>3095.6</v>
      </c>
      <c r="Y12" s="553">
        <f>'Haver Pivoted'!HJ31</f>
        <v>3201.1</v>
      </c>
      <c r="Z12" s="553">
        <f>'Haver Pivoted'!HK31</f>
        <v>3243.1</v>
      </c>
      <c r="AA12" s="553">
        <f>'Haver Pivoted'!HL31</f>
        <v>3283.8</v>
      </c>
      <c r="AB12" s="553">
        <f>'Haver Pivoted'!HM31</f>
        <v>3330.1</v>
      </c>
      <c r="AC12" s="656">
        <f>SUM(AC14:AC31)-AC30</f>
        <v>3388.4808318640012</v>
      </c>
      <c r="AD12" s="656">
        <f t="shared" ref="AD12:AJ12" si="0">SUM(AD14:AD31)-AD30</f>
        <v>3409.8101789145353</v>
      </c>
      <c r="AE12" s="656">
        <f t="shared" si="0"/>
        <v>3431.3258318440649</v>
      </c>
      <c r="AF12" s="656">
        <f t="shared" si="0"/>
        <v>3453.8164290709642</v>
      </c>
      <c r="AG12" s="656">
        <f t="shared" si="0"/>
        <v>3516.6580933844834</v>
      </c>
      <c r="AH12" s="656">
        <f t="shared" si="0"/>
        <v>3541.5213528149129</v>
      </c>
      <c r="AI12" s="656">
        <f t="shared" si="0"/>
        <v>3567.6564253621918</v>
      </c>
      <c r="AJ12" s="656">
        <f t="shared" si="0"/>
        <v>3594.2287801672101</v>
      </c>
      <c r="AK12" s="656">
        <f t="shared" ref="AK12:AN12" si="1">SUM(AK14:AK31)-AK30</f>
        <v>3665.2762061992607</v>
      </c>
      <c r="AL12" s="656">
        <f t="shared" si="1"/>
        <v>3693.4225825878466</v>
      </c>
      <c r="AM12" s="656">
        <f t="shared" si="1"/>
        <v>3721.8624842413637</v>
      </c>
      <c r="AN12" s="656">
        <f t="shared" si="1"/>
        <v>3730.5624842413636</v>
      </c>
    </row>
    <row r="13" spans="2:40" x14ac:dyDescent="0.35">
      <c r="B13" s="278"/>
      <c r="C13" s="235"/>
      <c r="D13" s="583"/>
      <c r="E13" s="490"/>
      <c r="F13" s="490"/>
      <c r="G13" s="490"/>
      <c r="H13" s="490"/>
      <c r="I13" s="490"/>
      <c r="J13" s="490"/>
      <c r="K13" s="490"/>
      <c r="L13" s="490"/>
      <c r="M13" s="490"/>
      <c r="N13" s="490"/>
      <c r="O13" s="490"/>
      <c r="P13" s="235"/>
      <c r="Q13" s="219"/>
      <c r="R13" s="219"/>
      <c r="S13" s="219"/>
      <c r="T13" s="219"/>
      <c r="U13" s="219"/>
      <c r="V13" s="219"/>
      <c r="W13" s="219"/>
      <c r="X13" s="315"/>
      <c r="Y13" s="315"/>
      <c r="Z13" s="315"/>
      <c r="AA13" s="315"/>
      <c r="AB13" s="315"/>
      <c r="AC13" s="315"/>
      <c r="AD13" s="315"/>
      <c r="AE13" s="315"/>
      <c r="AF13" s="315"/>
      <c r="AG13" s="315"/>
      <c r="AH13" s="315"/>
      <c r="AI13" s="315"/>
      <c r="AJ13" s="315"/>
      <c r="AK13" s="315"/>
      <c r="AL13" s="315"/>
      <c r="AM13" s="315"/>
      <c r="AN13" s="315"/>
    </row>
    <row r="14" spans="2:40" x14ac:dyDescent="0.35">
      <c r="B14" s="664" t="s">
        <v>1836</v>
      </c>
      <c r="C14" s="235"/>
      <c r="D14" s="583">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553">
        <f t="shared" ref="V14:AA14" si="2">V15+V16</f>
        <v>30.960000000000004</v>
      </c>
      <c r="W14" s="553">
        <f t="shared" si="2"/>
        <v>30.960000000000004</v>
      </c>
      <c r="X14" s="553">
        <f t="shared" si="2"/>
        <v>35.299999999999997</v>
      </c>
      <c r="Y14" s="553">
        <f t="shared" si="2"/>
        <v>34.9</v>
      </c>
      <c r="Z14" s="553">
        <f t="shared" si="2"/>
        <v>34.9</v>
      </c>
      <c r="AA14" s="553">
        <f t="shared" si="2"/>
        <v>35.700000000000003</v>
      </c>
      <c r="AB14" s="553">
        <f t="shared" ref="AB14" si="3">AB15+AB16</f>
        <v>36.1</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x14ac:dyDescent="0.35">
      <c r="B15" s="410" t="s">
        <v>203</v>
      </c>
      <c r="C15" s="235"/>
      <c r="D15" s="583"/>
      <c r="E15" s="490"/>
      <c r="F15" s="490"/>
      <c r="G15" s="490"/>
      <c r="H15" s="490"/>
      <c r="I15" s="490"/>
      <c r="J15" s="490"/>
      <c r="K15" s="490"/>
      <c r="L15" s="490"/>
      <c r="M15" s="490"/>
      <c r="N15" s="490"/>
      <c r="O15" s="490"/>
      <c r="P15" s="490"/>
      <c r="Q15" s="490"/>
      <c r="R15" s="490"/>
      <c r="S15" s="490"/>
      <c r="T15" s="490"/>
      <c r="U15" s="490"/>
      <c r="V15" s="553">
        <f>'Unemployment Insurance'!V20</f>
        <v>0</v>
      </c>
      <c r="W15" s="553">
        <f>'Unemployment Insurance'!W20</f>
        <v>0</v>
      </c>
      <c r="X15" s="553">
        <f>'Unemployment Insurance'!X20</f>
        <v>4.632399999999997</v>
      </c>
      <c r="Y15" s="553">
        <f>'Unemployment Insurance'!Y20</f>
        <v>3.0799999999999947</v>
      </c>
      <c r="Z15" s="553">
        <f>'Unemployment Insurance'!Z20</f>
        <v>0</v>
      </c>
      <c r="AA15" s="553">
        <f>'Unemployment Insurance'!AA20</f>
        <v>0</v>
      </c>
      <c r="AB15" s="553">
        <f>'Unemployment Insurance'!AB20</f>
        <v>0.39999999999999858</v>
      </c>
      <c r="AC15" s="656"/>
      <c r="AD15" s="656"/>
      <c r="AE15" s="656"/>
      <c r="AF15" s="656"/>
      <c r="AG15" s="656"/>
      <c r="AH15" s="656"/>
      <c r="AI15" s="656"/>
      <c r="AJ15" s="656"/>
      <c r="AK15" s="656"/>
      <c r="AL15" s="656"/>
      <c r="AM15" s="656"/>
      <c r="AN15" s="656"/>
    </row>
    <row r="16" spans="2:40" x14ac:dyDescent="0.35">
      <c r="B16" s="410" t="s">
        <v>205</v>
      </c>
      <c r="C16" s="235"/>
      <c r="D16" s="583"/>
      <c r="E16" s="490"/>
      <c r="F16" s="490"/>
      <c r="G16" s="490"/>
      <c r="H16" s="490"/>
      <c r="I16" s="490"/>
      <c r="J16" s="490"/>
      <c r="K16" s="490"/>
      <c r="L16" s="490"/>
      <c r="M16" s="490"/>
      <c r="N16" s="490"/>
      <c r="O16" s="490"/>
      <c r="P16" s="490"/>
      <c r="Q16" s="490"/>
      <c r="R16" s="490"/>
      <c r="S16" s="490"/>
      <c r="T16" s="490"/>
      <c r="U16" s="490"/>
      <c r="V16" s="553">
        <f>'Unemployment Insurance'!V21</f>
        <v>30.960000000000004</v>
      </c>
      <c r="W16" s="553">
        <f>'Unemployment Insurance'!W21</f>
        <v>30.960000000000004</v>
      </c>
      <c r="X16" s="553">
        <f>'Unemployment Insurance'!X21</f>
        <v>30.6676</v>
      </c>
      <c r="Y16" s="553">
        <f>'Unemployment Insurance'!Y21</f>
        <v>31.820000000000004</v>
      </c>
      <c r="Z16" s="553">
        <f>'Unemployment Insurance'!Z21</f>
        <v>34.9</v>
      </c>
      <c r="AA16" s="553">
        <f>'Unemployment Insurance'!AA21</f>
        <v>35.700000000000003</v>
      </c>
      <c r="AB16" s="553">
        <f>'Unemployment Insurance'!AB21</f>
        <v>35.700000000000003</v>
      </c>
      <c r="AC16" s="656"/>
      <c r="AD16" s="656"/>
      <c r="AE16" s="656"/>
      <c r="AF16" s="656"/>
      <c r="AG16" s="656"/>
      <c r="AH16" s="656"/>
      <c r="AI16" s="656"/>
      <c r="AJ16" s="656"/>
      <c r="AK16" s="656"/>
      <c r="AL16" s="656"/>
      <c r="AM16" s="656"/>
      <c r="AN16" s="656"/>
    </row>
    <row r="17" spans="2:102" ht="17.899999999999999" customHeight="1" x14ac:dyDescent="0.35">
      <c r="B17" s="664" t="s">
        <v>55</v>
      </c>
      <c r="C17" s="235"/>
      <c r="D17" s="583">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490">
        <f>Medicare!V10</f>
        <v>1001.8</v>
      </c>
      <c r="W17" s="490">
        <f>Medicare!W10</f>
        <v>1019.9</v>
      </c>
      <c r="X17" s="656">
        <f>Medicare!X10</f>
        <v>1035.3</v>
      </c>
      <c r="Y17" s="656">
        <f>Medicare!Y10</f>
        <v>1049.2</v>
      </c>
      <c r="Z17" s="656">
        <f>Medicare!Z10</f>
        <v>1067.0999999999999</v>
      </c>
      <c r="AA17" s="656">
        <f>Medicare!AA10</f>
        <v>1090.2</v>
      </c>
      <c r="AB17" s="656">
        <f>Medicare!AB10</f>
        <v>1118.5</v>
      </c>
      <c r="AC17" s="656">
        <f>Medicare!AC10</f>
        <v>1148.7441849890008</v>
      </c>
      <c r="AD17" s="656">
        <f>Medicare!AD10</f>
        <v>1163.3735320395349</v>
      </c>
      <c r="AE17" s="656">
        <f>Medicare!AE10</f>
        <v>1178.1891849690642</v>
      </c>
      <c r="AF17" s="656">
        <f>Medicare!AF10</f>
        <v>1195.8207821959634</v>
      </c>
      <c r="AG17" s="656">
        <f>Medicare!AG10</f>
        <v>1213.7162362166082</v>
      </c>
      <c r="AH17" s="656">
        <f>Medicare!AH10</f>
        <v>1231.8794956470376</v>
      </c>
      <c r="AI17" s="656">
        <f>Medicare!AI10</f>
        <v>1250.3145681943167</v>
      </c>
      <c r="AJ17" s="656">
        <f>Medicare!AJ10</f>
        <v>1269.1869229993349</v>
      </c>
      <c r="AK17" s="656">
        <f>Medicare!AK10</f>
        <v>1288.3441387385105</v>
      </c>
      <c r="AL17" s="656">
        <f>Medicare!AL10</f>
        <v>1307.7905151270961</v>
      </c>
      <c r="AM17" s="656">
        <f>Medicare!AM10</f>
        <v>1327.5304167806135</v>
      </c>
      <c r="AN17" s="656">
        <f>Medicare!AN10</f>
        <v>1327.5304167806135</v>
      </c>
    </row>
    <row r="18" spans="2:102" ht="18" customHeight="1" x14ac:dyDescent="0.35">
      <c r="B18" s="665" t="s">
        <v>467</v>
      </c>
      <c r="C18" s="235"/>
      <c r="D18" s="263"/>
      <c r="E18" s="219"/>
      <c r="F18" s="219"/>
      <c r="G18" s="219"/>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553">
        <f t="shared" ref="V18:AA18" si="4">V19+V20</f>
        <v>0</v>
      </c>
      <c r="W18" s="553">
        <f t="shared" si="4"/>
        <v>0</v>
      </c>
      <c r="X18" s="553">
        <f t="shared" si="4"/>
        <v>0</v>
      </c>
      <c r="Y18" s="553">
        <f t="shared" si="4"/>
        <v>0</v>
      </c>
      <c r="Z18" s="553">
        <f t="shared" si="4"/>
        <v>0</v>
      </c>
      <c r="AA18" s="553">
        <f t="shared" si="4"/>
        <v>0</v>
      </c>
      <c r="AB18" s="553">
        <f>AB19+AB20</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x14ac:dyDescent="0.35">
      <c r="B19" s="666" t="s">
        <v>1837</v>
      </c>
      <c r="C19" s="235"/>
      <c r="D19" s="263"/>
      <c r="E19" s="219"/>
      <c r="F19" s="219"/>
      <c r="G19" s="219"/>
      <c r="H19" s="490"/>
      <c r="I19" s="490"/>
      <c r="J19" s="490"/>
      <c r="K19" s="490"/>
      <c r="L19" s="490"/>
      <c r="M19" s="490"/>
      <c r="N19" s="490"/>
      <c r="O19" s="490"/>
      <c r="P19" s="490"/>
      <c r="Q19" s="490"/>
      <c r="R19" s="490"/>
      <c r="S19" s="490"/>
      <c r="T19" s="490"/>
      <c r="U19" s="490"/>
      <c r="V19" s="490">
        <v>0</v>
      </c>
      <c r="W19" s="490"/>
      <c r="X19" s="656"/>
      <c r="Y19" s="656"/>
      <c r="Z19" s="656"/>
      <c r="AA19" s="656"/>
      <c r="AB19" s="656"/>
      <c r="AC19" s="656"/>
      <c r="AD19" s="656"/>
      <c r="AE19" s="656"/>
      <c r="AF19" s="656"/>
      <c r="AG19" s="656"/>
      <c r="AH19" s="656"/>
      <c r="AI19" s="656"/>
      <c r="AJ19" s="656"/>
      <c r="AK19" s="656"/>
      <c r="AL19" s="656"/>
      <c r="AM19" s="656"/>
      <c r="AN19" s="656"/>
    </row>
    <row r="20" spans="2:102" ht="18" customHeight="1" x14ac:dyDescent="0.35">
      <c r="B20" s="666" t="s">
        <v>1838</v>
      </c>
      <c r="C20" s="235"/>
      <c r="D20" s="263"/>
      <c r="E20" s="219"/>
      <c r="F20" s="219"/>
      <c r="G20" s="219"/>
      <c r="H20" s="490"/>
      <c r="I20" s="490"/>
      <c r="J20" s="490"/>
      <c r="K20" s="490"/>
      <c r="L20" s="490"/>
      <c r="M20" s="490"/>
      <c r="N20" s="490"/>
      <c r="O20" s="490"/>
      <c r="P20" s="490"/>
      <c r="Q20" s="490"/>
      <c r="R20" s="490"/>
      <c r="S20" s="490"/>
      <c r="T20" s="490"/>
      <c r="U20" s="490"/>
      <c r="V20" s="490">
        <v>0</v>
      </c>
      <c r="W20" s="490"/>
      <c r="X20" s="656"/>
      <c r="Y20" s="656"/>
      <c r="Z20" s="656"/>
      <c r="AA20" s="656"/>
      <c r="AB20" s="656"/>
      <c r="AC20" s="656"/>
      <c r="AD20" s="656"/>
      <c r="AE20" s="656"/>
      <c r="AF20" s="656"/>
      <c r="AG20" s="656"/>
      <c r="AH20" s="656"/>
      <c r="AI20" s="656"/>
      <c r="AJ20" s="656"/>
      <c r="AK20" s="656"/>
      <c r="AL20" s="656"/>
      <c r="AM20" s="656"/>
      <c r="AN20" s="656"/>
    </row>
    <row r="21" spans="2:102" ht="18" customHeight="1" x14ac:dyDescent="0.35">
      <c r="B21" s="667" t="s">
        <v>49</v>
      </c>
      <c r="C21" s="235"/>
      <c r="D21" s="262">
        <f>'Provider Relief (expired)'!D11</f>
        <v>0</v>
      </c>
      <c r="E21" s="231">
        <f>'Provider Relief (expired)'!E11</f>
        <v>0</v>
      </c>
      <c r="F21" s="231">
        <f>'Provider Relief (expired)'!F11</f>
        <v>0</v>
      </c>
      <c r="G21" s="231">
        <f>'Provider Relief (expired)'!G11</f>
        <v>0</v>
      </c>
      <c r="H21" s="231">
        <f>'Provider Relief (expired)'!H11</f>
        <v>0</v>
      </c>
      <c r="I21" s="231">
        <f>'Provider Relief (expired)'!I11</f>
        <v>0</v>
      </c>
      <c r="J21" s="231">
        <f>'Provider Relief (expired)'!J11</f>
        <v>160.9</v>
      </c>
      <c r="K21" s="231">
        <f>'Provider Relief (expired)'!K11</f>
        <v>58.4</v>
      </c>
      <c r="L21" s="231">
        <f>'Provider Relief (expired)'!L11</f>
        <v>34.5</v>
      </c>
      <c r="M21" s="231">
        <f>'Provider Relief (expired)'!M11</f>
        <v>21.4</v>
      </c>
      <c r="N21" s="231">
        <f>'Provider Relief (expired)'!N11</f>
        <v>13.3</v>
      </c>
      <c r="O21" s="231">
        <f>'Provider Relief (expired)'!O11</f>
        <v>18.7</v>
      </c>
      <c r="P21" s="231">
        <f>'Provider Relief (expired)'!P11</f>
        <v>32.200000000000003</v>
      </c>
      <c r="Q21" s="231">
        <f>'Provider Relief (expired)'!Q11</f>
        <v>26.9</v>
      </c>
      <c r="R21" s="231">
        <f>'Provider Relief (expired)'!R11</f>
        <v>20</v>
      </c>
      <c r="S21" s="231">
        <f>'Provider Relief (expired)'!S11</f>
        <v>8.1</v>
      </c>
      <c r="T21" s="231">
        <f>'Provider Relief (expired)'!T11</f>
        <v>4.9000000000000004</v>
      </c>
      <c r="U21" s="231">
        <v>0</v>
      </c>
      <c r="V21" s="490">
        <v>0</v>
      </c>
      <c r="W21" s="490">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x14ac:dyDescent="0.35">
      <c r="B22" s="278" t="s">
        <v>1839</v>
      </c>
      <c r="C22" s="235"/>
      <c r="D22" s="262"/>
      <c r="E22" s="231"/>
      <c r="F22" s="231"/>
      <c r="G22" s="231"/>
      <c r="H22" s="231"/>
      <c r="I22" s="231"/>
      <c r="J22" s="231"/>
      <c r="K22" s="231"/>
      <c r="L22" s="231"/>
      <c r="M22" s="231"/>
      <c r="N22" s="231"/>
      <c r="O22" s="231"/>
      <c r="P22" s="231"/>
      <c r="Q22" s="231"/>
      <c r="R22" s="231"/>
      <c r="S22" s="231"/>
      <c r="T22" s="231"/>
      <c r="U22" s="231"/>
      <c r="V22" s="490"/>
      <c r="W22" s="490"/>
      <c r="X22" s="656"/>
      <c r="Y22" s="656"/>
      <c r="Z22" s="656"/>
      <c r="AA22" s="656"/>
      <c r="AB22" s="656"/>
      <c r="AC22" s="656"/>
      <c r="AD22" s="656"/>
      <c r="AE22" s="656"/>
      <c r="AF22" s="656"/>
      <c r="AG22" s="656"/>
      <c r="AH22" s="656"/>
      <c r="AI22" s="656"/>
      <c r="AJ22" s="656"/>
      <c r="AK22" s="656"/>
      <c r="AL22" s="656"/>
      <c r="AM22" s="656"/>
      <c r="AN22" s="656"/>
    </row>
    <row r="23" spans="2:102" ht="18" customHeight="1" x14ac:dyDescent="0.35">
      <c r="B23" s="278" t="s">
        <v>1840</v>
      </c>
      <c r="C23" s="235"/>
      <c r="D23" s="262"/>
      <c r="E23" s="231"/>
      <c r="F23" s="231"/>
      <c r="G23" s="231"/>
      <c r="H23" s="231"/>
      <c r="I23" s="231"/>
      <c r="J23" s="231"/>
      <c r="K23" s="231"/>
      <c r="L23" s="231"/>
      <c r="M23" s="231"/>
      <c r="N23" s="231"/>
      <c r="O23" s="231"/>
      <c r="P23" s="231"/>
      <c r="Q23" s="231"/>
      <c r="R23" s="231"/>
      <c r="S23" s="231"/>
      <c r="T23" s="231"/>
      <c r="U23" s="231"/>
      <c r="V23" s="490"/>
      <c r="W23" s="490"/>
      <c r="X23" s="656"/>
      <c r="Y23" s="656"/>
      <c r="Z23" s="656"/>
      <c r="AA23" s="656"/>
      <c r="AB23" s="656"/>
      <c r="AC23" s="656"/>
      <c r="AD23" s="656"/>
      <c r="AE23" s="656"/>
      <c r="AF23" s="656"/>
      <c r="AG23" s="656"/>
      <c r="AH23" s="656"/>
      <c r="AI23" s="656"/>
      <c r="AJ23" s="656"/>
      <c r="AK23" s="656"/>
      <c r="AL23" s="656"/>
      <c r="AM23" s="656"/>
      <c r="AN23" s="656"/>
    </row>
    <row r="24" spans="2:102" ht="20.149999999999999" customHeight="1" x14ac:dyDescent="0.35">
      <c r="B24" s="258" t="s">
        <v>470</v>
      </c>
      <c r="C24" s="253"/>
      <c r="D24" s="706"/>
      <c r="E24" s="623"/>
      <c r="F24" s="623"/>
      <c r="G24" s="62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2">
        <f>'ARP Quarterly'!N5</f>
        <v>4.2219999999999995</v>
      </c>
      <c r="Y24" s="552">
        <f>'ARP Quarterly'!O5</f>
        <v>4.2219999999999995</v>
      </c>
      <c r="Z24" s="552">
        <f>'ARP Quarterly'!P5</f>
        <v>4.2219999999999995</v>
      </c>
      <c r="AA24" s="552">
        <f>'ARP Quarterly'!Q5</f>
        <v>4.2219999999999995</v>
      </c>
      <c r="AB24" s="552">
        <f>'ARP Quarterly'!R5</f>
        <v>2.3719999999999999</v>
      </c>
      <c r="AC24" s="552">
        <f>'ARP Quarterly'!S5</f>
        <v>2.3719999999999999</v>
      </c>
      <c r="AD24" s="552">
        <f>'ARP Quarterly'!T5</f>
        <v>2.3719999999999999</v>
      </c>
      <c r="AE24" s="552">
        <f>'ARP Quarterly'!U5</f>
        <v>2.3719999999999999</v>
      </c>
      <c r="AF24" s="552">
        <f>'ARP Quarterly'!V5</f>
        <v>0.49</v>
      </c>
      <c r="AG24" s="502">
        <v>0</v>
      </c>
      <c r="AH24" s="502">
        <v>0</v>
      </c>
      <c r="AI24" s="502">
        <v>0</v>
      </c>
      <c r="AJ24" s="502">
        <v>0</v>
      </c>
      <c r="AK24" s="502">
        <v>0</v>
      </c>
      <c r="AL24" s="502">
        <v>0</v>
      </c>
      <c r="AM24" s="502">
        <v>0</v>
      </c>
      <c r="AN24" s="502">
        <v>0</v>
      </c>
    </row>
    <row r="25" spans="2:102" ht="22.4" customHeight="1" x14ac:dyDescent="0.35">
      <c r="B25" s="242" t="s">
        <v>218</v>
      </c>
      <c r="C25" s="672"/>
      <c r="D25" s="262"/>
      <c r="E25" s="231"/>
      <c r="F25" s="231"/>
      <c r="G25" s="231"/>
      <c r="H25" s="231"/>
      <c r="I25" s="231"/>
      <c r="J25" s="231"/>
      <c r="K25" s="231"/>
      <c r="L25" s="231"/>
      <c r="M25" s="490">
        <f>'ARP Quarterly'!C4</f>
        <v>0</v>
      </c>
      <c r="N25" s="490">
        <f>'ARP Quarterly'!D4</f>
        <v>0</v>
      </c>
      <c r="O25" s="490">
        <f>'ARP Quarterly'!E4</f>
        <v>3.1040000000000418</v>
      </c>
      <c r="P25" s="490">
        <f>'ARP Quarterly'!F4</f>
        <v>19.719000000000005</v>
      </c>
      <c r="Q25" s="490">
        <f>'ARP Quarterly'!G4</f>
        <v>19.719000000000005</v>
      </c>
      <c r="R25" s="490">
        <f>'ARP Quarterly'!H4</f>
        <v>19.719000000000005</v>
      </c>
      <c r="S25" s="490">
        <f>'ARP Quarterly'!I4</f>
        <v>19.719000000000005</v>
      </c>
      <c r="T25" s="490">
        <f>'ARP Quarterly'!J4</f>
        <v>1.4159999999999999</v>
      </c>
      <c r="U25" s="490">
        <f>'ARP Quarterly'!K4</f>
        <v>1.4159999999999999</v>
      </c>
      <c r="V25" s="490">
        <f>'ARP Quarterly'!L4</f>
        <v>1.4159999999999999</v>
      </c>
      <c r="W25" s="490">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0">
        <v>0</v>
      </c>
      <c r="AH25" s="670">
        <v>0</v>
      </c>
      <c r="AI25" s="670">
        <v>0</v>
      </c>
      <c r="AJ25" s="670">
        <v>0</v>
      </c>
      <c r="AK25" s="670">
        <v>0</v>
      </c>
      <c r="AL25" s="670">
        <v>0</v>
      </c>
      <c r="AM25" s="670">
        <v>0</v>
      </c>
      <c r="AN25" s="670">
        <v>0</v>
      </c>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row>
    <row r="26" spans="2:102" ht="36.65" customHeight="1" x14ac:dyDescent="0.35">
      <c r="B26" s="242" t="s">
        <v>1428</v>
      </c>
      <c r="C26" s="235"/>
      <c r="D26" s="263">
        <f>D50</f>
        <v>0</v>
      </c>
      <c r="E26" s="219">
        <f t="shared" ref="E26:AF26" si="5">E50</f>
        <v>0</v>
      </c>
      <c r="F26" s="219">
        <f t="shared" si="5"/>
        <v>0</v>
      </c>
      <c r="G26" s="219">
        <f t="shared" si="5"/>
        <v>0</v>
      </c>
      <c r="H26" s="219">
        <f t="shared" si="5"/>
        <v>0</v>
      </c>
      <c r="I26" s="490">
        <f t="shared" si="5"/>
        <v>6.9120000000000061</v>
      </c>
      <c r="J26" s="490">
        <f t="shared" si="5"/>
        <v>50.955000000000005</v>
      </c>
      <c r="K26" s="490">
        <f t="shared" si="5"/>
        <v>51.173999999999999</v>
      </c>
      <c r="L26" s="490">
        <f t="shared" si="5"/>
        <v>51.893999999999998</v>
      </c>
      <c r="M26" s="490">
        <f t="shared" si="5"/>
        <v>91.075000000000017</v>
      </c>
      <c r="N26" s="490">
        <f t="shared" si="5"/>
        <v>100.63400000000001</v>
      </c>
      <c r="O26" s="490">
        <f t="shared" si="5"/>
        <v>93.89100000000002</v>
      </c>
      <c r="P26" s="490">
        <f t="shared" si="5"/>
        <v>100.22800000000001</v>
      </c>
      <c r="Q26" s="490">
        <f t="shared" si="5"/>
        <v>76.838999999999999</v>
      </c>
      <c r="R26" s="490">
        <f t="shared" si="5"/>
        <v>73.637</v>
      </c>
      <c r="S26" s="490">
        <f t="shared" si="5"/>
        <v>70.649000000000001</v>
      </c>
      <c r="T26" s="490">
        <f t="shared" si="5"/>
        <v>91.718000000000018</v>
      </c>
      <c r="U26" s="490">
        <f t="shared" si="5"/>
        <v>83.695999999999998</v>
      </c>
      <c r="V26" s="490">
        <f>V50</f>
        <v>51.979000000000006</v>
      </c>
      <c r="W26" s="490">
        <f>W50</f>
        <v>51.58400000000001</v>
      </c>
      <c r="X26" s="656">
        <f t="shared" si="5"/>
        <v>38.777999999999999</v>
      </c>
      <c r="Y26" s="656">
        <f t="shared" si="5"/>
        <v>37.295999999999999</v>
      </c>
      <c r="Z26" s="656">
        <f t="shared" si="5"/>
        <v>41.408000000000008</v>
      </c>
      <c r="AA26" s="656">
        <f t="shared" si="5"/>
        <v>48.07800000000001</v>
      </c>
      <c r="AB26" s="656">
        <f t="shared" si="5"/>
        <v>44.329000000000001</v>
      </c>
      <c r="AC26" s="656">
        <f t="shared" si="5"/>
        <v>44.329000000000001</v>
      </c>
      <c r="AD26" s="656">
        <f t="shared" si="5"/>
        <v>44.329000000000001</v>
      </c>
      <c r="AE26" s="656">
        <f t="shared" si="5"/>
        <v>44.329000000000001</v>
      </c>
      <c r="AF26" s="656">
        <f t="shared" si="5"/>
        <v>44.329000000000001</v>
      </c>
      <c r="AG26" s="656">
        <f>AG50</f>
        <v>44.329000000000001</v>
      </c>
      <c r="AH26" s="656">
        <f>AH50</f>
        <v>44.329000000000001</v>
      </c>
      <c r="AI26" s="656">
        <f>AI50</f>
        <v>44.329000000000001</v>
      </c>
      <c r="AJ26" s="656">
        <f>AJ50</f>
        <v>44.329000000000001</v>
      </c>
      <c r="AK26" s="656">
        <f t="shared" ref="AK26:AN26" si="6">AK50</f>
        <v>44.329000000000001</v>
      </c>
      <c r="AL26" s="656">
        <f t="shared" si="6"/>
        <v>44.329000000000001</v>
      </c>
      <c r="AM26" s="656">
        <f t="shared" si="6"/>
        <v>44.329000000000001</v>
      </c>
      <c r="AN26" s="656">
        <f t="shared" si="6"/>
        <v>44.329000000000001</v>
      </c>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row>
    <row r="27" spans="2:102" ht="15.65" customHeight="1" x14ac:dyDescent="0.35">
      <c r="B27" s="242" t="s">
        <v>796</v>
      </c>
      <c r="C27" s="235" t="s">
        <v>823</v>
      </c>
      <c r="D27" s="262">
        <v>30</v>
      </c>
      <c r="E27" s="231">
        <v>30</v>
      </c>
      <c r="F27" s="231">
        <v>30</v>
      </c>
      <c r="G27" s="231">
        <v>30</v>
      </c>
      <c r="H27" s="231">
        <v>30</v>
      </c>
      <c r="I27" s="231">
        <v>30</v>
      </c>
      <c r="J27" s="231">
        <v>30</v>
      </c>
      <c r="K27" s="227">
        <v>30.2</v>
      </c>
      <c r="L27" s="227">
        <v>30.2</v>
      </c>
      <c r="M27" s="227">
        <f>'Haver Pivoted'!GX89</f>
        <v>34.4</v>
      </c>
      <c r="N27" s="227">
        <f>'Haver Pivoted'!GY89</f>
        <v>34.4</v>
      </c>
      <c r="O27" s="227">
        <f>'Haver Pivoted'!GZ89</f>
        <v>218.933333333333</v>
      </c>
      <c r="P27" s="227">
        <f>'Haver Pivoted'!HA89</f>
        <v>223.13333333333301</v>
      </c>
      <c r="Q27" s="227">
        <f>'Haver Pivoted'!HB89</f>
        <v>94.3</v>
      </c>
      <c r="R27" s="227">
        <f>'Haver Pivoted'!HC89</f>
        <v>94.3</v>
      </c>
      <c r="S27" s="447">
        <f>'Haver Pivoted'!HD89</f>
        <v>94.3</v>
      </c>
      <c r="T27" s="447">
        <f>'Haver Pivoted'!HE89</f>
        <v>94.3</v>
      </c>
      <c r="U27" s="656">
        <v>34</v>
      </c>
      <c r="V27" s="490">
        <v>34</v>
      </c>
      <c r="W27" s="490">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5" customHeight="1" x14ac:dyDescent="0.35">
      <c r="B28" s="242" t="s">
        <v>468</v>
      </c>
      <c r="C28" s="235"/>
      <c r="D28" s="263"/>
      <c r="E28" s="219"/>
      <c r="F28" s="219"/>
      <c r="G28" s="219"/>
      <c r="H28" s="490"/>
      <c r="I28" s="490"/>
      <c r="J28" s="490">
        <f>'PPP (expired)'!J53</f>
        <v>57.2</v>
      </c>
      <c r="K28" s="490">
        <f>'PPP (expired)'!K53</f>
        <v>81.2</v>
      </c>
      <c r="L28" s="490">
        <f>'PPP (expired)'!L53</f>
        <v>24.4</v>
      </c>
      <c r="M28" s="490">
        <f>'PPP (expired)'!M53</f>
        <v>11.7</v>
      </c>
      <c r="N28" s="490">
        <f>'PPP (expired)'!N53</f>
        <v>28.5</v>
      </c>
      <c r="O28" s="490">
        <f>'PPP (expired)'!O53</f>
        <v>18.8</v>
      </c>
      <c r="P28" s="490">
        <f>'PPP (expired)'!P53</f>
        <v>1.6</v>
      </c>
      <c r="Q28" s="490">
        <f>'PPP (expired)'!Q53</f>
        <v>0</v>
      </c>
      <c r="R28" s="490">
        <f>'PPP (expired)'!Q61</f>
        <v>0</v>
      </c>
      <c r="S28" s="490">
        <f>'PPP (expired)'!S53</f>
        <v>0</v>
      </c>
      <c r="T28" s="490">
        <f>'PPP (expired)'!T53</f>
        <v>0</v>
      </c>
      <c r="U28" s="490">
        <f>'PPP (expired)'!U53</f>
        <v>0</v>
      </c>
      <c r="V28" s="490">
        <f>'PPP (expired)'!V53</f>
        <v>0</v>
      </c>
      <c r="W28" s="490">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5" customHeight="1" x14ac:dyDescent="0.35">
      <c r="B29" s="278" t="s">
        <v>797</v>
      </c>
      <c r="C29" s="235"/>
      <c r="D29" s="583">
        <f t="shared" ref="D29:AE29" si="7">D74</f>
        <v>0</v>
      </c>
      <c r="E29" s="490">
        <f t="shared" si="7"/>
        <v>0</v>
      </c>
      <c r="F29" s="490">
        <f t="shared" si="7"/>
        <v>0</v>
      </c>
      <c r="G29" s="490">
        <f t="shared" si="7"/>
        <v>0</v>
      </c>
      <c r="H29" s="490">
        <f t="shared" si="7"/>
        <v>0</v>
      </c>
      <c r="I29" s="490">
        <f t="shared" si="7"/>
        <v>-6.9120000000000346</v>
      </c>
      <c r="J29" s="490">
        <f t="shared" si="7"/>
        <v>-37.9549999999997</v>
      </c>
      <c r="K29" s="490">
        <f t="shared" si="7"/>
        <v>85.725999999999658</v>
      </c>
      <c r="L29" s="490">
        <f t="shared" si="7"/>
        <v>18.405999999999722</v>
      </c>
      <c r="M29" s="490">
        <f t="shared" si="7"/>
        <v>20.282000000000153</v>
      </c>
      <c r="N29" s="490">
        <f t="shared" si="7"/>
        <v>-8.5988400000003367</v>
      </c>
      <c r="O29" s="490">
        <f t="shared" si="7"/>
        <v>-12.537493333333487</v>
      </c>
      <c r="P29" s="490">
        <f t="shared" si="7"/>
        <v>-32.38033333333351</v>
      </c>
      <c r="Q29" s="490">
        <f t="shared" si="7"/>
        <v>72.734879999999521</v>
      </c>
      <c r="R29" s="490">
        <f t="shared" si="7"/>
        <v>75.236879999999019</v>
      </c>
      <c r="S29" s="490">
        <f t="shared" si="7"/>
        <v>66.046879999999419</v>
      </c>
      <c r="T29" s="490">
        <f t="shared" si="7"/>
        <v>90.12587999999937</v>
      </c>
      <c r="U29" s="490">
        <f t="shared" si="7"/>
        <v>55.219026999999414</v>
      </c>
      <c r="V29" s="490">
        <f>V74</f>
        <v>69.376026999999112</v>
      </c>
      <c r="W29" s="490">
        <f t="shared" si="7"/>
        <v>73.871026999999231</v>
      </c>
      <c r="X29" s="656">
        <f t="shared" si="7"/>
        <v>92.003026999999292</v>
      </c>
      <c r="Y29" s="656">
        <f t="shared" si="7"/>
        <v>133.13552299999901</v>
      </c>
      <c r="Z29" s="656">
        <f t="shared" si="7"/>
        <v>146.42352299999902</v>
      </c>
      <c r="AA29" s="656">
        <f t="shared" si="7"/>
        <v>149.85352299999886</v>
      </c>
      <c r="AB29" s="656">
        <f t="shared" si="7"/>
        <v>164.67352299999925</v>
      </c>
      <c r="AC29" s="656">
        <f t="shared" si="7"/>
        <v>164.67352299999925</v>
      </c>
      <c r="AD29" s="656">
        <f t="shared" si="7"/>
        <v>164.67352299999925</v>
      </c>
      <c r="AE29" s="656">
        <f t="shared" si="7"/>
        <v>164.67352299999925</v>
      </c>
      <c r="AF29" s="656">
        <f>AF74</f>
        <v>164.67352299999925</v>
      </c>
      <c r="AG29" s="656">
        <f>AG74</f>
        <v>164.67352299999925</v>
      </c>
      <c r="AH29" s="656">
        <f>AH74</f>
        <v>164.67352299999925</v>
      </c>
      <c r="AI29" s="656">
        <f t="shared" ref="AI29:AJ29" si="8">AI74</f>
        <v>164.67352299999925</v>
      </c>
      <c r="AJ29" s="656">
        <f t="shared" si="8"/>
        <v>164.67352299999925</v>
      </c>
      <c r="AK29" s="656">
        <f t="shared" ref="AK29:AN29" si="9">AK74</f>
        <v>164.67352299999925</v>
      </c>
      <c r="AL29" s="656">
        <f t="shared" si="9"/>
        <v>164.67352299999925</v>
      </c>
      <c r="AM29" s="656">
        <f t="shared" si="9"/>
        <v>164.67352299999925</v>
      </c>
      <c r="AN29" s="656">
        <f t="shared" si="9"/>
        <v>164.67352299999925</v>
      </c>
    </row>
    <row r="30" spans="2:102" ht="21" customHeight="1" x14ac:dyDescent="0.35">
      <c r="B30" s="258" t="s">
        <v>794</v>
      </c>
      <c r="C30" s="253"/>
      <c r="D30" s="706">
        <f t="shared" ref="D30:W30" si="10">D25+D21</f>
        <v>0</v>
      </c>
      <c r="E30" s="623">
        <f t="shared" si="10"/>
        <v>0</v>
      </c>
      <c r="F30" s="623">
        <f t="shared" si="10"/>
        <v>0</v>
      </c>
      <c r="G30" s="623">
        <f t="shared" si="10"/>
        <v>0</v>
      </c>
      <c r="H30" s="623">
        <f t="shared" si="10"/>
        <v>0</v>
      </c>
      <c r="I30" s="623">
        <f t="shared" si="10"/>
        <v>0</v>
      </c>
      <c r="J30" s="623">
        <f t="shared" si="10"/>
        <v>160.9</v>
      </c>
      <c r="K30" s="623">
        <f t="shared" si="10"/>
        <v>58.4</v>
      </c>
      <c r="L30" s="623">
        <f t="shared" si="10"/>
        <v>34.5</v>
      </c>
      <c r="M30" s="623">
        <f t="shared" si="10"/>
        <v>21.4</v>
      </c>
      <c r="N30" s="623">
        <f t="shared" si="10"/>
        <v>13.3</v>
      </c>
      <c r="O30" s="623">
        <f t="shared" si="10"/>
        <v>21.804000000000041</v>
      </c>
      <c r="P30" s="549">
        <f t="shared" si="10"/>
        <v>51.919000000000011</v>
      </c>
      <c r="Q30" s="623">
        <f t="shared" si="10"/>
        <v>46.619</v>
      </c>
      <c r="R30" s="623">
        <f t="shared" si="10"/>
        <v>39.719000000000008</v>
      </c>
      <c r="S30" s="623">
        <f t="shared" si="10"/>
        <v>27.819000000000003</v>
      </c>
      <c r="T30" s="549">
        <f t="shared" si="10"/>
        <v>6.3160000000000007</v>
      </c>
      <c r="U30" s="549">
        <f t="shared" si="10"/>
        <v>1.4159999999999999</v>
      </c>
      <c r="V30" s="549">
        <f t="shared" si="10"/>
        <v>1.4159999999999999</v>
      </c>
      <c r="W30" s="549">
        <f t="shared" si="10"/>
        <v>1.4159999999999999</v>
      </c>
      <c r="X30" s="552">
        <f t="shared" ref="X30:AB30" si="11">X25+X21</f>
        <v>1.4790000000000001</v>
      </c>
      <c r="Y30" s="552">
        <f t="shared" si="11"/>
        <v>1.4790000000000001</v>
      </c>
      <c r="Z30" s="552">
        <f t="shared" si="11"/>
        <v>1.4790000000000001</v>
      </c>
      <c r="AA30" s="552">
        <f t="shared" si="11"/>
        <v>1.4790000000000001</v>
      </c>
      <c r="AB30" s="552">
        <f t="shared" si="11"/>
        <v>1.63</v>
      </c>
      <c r="AC30" s="552">
        <f>AC25+AC21</f>
        <v>1.63</v>
      </c>
      <c r="AD30" s="552">
        <f t="shared" ref="AD30:AE30" si="12">AD25+AD21</f>
        <v>1.63</v>
      </c>
      <c r="AE30" s="552">
        <f t="shared" si="12"/>
        <v>1.63</v>
      </c>
      <c r="AF30" s="552">
        <f>AF25+AF21</f>
        <v>1.671</v>
      </c>
      <c r="AG30" s="552">
        <f>AG25+AG21</f>
        <v>0</v>
      </c>
      <c r="AH30" s="552">
        <f>AH25+AH21</f>
        <v>0</v>
      </c>
      <c r="AI30" s="552">
        <f t="shared" ref="AI30:AJ30" si="13">AI25+AI21</f>
        <v>0</v>
      </c>
      <c r="AJ30" s="552">
        <f t="shared" si="13"/>
        <v>0</v>
      </c>
      <c r="AK30" s="552">
        <f t="shared" ref="AK30:AN30" si="14">AK25+AK21</f>
        <v>0</v>
      </c>
      <c r="AL30" s="552">
        <f t="shared" si="14"/>
        <v>0</v>
      </c>
      <c r="AM30" s="552">
        <f t="shared" si="14"/>
        <v>0</v>
      </c>
      <c r="AN30" s="552">
        <f t="shared" si="14"/>
        <v>0</v>
      </c>
    </row>
    <row r="31" spans="2:102" ht="44.9" customHeight="1" x14ac:dyDescent="0.35">
      <c r="B31" s="242" t="s">
        <v>801</v>
      </c>
      <c r="C31" s="235"/>
      <c r="D31" s="583">
        <f t="shared" ref="D31:AE31" si="15">D66</f>
        <v>1410.9</v>
      </c>
      <c r="E31" s="490">
        <f t="shared" si="15"/>
        <v>1470.7000000000003</v>
      </c>
      <c r="F31" s="490">
        <f t="shared" si="15"/>
        <v>1475.8999999999996</v>
      </c>
      <c r="G31" s="490">
        <f t="shared" si="15"/>
        <v>1482.6999999999998</v>
      </c>
      <c r="H31" s="490">
        <f t="shared" si="15"/>
        <v>1490.8000000000002</v>
      </c>
      <c r="I31" s="490">
        <f t="shared" si="15"/>
        <v>1542.4</v>
      </c>
      <c r="J31" s="490">
        <f t="shared" si="15"/>
        <v>1549.1000000000001</v>
      </c>
      <c r="K31" s="490">
        <f t="shared" si="15"/>
        <v>1555.8000000000002</v>
      </c>
      <c r="L31" s="490">
        <f t="shared" si="15"/>
        <v>1562.5000000000002</v>
      </c>
      <c r="M31" s="490">
        <f t="shared" si="15"/>
        <v>1586.8430000000003</v>
      </c>
      <c r="N31" s="490">
        <f t="shared" si="15"/>
        <v>1593.5430000000003</v>
      </c>
      <c r="O31" s="490">
        <f t="shared" si="15"/>
        <v>1600.2430000000004</v>
      </c>
      <c r="P31" s="490">
        <f t="shared" si="15"/>
        <v>1606.9430000000004</v>
      </c>
      <c r="Q31" s="490">
        <f t="shared" si="15"/>
        <v>1685.5501200000006</v>
      </c>
      <c r="R31" s="490">
        <f t="shared" si="15"/>
        <v>1692.2501200000006</v>
      </c>
      <c r="S31" s="490">
        <f t="shared" si="15"/>
        <v>1698.9501200000007</v>
      </c>
      <c r="T31" s="490">
        <f t="shared" si="15"/>
        <v>1705.6501200000007</v>
      </c>
      <c r="U31" s="490">
        <f t="shared" si="15"/>
        <v>1818.9789730000007</v>
      </c>
      <c r="V31" s="490">
        <f t="shared" si="15"/>
        <v>1825.6789730000007</v>
      </c>
      <c r="W31" s="490">
        <f t="shared" si="15"/>
        <v>1832.3789730000008</v>
      </c>
      <c r="X31" s="656">
        <f t="shared" si="15"/>
        <v>1839.0789730000008</v>
      </c>
      <c r="Y31" s="656">
        <f t="shared" si="15"/>
        <v>1891.4284770000008</v>
      </c>
      <c r="Z31" s="656">
        <f t="shared" si="15"/>
        <v>1898.1284770000009</v>
      </c>
      <c r="AA31" s="656">
        <f t="shared" si="15"/>
        <v>1904.8284770000009</v>
      </c>
      <c r="AB31" s="656">
        <f>AB66</f>
        <v>1911.528477000001</v>
      </c>
      <c r="AC31" s="656">
        <f t="shared" si="15"/>
        <v>1957.0321238750009</v>
      </c>
      <c r="AD31" s="656">
        <f t="shared" si="15"/>
        <v>1963.732123875001</v>
      </c>
      <c r="AE31" s="656">
        <f t="shared" si="15"/>
        <v>1970.432123875001</v>
      </c>
      <c r="AF31" s="656">
        <f>AF66</f>
        <v>1977.1321238750011</v>
      </c>
      <c r="AG31" s="656">
        <f>AG66</f>
        <v>2024.239334167876</v>
      </c>
      <c r="AH31" s="656">
        <f>AH66</f>
        <v>2030.939334167876</v>
      </c>
      <c r="AI31" s="656">
        <f t="shared" ref="AI31:AJ31" si="16">AI66</f>
        <v>2037.6393341678761</v>
      </c>
      <c r="AJ31" s="656">
        <f t="shared" si="16"/>
        <v>2044.3393341678761</v>
      </c>
      <c r="AK31" s="656">
        <f t="shared" ref="AK31:AN31" si="17">AK66</f>
        <v>2094.2295444607512</v>
      </c>
      <c r="AL31" s="656">
        <f t="shared" si="17"/>
        <v>2100.929544460751</v>
      </c>
      <c r="AM31" s="656">
        <f t="shared" si="17"/>
        <v>2107.6295444607508</v>
      </c>
      <c r="AN31" s="656">
        <f t="shared" si="17"/>
        <v>2114.3295444607506</v>
      </c>
    </row>
    <row r="32" spans="2:102" ht="44.9" customHeight="1" x14ac:dyDescent="0.35">
      <c r="B32" s="419" t="s">
        <v>1180</v>
      </c>
      <c r="D32" s="583"/>
      <c r="E32" s="490"/>
      <c r="F32" s="490"/>
      <c r="G32" s="490"/>
      <c r="H32" s="490"/>
      <c r="I32" s="490"/>
      <c r="J32" s="490"/>
      <c r="K32" s="490"/>
      <c r="L32" s="490"/>
      <c r="M32" s="490"/>
      <c r="N32" s="490"/>
      <c r="O32" s="490"/>
      <c r="P32" s="490"/>
      <c r="Q32" s="490"/>
      <c r="R32" s="490"/>
      <c r="S32" s="660">
        <f>'IRA and CHIPS'!E191</f>
        <v>-0.622</v>
      </c>
      <c r="T32" s="660">
        <f>'IRA and CHIPS'!F191</f>
        <v>21.89</v>
      </c>
      <c r="U32" s="660">
        <f>'IRA and CHIPS'!G191</f>
        <v>21.89</v>
      </c>
      <c r="V32" s="660">
        <f>'IRA and CHIPS'!H191</f>
        <v>21.89</v>
      </c>
      <c r="W32" s="660">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c r="AH32" s="671">
        <f>0</f>
        <v>0</v>
      </c>
      <c r="AI32" s="671">
        <f>0</f>
        <v>0</v>
      </c>
      <c r="AJ32" s="671">
        <f>0</f>
        <v>0</v>
      </c>
      <c r="AK32" s="671">
        <f>0</f>
        <v>0</v>
      </c>
      <c r="AL32" s="671">
        <f>0</f>
        <v>0</v>
      </c>
      <c r="AM32" s="671">
        <f>0</f>
        <v>0</v>
      </c>
      <c r="AN32" s="671">
        <f>0</f>
        <v>0</v>
      </c>
    </row>
    <row r="33" spans="2:40" ht="31.4" customHeight="1" x14ac:dyDescent="0.35">
      <c r="B33" s="571" t="s">
        <v>798</v>
      </c>
      <c r="C33" s="253"/>
      <c r="D33" s="549">
        <f t="shared" ref="D33:R33" si="18">D31+SUM(D26:D29)+D32</f>
        <v>1440.9</v>
      </c>
      <c r="E33" s="549">
        <f t="shared" si="18"/>
        <v>1500.7000000000003</v>
      </c>
      <c r="F33" s="549">
        <f t="shared" si="18"/>
        <v>1505.8999999999996</v>
      </c>
      <c r="G33" s="549">
        <f t="shared" si="18"/>
        <v>1512.6999999999998</v>
      </c>
      <c r="H33" s="549">
        <f t="shared" si="18"/>
        <v>1520.8000000000002</v>
      </c>
      <c r="I33" s="549">
        <f t="shared" si="18"/>
        <v>1572.4</v>
      </c>
      <c r="J33" s="549">
        <f t="shared" si="18"/>
        <v>1649.3000000000004</v>
      </c>
      <c r="K33" s="549">
        <f t="shared" si="18"/>
        <v>1804.1</v>
      </c>
      <c r="L33" s="549">
        <f t="shared" si="18"/>
        <v>1687.3999999999999</v>
      </c>
      <c r="M33" s="549">
        <f t="shared" si="18"/>
        <v>1744.3000000000004</v>
      </c>
      <c r="N33" s="549">
        <f t="shared" si="18"/>
        <v>1748.4781600000001</v>
      </c>
      <c r="O33" s="549">
        <f t="shared" si="18"/>
        <v>1919.3298399999999</v>
      </c>
      <c r="P33" s="549">
        <f t="shared" si="18"/>
        <v>1899.5239999999999</v>
      </c>
      <c r="Q33" s="549">
        <f t="shared" si="18"/>
        <v>1929.424</v>
      </c>
      <c r="R33" s="549">
        <f t="shared" si="18"/>
        <v>1935.4239999999995</v>
      </c>
      <c r="S33" s="549">
        <f>S31+SUM(S26:S29)+S32</f>
        <v>1929.3240000000001</v>
      </c>
      <c r="T33" s="683">
        <f>T31+SUM(T26:T29)+T32</f>
        <v>2003.6840000000002</v>
      </c>
      <c r="U33" s="683">
        <f>U31+SUM(U26:U29)+U32</f>
        <v>2013.7840000000001</v>
      </c>
      <c r="V33" s="549">
        <f>V31+SUM(V26:V29)+V32</f>
        <v>2002.924</v>
      </c>
      <c r="W33" s="549">
        <f>W31+SUM(W26:W29)+W32</f>
        <v>2013.7240000000002</v>
      </c>
      <c r="X33" s="552">
        <f t="shared" ref="X33" si="19">X31+SUM(X26:X29)+X32</f>
        <v>2019.2990000000002</v>
      </c>
      <c r="Y33" s="552">
        <f>Y31+SUM(Y26:Y29)+Y32</f>
        <v>2111.2989999999995</v>
      </c>
      <c r="Z33" s="552">
        <f t="shared" ref="Z33" si="20">Z31+SUM(Z26:Z29)+Z32</f>
        <v>2135.3989999999999</v>
      </c>
      <c r="AA33" s="552">
        <f t="shared" ref="AA33" si="21">AA31+SUM(AA26:AA29)+AA32</f>
        <v>2152.1989999999996</v>
      </c>
      <c r="AB33" s="552">
        <f t="shared" ref="AB33" si="22">AB31+SUM(AB26:AB29)+AB32</f>
        <v>2171.4980000000005</v>
      </c>
      <c r="AC33" s="552">
        <f>AC31+SUM(AC26:AC29)+AC32</f>
        <v>2217.0016468750005</v>
      </c>
      <c r="AD33" s="552">
        <f t="shared" ref="AD33:AE33" si="23">AD31+SUM(AD26:AD29)+AD32</f>
        <v>2223.7016468750003</v>
      </c>
      <c r="AE33" s="552">
        <f t="shared" si="23"/>
        <v>2230.4016468750006</v>
      </c>
      <c r="AF33" s="552">
        <f>AF31+SUM(AF26:AF29)+AF32</f>
        <v>2220.8626468750003</v>
      </c>
      <c r="AG33" s="552">
        <f>AG31+SUM(AG26:AG29)+AG32</f>
        <v>2267.9698571678755</v>
      </c>
      <c r="AH33" s="552">
        <f>AH31+SUM(AH26:AH29)+AH32</f>
        <v>2273.9418571678752</v>
      </c>
      <c r="AI33" s="552">
        <f>AI31+SUM(AI26:AI29)+AI32</f>
        <v>2281.6418571678755</v>
      </c>
      <c r="AJ33" s="552">
        <f t="shared" ref="AJ33:AN33" si="24">AJ31+SUM(AJ26:AJ29)+AJ32</f>
        <v>2289.3418571678753</v>
      </c>
      <c r="AK33" s="552">
        <f t="shared" si="24"/>
        <v>2340.2320674607504</v>
      </c>
      <c r="AL33" s="552">
        <f t="shared" si="24"/>
        <v>2347.9320674607502</v>
      </c>
      <c r="AM33" s="552">
        <f t="shared" si="24"/>
        <v>2355.63206746075</v>
      </c>
      <c r="AN33" s="552">
        <f t="shared" si="24"/>
        <v>2363.3320674607498</v>
      </c>
    </row>
    <row r="34" spans="2:40" ht="31.4" customHeight="1" x14ac:dyDescent="0.35">
      <c r="B34" s="571"/>
      <c r="C34" s="253"/>
      <c r="D34" s="549"/>
      <c r="E34" s="549"/>
      <c r="F34" s="549"/>
      <c r="G34" s="549"/>
      <c r="H34" s="549"/>
      <c r="I34" s="549"/>
      <c r="J34" s="549"/>
      <c r="K34" s="549"/>
      <c r="L34" s="549"/>
      <c r="M34" s="549"/>
      <c r="N34" s="549"/>
      <c r="O34" s="549"/>
      <c r="P34" s="549"/>
      <c r="Q34" s="549"/>
      <c r="R34" s="549"/>
      <c r="S34" s="549"/>
      <c r="T34" s="549"/>
      <c r="U34" s="549"/>
      <c r="V34" s="549"/>
      <c r="W34" s="549"/>
      <c r="X34" s="552"/>
      <c r="Y34" s="552"/>
      <c r="Z34" s="552"/>
      <c r="AA34" s="552"/>
      <c r="AB34" s="552"/>
      <c r="AC34" s="552"/>
      <c r="AD34" s="552"/>
      <c r="AE34" s="552"/>
      <c r="AF34" s="552"/>
      <c r="AG34" s="552"/>
      <c r="AH34" s="552"/>
      <c r="AI34" s="552"/>
      <c r="AJ34" s="552"/>
      <c r="AK34" s="552"/>
      <c r="AL34" s="552"/>
      <c r="AM34" s="552"/>
      <c r="AN34" s="552"/>
    </row>
    <row r="35" spans="2:40" ht="31.4" customHeight="1" x14ac:dyDescent="0.35">
      <c r="B35" s="1360" t="s">
        <v>471</v>
      </c>
      <c r="C35" s="1361"/>
      <c r="D35" s="567"/>
      <c r="E35" s="568"/>
      <c r="F35" s="568"/>
      <c r="G35" s="568"/>
      <c r="H35" s="568"/>
      <c r="I35" s="568"/>
      <c r="J35" s="568"/>
      <c r="K35" s="568"/>
      <c r="L35" s="568"/>
      <c r="M35" s="568"/>
      <c r="N35" s="568"/>
      <c r="O35" s="568"/>
      <c r="P35" s="568"/>
      <c r="Q35" s="568"/>
      <c r="R35" s="568"/>
      <c r="S35" s="568"/>
      <c r="T35" s="549"/>
      <c r="U35" s="568"/>
      <c r="V35" s="549"/>
      <c r="W35" s="549"/>
      <c r="X35" s="552"/>
      <c r="Y35" s="552"/>
      <c r="Z35" s="552"/>
      <c r="AA35" s="552"/>
      <c r="AB35" s="552"/>
      <c r="AC35" s="552"/>
      <c r="AD35" s="552"/>
      <c r="AE35" s="552"/>
      <c r="AF35" s="552"/>
      <c r="AG35" s="552"/>
      <c r="AH35" s="552"/>
      <c r="AI35" s="552"/>
      <c r="AJ35" s="552"/>
      <c r="AK35" s="552"/>
      <c r="AL35" s="552"/>
      <c r="AM35" s="552"/>
      <c r="AN35" s="552"/>
    </row>
    <row r="36" spans="2:40" x14ac:dyDescent="0.35">
      <c r="B36" s="278" t="s">
        <v>803</v>
      </c>
      <c r="C36" s="235" t="s">
        <v>472</v>
      </c>
      <c r="D36" s="263">
        <f>'Haver Pivoted'!GO37</f>
        <v>733.6</v>
      </c>
      <c r="E36" s="219">
        <f>'Haver Pivoted'!GP37</f>
        <v>744.3</v>
      </c>
      <c r="F36" s="219">
        <f>'Haver Pivoted'!GQ37</f>
        <v>762.3</v>
      </c>
      <c r="G36" s="219">
        <f>'Haver Pivoted'!GR37</f>
        <v>772.2</v>
      </c>
      <c r="H36" s="219">
        <f>'Haver Pivoted'!GS37</f>
        <v>772.1</v>
      </c>
      <c r="I36" s="219">
        <f>'Haver Pivoted'!GT37</f>
        <v>760.8</v>
      </c>
      <c r="J36" s="219">
        <f>'Haver Pivoted'!GU37</f>
        <v>811.3</v>
      </c>
      <c r="K36" s="219">
        <f>'Haver Pivoted'!GV37</f>
        <v>850.3</v>
      </c>
      <c r="L36" s="219">
        <f>'Haver Pivoted'!GW37</f>
        <v>840.3</v>
      </c>
      <c r="M36" s="219">
        <f>'Haver Pivoted'!GX37</f>
        <v>869.7</v>
      </c>
      <c r="N36" s="219">
        <f>'Haver Pivoted'!GY37</f>
        <v>913.8</v>
      </c>
      <c r="O36" s="219">
        <f>'Haver Pivoted'!GZ37</f>
        <v>923.8</v>
      </c>
      <c r="P36" s="219">
        <f>'Haver Pivoted'!HA37</f>
        <v>923.5</v>
      </c>
      <c r="Q36" s="219">
        <f>'Haver Pivoted'!HB37</f>
        <v>973.6</v>
      </c>
      <c r="R36" s="219">
        <f>'Haver Pivoted'!HC37</f>
        <v>1010.5</v>
      </c>
      <c r="S36" s="622">
        <f>'Haver Pivoted'!HD37</f>
        <v>1032.5999999999999</v>
      </c>
      <c r="T36" s="622">
        <f>'Haver Pivoted'!HE37</f>
        <v>1096.5999999999999</v>
      </c>
      <c r="U36" s="622">
        <f>'Haver Pivoted'!HF37</f>
        <v>1083.2</v>
      </c>
      <c r="V36" s="659">
        <f>'Haver Pivoted'!HG37</f>
        <v>1111.0999999999999</v>
      </c>
      <c r="W36" s="659">
        <f>'Haver Pivoted'!HH37</f>
        <v>1069.4000000000001</v>
      </c>
      <c r="X36" s="659">
        <f>'Haver Pivoted'!HI37</f>
        <v>1061</v>
      </c>
      <c r="Y36" s="659">
        <f>'Haver Pivoted'!HJ37</f>
        <v>1113.5</v>
      </c>
      <c r="Z36" s="659">
        <f>'Haver Pivoted'!HK37</f>
        <v>1136.9000000000001</v>
      </c>
      <c r="AA36" s="659">
        <f>'Haver Pivoted'!HL37</f>
        <v>1154</v>
      </c>
      <c r="AB36" s="659">
        <f>'Haver Pivoted'!HM37</f>
        <v>1175.4000000000001</v>
      </c>
      <c r="AC36" s="281"/>
      <c r="AD36" s="281"/>
      <c r="AE36" s="281"/>
      <c r="AF36" s="281"/>
      <c r="AG36" s="281"/>
      <c r="AH36" s="281"/>
      <c r="AI36" s="281"/>
      <c r="AJ36" s="281"/>
      <c r="AK36" s="281"/>
      <c r="AL36" s="281"/>
      <c r="AM36" s="281"/>
      <c r="AN36" s="281"/>
    </row>
    <row r="37" spans="2:40" x14ac:dyDescent="0.35">
      <c r="B37" s="548" t="s">
        <v>209</v>
      </c>
      <c r="C37" s="235"/>
      <c r="D37" s="583">
        <f>Medicaid!D27</f>
        <v>589.5</v>
      </c>
      <c r="E37" s="490">
        <f>Medicaid!E27</f>
        <v>598.70000000000005</v>
      </c>
      <c r="F37" s="490">
        <f>Medicaid!F27</f>
        <v>614.4</v>
      </c>
      <c r="G37" s="490">
        <f>Medicaid!G27</f>
        <v>622.4</v>
      </c>
      <c r="H37" s="490">
        <f>Medicaid!H27</f>
        <v>620.6</v>
      </c>
      <c r="I37" s="490">
        <f>Medicaid!I27</f>
        <v>606.5</v>
      </c>
      <c r="J37" s="490">
        <f>Medicaid!J27</f>
        <v>654.6</v>
      </c>
      <c r="K37" s="490">
        <f>Medicaid!K27</f>
        <v>690.8</v>
      </c>
      <c r="L37" s="490">
        <f>Medicaid!L27</f>
        <v>678.6</v>
      </c>
      <c r="M37" s="490">
        <f>Medicaid!M27</f>
        <v>704.9</v>
      </c>
      <c r="N37" s="490">
        <f>Medicaid!N27</f>
        <v>745.6</v>
      </c>
      <c r="O37" s="490">
        <f>Medicaid!O27</f>
        <v>749.2</v>
      </c>
      <c r="P37" s="490">
        <f>Medicaid!P27</f>
        <v>746.3</v>
      </c>
      <c r="Q37" s="490">
        <f>Medicaid!Q27</f>
        <v>791.9</v>
      </c>
      <c r="R37" s="490">
        <f>Medicaid!R27</f>
        <v>819.2</v>
      </c>
      <c r="S37" s="622">
        <f>Medicaid!S27</f>
        <v>819</v>
      </c>
      <c r="T37" s="490">
        <f>Medicaid!T27</f>
        <v>827.5</v>
      </c>
      <c r="U37" s="490">
        <f>Medicaid!U27</f>
        <v>877.6</v>
      </c>
      <c r="V37" s="490">
        <f>Medicaid!V27</f>
        <v>911.6</v>
      </c>
      <c r="W37" s="490">
        <f>Medicaid!W27</f>
        <v>867.2</v>
      </c>
      <c r="X37" s="656">
        <f>Medicaid!X27</f>
        <v>856.2</v>
      </c>
      <c r="Y37" s="656">
        <f>Medicaid!Y27</f>
        <v>904.8</v>
      </c>
      <c r="Z37" s="656">
        <f>Medicaid!Z27</f>
        <v>924.7</v>
      </c>
      <c r="AA37" s="656">
        <f>Medicaid!AA27</f>
        <v>932.4</v>
      </c>
      <c r="AB37" s="656">
        <f>Medicaid!AB27</f>
        <v>957.6</v>
      </c>
      <c r="AC37" s="656">
        <f>Medicaid!AC27</f>
        <v>967.10719642383469</v>
      </c>
      <c r="AD37" s="656">
        <f>Medicaid!AD27</f>
        <v>986.80806321951536</v>
      </c>
      <c r="AE37" s="656">
        <f>Medicaid!AE27</f>
        <v>1006.9102548672251</v>
      </c>
      <c r="AF37" s="656">
        <f>Medicaid!AF27</f>
        <v>1021.540719904543</v>
      </c>
      <c r="AG37" s="656">
        <f>Medicaid!AG27</f>
        <v>1036.383766456622</v>
      </c>
      <c r="AH37" s="656">
        <f>Medicaid!AH27</f>
        <v>1051.4424833453349</v>
      </c>
      <c r="AI37" s="656">
        <f>Medicaid!AI27</f>
        <v>1066.7200042733177</v>
      </c>
      <c r="AJ37" s="656">
        <f>Medicaid!AJ27</f>
        <v>1082.4599340037141</v>
      </c>
      <c r="AK37" s="656">
        <f>Medicaid!AK27</f>
        <v>1098.4321134218687</v>
      </c>
      <c r="AL37" s="656">
        <f>Medicaid!AL27</f>
        <v>1114.6399694755753</v>
      </c>
      <c r="AM37" s="656">
        <f>Medicaid!AM27</f>
        <v>1131.0869796787715</v>
      </c>
      <c r="AN37" s="656" t="e">
        <f>Medicaid!AN27</f>
        <v>#DIV/0!</v>
      </c>
    </row>
    <row r="38" spans="2:40" ht="14.9" customHeight="1" x14ac:dyDescent="0.35">
      <c r="B38" s="571" t="s">
        <v>804</v>
      </c>
      <c r="C38" s="253"/>
      <c r="D38" s="582">
        <f>D36-D37</f>
        <v>144.10000000000002</v>
      </c>
      <c r="E38" s="549">
        <f t="shared" ref="E38:O38" si="25">E36-E37</f>
        <v>145.59999999999991</v>
      </c>
      <c r="F38" s="549">
        <f t="shared" si="25"/>
        <v>147.89999999999998</v>
      </c>
      <c r="G38" s="549">
        <f t="shared" si="25"/>
        <v>149.80000000000007</v>
      </c>
      <c r="H38" s="549">
        <f t="shared" si="25"/>
        <v>151.5</v>
      </c>
      <c r="I38" s="549">
        <f t="shared" si="25"/>
        <v>154.29999999999995</v>
      </c>
      <c r="J38" s="549">
        <f t="shared" si="25"/>
        <v>156.69999999999993</v>
      </c>
      <c r="K38" s="549">
        <f t="shared" si="25"/>
        <v>159.5</v>
      </c>
      <c r="L38" s="549">
        <f t="shared" si="25"/>
        <v>161.69999999999993</v>
      </c>
      <c r="M38" s="549">
        <f t="shared" si="25"/>
        <v>164.80000000000007</v>
      </c>
      <c r="N38" s="549">
        <f t="shared" si="25"/>
        <v>168.19999999999993</v>
      </c>
      <c r="O38" s="549">
        <f t="shared" si="25"/>
        <v>174.59999999999991</v>
      </c>
      <c r="P38" s="549">
        <f>P36-P37</f>
        <v>177.20000000000005</v>
      </c>
      <c r="Q38" s="549">
        <f>Q36-Q37</f>
        <v>181.70000000000005</v>
      </c>
      <c r="R38" s="549">
        <f>R36-R37</f>
        <v>191.29999999999995</v>
      </c>
      <c r="S38" s="622">
        <f>S36-S37</f>
        <v>213.59999999999991</v>
      </c>
      <c r="T38" s="622">
        <f>T36-T37</f>
        <v>269.09999999999991</v>
      </c>
      <c r="U38" s="549">
        <f>T38*(1+AVERAGE($F$40:$I$40))+U39</f>
        <v>203.03380700109631</v>
      </c>
      <c r="V38" s="549">
        <f>U38*(1+AVERAGE($F$40:$I$40))+V39</f>
        <v>206.0018330562437</v>
      </c>
      <c r="W38" s="549">
        <f t="shared" ref="W38:AA38" si="26">V38*(1+AVERAGE($F$40:$I$40))</f>
        <v>209.01324685451698</v>
      </c>
      <c r="X38" s="552">
        <f>W38*(1+AVERAGE($F$40:$I$40))</f>
        <v>212.06868265458453</v>
      </c>
      <c r="Y38" s="552">
        <f t="shared" si="26"/>
        <v>215.16878398695127</v>
      </c>
      <c r="Z38" s="552">
        <f t="shared" si="26"/>
        <v>218.31420378949775</v>
      </c>
      <c r="AA38" s="552">
        <f t="shared" si="26"/>
        <v>221.50560454500092</v>
      </c>
      <c r="AB38" s="552">
        <f>AA38*(1+AVERAGE($F$40:$I$40))</f>
        <v>224.74365842066501</v>
      </c>
      <c r="AC38" s="552">
        <f>AB38*(1+AVERAGE($F$40:$I$40))</f>
        <v>228.02904740969223</v>
      </c>
      <c r="AD38" s="552">
        <f>AC38*(1+AVERAGE($F$40:$I$40))</f>
        <v>231.36246347492295</v>
      </c>
      <c r="AE38" s="552">
        <f>AD38*(1+AVERAGE($F$40:$I$40))</f>
        <v>234.7446086945757</v>
      </c>
      <c r="AF38" s="552">
        <f t="shared" ref="AF38:AH38" si="27">AE38*(1+AVERAGE($F$40:$I$40))</f>
        <v>238.17619541011769</v>
      </c>
      <c r="AG38" s="552">
        <f t="shared" si="27"/>
        <v>241.65794637629688</v>
      </c>
      <c r="AH38" s="552">
        <f t="shared" si="27"/>
        <v>245.19059491336728</v>
      </c>
      <c r="AI38" s="552">
        <f t="shared" ref="AI38" si="28">AH38*(1+AVERAGE($F$40:$I$40))</f>
        <v>248.77488506153966</v>
      </c>
      <c r="AJ38" s="552">
        <f>AI38*(1+AVERAGE($F$40:$I$40))</f>
        <v>252.41157173768991</v>
      </c>
      <c r="AK38" s="552">
        <f t="shared" ref="AK38:AN38" si="29">AJ38*(1+AVERAGE($F$40:$I$40))</f>
        <v>256.10142089435828</v>
      </c>
      <c r="AL38" s="552">
        <f t="shared" si="29"/>
        <v>259.84520968107307</v>
      </c>
      <c r="AM38" s="552">
        <f t="shared" si="29"/>
        <v>263.64372660803241</v>
      </c>
      <c r="AN38" s="552">
        <f t="shared" si="29"/>
        <v>267.49777171217886</v>
      </c>
    </row>
    <row r="39" spans="2:40" ht="14.9" customHeight="1" x14ac:dyDescent="0.35">
      <c r="B39" s="571" t="s">
        <v>1690</v>
      </c>
      <c r="C39" s="253"/>
      <c r="D39" s="582"/>
      <c r="E39" s="549"/>
      <c r="F39" s="549"/>
      <c r="G39" s="549"/>
      <c r="H39" s="549"/>
      <c r="I39" s="549"/>
      <c r="J39" s="549"/>
      <c r="K39" s="549"/>
      <c r="L39" s="549"/>
      <c r="M39" s="549"/>
      <c r="N39" s="549"/>
      <c r="O39" s="549"/>
      <c r="P39" s="549"/>
      <c r="Q39" s="549"/>
      <c r="R39" s="549"/>
      <c r="S39" s="622"/>
      <c r="T39" s="549"/>
      <c r="U39" s="549">
        <v>-70</v>
      </c>
      <c r="V39" s="549"/>
      <c r="W39" s="549"/>
      <c r="X39" s="552"/>
      <c r="Y39" s="552"/>
      <c r="Z39" s="552"/>
      <c r="AA39" s="552"/>
      <c r="AB39" s="552"/>
      <c r="AC39" s="552"/>
      <c r="AD39" s="552"/>
      <c r="AE39" s="552"/>
      <c r="AF39" s="552"/>
      <c r="AG39" s="552"/>
      <c r="AH39" s="552"/>
      <c r="AI39" s="552"/>
      <c r="AJ39" s="552"/>
      <c r="AK39" s="552"/>
      <c r="AL39" s="552"/>
      <c r="AM39" s="552"/>
      <c r="AN39" s="552"/>
    </row>
    <row r="40" spans="2:40" x14ac:dyDescent="0.35">
      <c r="B40" s="702" t="s">
        <v>805</v>
      </c>
      <c r="C40" s="356"/>
      <c r="D40" s="584"/>
      <c r="E40" s="570">
        <f>E38/D38-1</f>
        <v>1.0409437890353201E-2</v>
      </c>
      <c r="F40" s="570">
        <f t="shared" ref="F40:N40" si="30">F38/E38-1</f>
        <v>1.5796703296703685E-2</v>
      </c>
      <c r="G40" s="570">
        <f t="shared" si="30"/>
        <v>1.2846517917512346E-2</v>
      </c>
      <c r="H40" s="570">
        <f t="shared" si="30"/>
        <v>1.1348464619492127E-2</v>
      </c>
      <c r="I40" s="570">
        <f t="shared" si="30"/>
        <v>1.8481848184818128E-2</v>
      </c>
      <c r="J40" s="570">
        <f t="shared" si="30"/>
        <v>1.5554115359688758E-2</v>
      </c>
      <c r="K40" s="570">
        <f t="shared" si="30"/>
        <v>1.7868538608807105E-2</v>
      </c>
      <c r="L40" s="570">
        <f t="shared" si="30"/>
        <v>1.3793103448275446E-2</v>
      </c>
      <c r="M40" s="570">
        <f t="shared" si="30"/>
        <v>1.9171304885591489E-2</v>
      </c>
      <c r="N40" s="570">
        <f t="shared" si="30"/>
        <v>2.0631067961164318E-2</v>
      </c>
      <c r="O40" s="570">
        <f>O38/N38-1</f>
        <v>3.8049940546967864E-2</v>
      </c>
      <c r="P40" s="570">
        <f t="shared" ref="P40:S40" si="31">P38/O38-1</f>
        <v>1.4891179839634283E-2</v>
      </c>
      <c r="Q40" s="570">
        <f t="shared" si="31"/>
        <v>2.5395033860045046E-2</v>
      </c>
      <c r="R40" s="570">
        <f t="shared" si="31"/>
        <v>5.2834342322509054E-2</v>
      </c>
      <c r="S40" s="642">
        <f t="shared" si="31"/>
        <v>0.11657083115525335</v>
      </c>
      <c r="T40" s="551"/>
      <c r="U40" s="551"/>
      <c r="V40" s="551"/>
      <c r="W40" s="551"/>
      <c r="X40" s="578"/>
      <c r="Y40" s="578"/>
      <c r="Z40" s="578"/>
      <c r="AA40" s="578"/>
      <c r="AB40" s="578"/>
      <c r="AC40" s="578"/>
      <c r="AD40" s="578"/>
      <c r="AE40" s="578"/>
      <c r="AF40" s="578"/>
      <c r="AG40" s="578"/>
      <c r="AH40" s="578"/>
      <c r="AI40" s="578"/>
      <c r="AJ40" s="578"/>
      <c r="AK40" s="578"/>
      <c r="AL40" s="578"/>
      <c r="AM40" s="578"/>
      <c r="AN40" s="578"/>
    </row>
    <row r="44" spans="2:40" x14ac:dyDescent="0.35">
      <c r="P44" s="479"/>
      <c r="Q44" s="479"/>
    </row>
    <row r="45" spans="2:40" x14ac:dyDescent="0.35">
      <c r="B45" s="512" t="s">
        <v>351</v>
      </c>
      <c r="D45" s="490"/>
      <c r="E45" s="490"/>
      <c r="F45" s="490"/>
      <c r="G45" s="490"/>
      <c r="H45" s="490"/>
      <c r="I45" s="490"/>
      <c r="J45" s="490"/>
      <c r="K45" s="490"/>
      <c r="L45" s="490"/>
      <c r="M45" s="490"/>
      <c r="N45" s="490"/>
      <c r="O45" s="490"/>
      <c r="P45" s="490"/>
      <c r="Q45" s="490"/>
      <c r="R45" s="490"/>
      <c r="S45" s="490"/>
      <c r="T45" s="490"/>
      <c r="U45" s="490"/>
      <c r="V45" s="490"/>
      <c r="W45" s="490"/>
      <c r="X45" s="490"/>
      <c r="Y45" s="490"/>
      <c r="Z45" s="490"/>
      <c r="AA45" s="490"/>
      <c r="AB45" s="490"/>
      <c r="AC45" s="490"/>
    </row>
    <row r="46" spans="2:40" ht="45.75" customHeight="1" x14ac:dyDescent="0.35">
      <c r="B46" s="1362" t="s">
        <v>475</v>
      </c>
      <c r="C46" s="1362"/>
      <c r="D46" s="1304"/>
      <c r="E46" s="1304"/>
      <c r="F46" s="1304"/>
      <c r="G46" s="1304"/>
      <c r="H46" s="1304"/>
      <c r="I46" s="1304"/>
      <c r="J46" s="1304"/>
      <c r="K46" s="1304"/>
      <c r="L46" s="1304"/>
      <c r="M46" s="1304"/>
      <c r="N46" s="1304"/>
      <c r="O46" s="1304"/>
      <c r="P46" s="1304"/>
      <c r="Q46" s="1304"/>
      <c r="R46" s="1304"/>
      <c r="S46" s="1304"/>
      <c r="T46" s="1304"/>
      <c r="U46" s="1304"/>
      <c r="V46" s="1304"/>
      <c r="W46" s="1304"/>
      <c r="X46" s="1304"/>
      <c r="Y46" s="1304"/>
      <c r="Z46" s="1304"/>
      <c r="AA46" s="1304"/>
      <c r="AB46" s="1304"/>
      <c r="AC46" s="1304"/>
    </row>
    <row r="47" spans="2:40" ht="14.9" customHeight="1" x14ac:dyDescent="0.35">
      <c r="B47" s="1276" t="s">
        <v>476</v>
      </c>
      <c r="C47" s="1277"/>
      <c r="D47" s="1284" t="s">
        <v>279</v>
      </c>
      <c r="E47" s="1284"/>
      <c r="F47" s="1284"/>
      <c r="G47" s="1284"/>
      <c r="H47" s="1284"/>
      <c r="I47" s="1284"/>
      <c r="J47" s="1284"/>
      <c r="K47" s="1284"/>
      <c r="L47" s="1284"/>
      <c r="M47" s="1284"/>
      <c r="N47" s="1284"/>
      <c r="O47" s="1284"/>
      <c r="P47" s="1284"/>
      <c r="Q47" s="1284"/>
      <c r="R47" s="1284"/>
      <c r="S47" s="1284"/>
      <c r="T47" s="1284"/>
      <c r="U47" s="1284"/>
      <c r="V47" s="1284"/>
      <c r="W47" s="1284"/>
      <c r="X47" s="1284"/>
      <c r="Y47" s="1284"/>
      <c r="Z47" s="1284"/>
      <c r="AA47" s="1284"/>
      <c r="AB47" s="1284"/>
      <c r="AC47" s="1302" t="s">
        <v>280</v>
      </c>
      <c r="AD47" s="1282"/>
      <c r="AE47" s="1282"/>
      <c r="AF47" s="1282"/>
      <c r="AG47" s="1282"/>
      <c r="AH47" s="1282"/>
      <c r="AI47" s="1282"/>
      <c r="AJ47" s="1282"/>
      <c r="AK47" s="1282"/>
      <c r="AL47" s="1282"/>
      <c r="AM47" s="1282"/>
      <c r="AN47" s="1283"/>
    </row>
    <row r="48" spans="2:40" x14ac:dyDescent="0.35">
      <c r="B48" s="1276"/>
      <c r="C48" s="1277"/>
      <c r="D48" s="282">
        <v>2018</v>
      </c>
      <c r="E48" s="1293">
        <v>2019</v>
      </c>
      <c r="F48" s="1294"/>
      <c r="G48" s="1294"/>
      <c r="H48" s="1295"/>
      <c r="I48" s="1293">
        <v>2020</v>
      </c>
      <c r="J48" s="1294"/>
      <c r="K48" s="1294"/>
      <c r="L48" s="1294"/>
      <c r="M48" s="1293">
        <v>2021</v>
      </c>
      <c r="N48" s="1294"/>
      <c r="O48" s="1294"/>
      <c r="P48" s="1294"/>
      <c r="Q48" s="1293">
        <v>2022</v>
      </c>
      <c r="R48" s="1301"/>
      <c r="S48" s="1301"/>
      <c r="T48" s="1295"/>
      <c r="U48" s="288"/>
      <c r="V48" s="428">
        <v>2023</v>
      </c>
      <c r="W48" s="428"/>
      <c r="X48" s="295"/>
      <c r="Y48" s="437"/>
      <c r="Z48" s="428">
        <v>2024</v>
      </c>
      <c r="AA48" s="428"/>
      <c r="AB48" s="295"/>
      <c r="AC48" s="1280">
        <v>2025</v>
      </c>
      <c r="AD48" s="1286"/>
      <c r="AE48" s="1286"/>
      <c r="AF48" s="1285"/>
      <c r="AG48" s="1280">
        <v>2026</v>
      </c>
      <c r="AH48" s="1286"/>
      <c r="AI48" s="1286"/>
      <c r="AJ48" s="1285"/>
      <c r="AK48" s="1280">
        <v>2027</v>
      </c>
      <c r="AL48" s="1286"/>
      <c r="AM48" s="1286"/>
      <c r="AN48" s="1285"/>
    </row>
    <row r="49" spans="2:40" x14ac:dyDescent="0.35">
      <c r="B49" s="1278"/>
      <c r="C49" s="1279"/>
      <c r="D49" s="214" t="s">
        <v>281</v>
      </c>
      <c r="E49" s="214" t="s">
        <v>282</v>
      </c>
      <c r="F49" s="215" t="s">
        <v>283</v>
      </c>
      <c r="G49" s="215" t="s">
        <v>238</v>
      </c>
      <c r="H49" s="218" t="s">
        <v>281</v>
      </c>
      <c r="I49" s="215" t="s">
        <v>282</v>
      </c>
      <c r="J49" s="215" t="s">
        <v>283</v>
      </c>
      <c r="K49" s="215" t="s">
        <v>238</v>
      </c>
      <c r="L49" s="215" t="s">
        <v>281</v>
      </c>
      <c r="M49" s="214" t="s">
        <v>282</v>
      </c>
      <c r="N49" s="215" t="s">
        <v>283</v>
      </c>
      <c r="O49" s="215" t="s">
        <v>238</v>
      </c>
      <c r="P49" s="215" t="s">
        <v>281</v>
      </c>
      <c r="Q49" s="214" t="s">
        <v>282</v>
      </c>
      <c r="R49" s="215" t="s">
        <v>283</v>
      </c>
      <c r="S49" s="215" t="s">
        <v>238</v>
      </c>
      <c r="T49" s="218" t="s">
        <v>281</v>
      </c>
      <c r="U49" s="215" t="s">
        <v>282</v>
      </c>
      <c r="V49" s="274" t="s">
        <v>283</v>
      </c>
      <c r="W49" s="274" t="s">
        <v>238</v>
      </c>
      <c r="X49" s="272" t="s">
        <v>281</v>
      </c>
      <c r="Y49" s="273" t="s">
        <v>282</v>
      </c>
      <c r="Z49" s="279" t="s">
        <v>283</v>
      </c>
      <c r="AA49" s="274" t="s">
        <v>238</v>
      </c>
      <c r="AB49" s="274" t="s">
        <v>281</v>
      </c>
      <c r="AC49" s="259" t="s">
        <v>282</v>
      </c>
      <c r="AD49" s="257" t="s">
        <v>283</v>
      </c>
      <c r="AE49" s="260" t="s">
        <v>238</v>
      </c>
      <c r="AF49" s="260" t="s">
        <v>281</v>
      </c>
      <c r="AG49" s="259" t="s">
        <v>282</v>
      </c>
      <c r="AH49" s="257" t="s">
        <v>283</v>
      </c>
      <c r="AI49" s="260" t="s">
        <v>238</v>
      </c>
      <c r="AJ49" s="287" t="s">
        <v>281</v>
      </c>
      <c r="AK49" s="259" t="s">
        <v>282</v>
      </c>
      <c r="AL49" s="257" t="s">
        <v>283</v>
      </c>
      <c r="AM49" s="260" t="s">
        <v>238</v>
      </c>
      <c r="AN49" s="287" t="s">
        <v>281</v>
      </c>
    </row>
    <row r="50" spans="2:40" x14ac:dyDescent="0.35">
      <c r="B50" s="548" t="s">
        <v>1429</v>
      </c>
      <c r="D50" s="246"/>
      <c r="E50" s="306"/>
      <c r="F50" s="306"/>
      <c r="G50" s="306"/>
      <c r="H50" s="306"/>
      <c r="I50" s="564">
        <f>(I51-AVERAGE($E51:$H51))</f>
        <v>6.9120000000000061</v>
      </c>
      <c r="J50" s="564">
        <f t="shared" ref="J50:N50" si="32">(J51-AVERAGE($E51:$H51))</f>
        <v>50.955000000000005</v>
      </c>
      <c r="K50" s="564">
        <f t="shared" si="32"/>
        <v>51.173999999999999</v>
      </c>
      <c r="L50" s="564">
        <f t="shared" si="32"/>
        <v>51.893999999999998</v>
      </c>
      <c r="M50" s="564">
        <f t="shared" si="32"/>
        <v>91.075000000000017</v>
      </c>
      <c r="N50" s="564">
        <f t="shared" si="32"/>
        <v>100.63400000000001</v>
      </c>
      <c r="O50" s="564">
        <f t="shared" ref="O50:U50" si="33">(O51-AVERAGE($E51:$H51))</f>
        <v>93.89100000000002</v>
      </c>
      <c r="P50" s="564">
        <f t="shared" si="33"/>
        <v>100.22800000000001</v>
      </c>
      <c r="Q50" s="564">
        <f t="shared" si="33"/>
        <v>76.838999999999999</v>
      </c>
      <c r="R50" s="564">
        <f t="shared" si="33"/>
        <v>73.637</v>
      </c>
      <c r="S50" s="565">
        <f t="shared" si="33"/>
        <v>70.649000000000001</v>
      </c>
      <c r="T50" s="555">
        <f t="shared" si="33"/>
        <v>91.718000000000018</v>
      </c>
      <c r="U50" s="565">
        <f t="shared" si="33"/>
        <v>83.695999999999998</v>
      </c>
      <c r="V50" s="565">
        <f t="shared" ref="V50:AB50" si="34">(V51-AVERAGE($E51:$H51))</f>
        <v>51.979000000000006</v>
      </c>
      <c r="W50" s="565">
        <f t="shared" si="34"/>
        <v>51.58400000000001</v>
      </c>
      <c r="X50" s="565">
        <f t="shared" si="34"/>
        <v>38.777999999999999</v>
      </c>
      <c r="Y50" s="565">
        <f t="shared" si="34"/>
        <v>37.295999999999999</v>
      </c>
      <c r="Z50" s="565">
        <f t="shared" si="34"/>
        <v>41.408000000000008</v>
      </c>
      <c r="AA50" s="565">
        <f t="shared" si="34"/>
        <v>48.07800000000001</v>
      </c>
      <c r="AB50" s="565">
        <f t="shared" si="34"/>
        <v>44.329000000000001</v>
      </c>
      <c r="AC50" s="677">
        <f t="shared" ref="AC50" si="35">AB50</f>
        <v>44.329000000000001</v>
      </c>
      <c r="AD50" s="707">
        <f t="shared" ref="AD50" si="36">AC50</f>
        <v>44.329000000000001</v>
      </c>
      <c r="AE50" s="707">
        <f t="shared" ref="AE50" si="37">AD50</f>
        <v>44.329000000000001</v>
      </c>
      <c r="AF50" s="707">
        <f t="shared" ref="AF50" si="38">AE50</f>
        <v>44.329000000000001</v>
      </c>
      <c r="AG50" s="656">
        <f t="shared" ref="AG50" si="39">AF50</f>
        <v>44.329000000000001</v>
      </c>
      <c r="AH50" s="656">
        <f>AG50</f>
        <v>44.329000000000001</v>
      </c>
      <c r="AI50" s="656">
        <f t="shared" ref="AI50" si="40">AH50</f>
        <v>44.329000000000001</v>
      </c>
      <c r="AJ50" s="656">
        <f>AI50</f>
        <v>44.329000000000001</v>
      </c>
      <c r="AK50" s="656">
        <f t="shared" ref="AK50:AN50" si="41">AJ50</f>
        <v>44.329000000000001</v>
      </c>
      <c r="AL50" s="656">
        <f t="shared" si="41"/>
        <v>44.329000000000001</v>
      </c>
      <c r="AM50" s="656">
        <f t="shared" si="41"/>
        <v>44.329000000000001</v>
      </c>
      <c r="AN50" s="656">
        <f t="shared" si="41"/>
        <v>44.329000000000001</v>
      </c>
    </row>
    <row r="51" spans="2:40" x14ac:dyDescent="0.35">
      <c r="B51" s="548" t="s">
        <v>160</v>
      </c>
      <c r="C51" s="235" t="s">
        <v>477</v>
      </c>
      <c r="D51" s="263">
        <f>'Haver Pivoted'!GO66</f>
        <v>57.017000000000003</v>
      </c>
      <c r="E51" s="219">
        <f>'Haver Pivoted'!GP66</f>
        <v>55.875</v>
      </c>
      <c r="F51" s="219">
        <f>'Haver Pivoted'!GQ66</f>
        <v>54.335999999999999</v>
      </c>
      <c r="G51" s="219">
        <f>'Haver Pivoted'!GR66</f>
        <v>54.345999999999997</v>
      </c>
      <c r="H51" s="219">
        <f>'Haver Pivoted'!GS66</f>
        <v>54.290999999999997</v>
      </c>
      <c r="I51" s="219">
        <f>'Haver Pivoted'!GT66</f>
        <v>61.624000000000002</v>
      </c>
      <c r="J51" s="219">
        <f>'Haver Pivoted'!GU66</f>
        <v>105.667</v>
      </c>
      <c r="K51" s="219">
        <f>'Haver Pivoted'!GV66</f>
        <v>105.886</v>
      </c>
      <c r="L51" s="219">
        <f>'Haver Pivoted'!GW66</f>
        <v>106.60599999999999</v>
      </c>
      <c r="M51" s="219">
        <f>'Haver Pivoted'!GX66</f>
        <v>145.78700000000001</v>
      </c>
      <c r="N51" s="219">
        <f>'Haver Pivoted'!GY66</f>
        <v>155.346</v>
      </c>
      <c r="O51" s="219">
        <f>'Haver Pivoted'!GZ66</f>
        <v>148.60300000000001</v>
      </c>
      <c r="P51" s="219">
        <f>'Haver Pivoted'!HA66</f>
        <v>154.94</v>
      </c>
      <c r="Q51" s="219">
        <f>'Haver Pivoted'!HB66</f>
        <v>131.55099999999999</v>
      </c>
      <c r="R51" s="219">
        <f>'Haver Pivoted'!HC66</f>
        <v>128.34899999999999</v>
      </c>
      <c r="S51" s="215">
        <f>'Haver Pivoted'!HD66</f>
        <v>125.361</v>
      </c>
      <c r="T51" s="215">
        <f>'Haver Pivoted'!HE66</f>
        <v>146.43</v>
      </c>
      <c r="U51" s="215">
        <f>'Haver Pivoted'!HF66</f>
        <v>138.40799999999999</v>
      </c>
      <c r="V51" s="215">
        <f>'Haver Pivoted'!HG66</f>
        <v>106.691</v>
      </c>
      <c r="W51" s="215">
        <f>'Haver Pivoted'!HH66</f>
        <v>106.29600000000001</v>
      </c>
      <c r="X51" s="215">
        <f>'Haver Pivoted'!HI66</f>
        <v>93.49</v>
      </c>
      <c r="Y51" s="215">
        <f>'Haver Pivoted'!HJ66</f>
        <v>92.007999999999996</v>
      </c>
      <c r="Z51" s="215">
        <f>'Haver Pivoted'!HK66</f>
        <v>96.12</v>
      </c>
      <c r="AA51" s="215">
        <f>'Haver Pivoted'!HL66</f>
        <v>102.79</v>
      </c>
      <c r="AB51" s="215">
        <f>'Haver Pivoted'!HM66</f>
        <v>99.040999999999997</v>
      </c>
      <c r="AC51" s="315"/>
      <c r="AD51" s="209"/>
      <c r="AE51" s="209"/>
      <c r="AF51" s="209"/>
      <c r="AG51" s="209"/>
      <c r="AH51" s="209"/>
      <c r="AI51" s="209"/>
      <c r="AJ51" s="209"/>
      <c r="AK51" s="209"/>
      <c r="AL51" s="209"/>
      <c r="AM51" s="209"/>
      <c r="AN51" s="209"/>
    </row>
    <row r="52" spans="2:40" ht="29.15" customHeight="1" x14ac:dyDescent="0.35">
      <c r="B52" s="547" t="s">
        <v>478</v>
      </c>
      <c r="C52" s="356"/>
      <c r="D52" s="703"/>
      <c r="E52" s="491"/>
      <c r="F52" s="491"/>
      <c r="G52" s="491"/>
      <c r="H52" s="491"/>
      <c r="I52" s="491"/>
      <c r="J52" s="491">
        <f t="shared" ref="J52:W52" si="42">J51-$H51</f>
        <v>51.376000000000005</v>
      </c>
      <c r="K52" s="491">
        <f t="shared" si="42"/>
        <v>51.594999999999999</v>
      </c>
      <c r="L52" s="491">
        <f t="shared" si="42"/>
        <v>52.314999999999998</v>
      </c>
      <c r="M52" s="491">
        <f t="shared" si="42"/>
        <v>91.496000000000009</v>
      </c>
      <c r="N52" s="491">
        <f>N51-$H51</f>
        <v>101.05500000000001</v>
      </c>
      <c r="O52" s="491">
        <f>O51-$H51</f>
        <v>94.312000000000012</v>
      </c>
      <c r="P52" s="491">
        <f t="shared" si="42"/>
        <v>100.649</v>
      </c>
      <c r="Q52" s="491">
        <f t="shared" si="42"/>
        <v>77.259999999999991</v>
      </c>
      <c r="R52" s="491">
        <f t="shared" si="42"/>
        <v>74.057999999999993</v>
      </c>
      <c r="S52" s="274">
        <f t="shared" si="42"/>
        <v>71.070000000000007</v>
      </c>
      <c r="T52" s="274">
        <f t="shared" si="42"/>
        <v>92.13900000000001</v>
      </c>
      <c r="U52" s="274">
        <f t="shared" si="42"/>
        <v>84.11699999999999</v>
      </c>
      <c r="V52" s="274">
        <f t="shared" si="42"/>
        <v>52.400000000000006</v>
      </c>
      <c r="W52" s="274">
        <f t="shared" si="42"/>
        <v>52.00500000000001</v>
      </c>
      <c r="X52" s="274">
        <f t="shared" ref="X52:Y52" si="43">X51-$H51</f>
        <v>39.198999999999998</v>
      </c>
      <c r="Y52" s="274">
        <f t="shared" si="43"/>
        <v>37.716999999999999</v>
      </c>
      <c r="Z52" s="274">
        <f t="shared" ref="Z52" si="44">Z51-$H51</f>
        <v>41.829000000000008</v>
      </c>
      <c r="AA52" s="274">
        <f t="shared" ref="AA52" si="45">AA51-$H51</f>
        <v>48.499000000000009</v>
      </c>
      <c r="AB52" s="274">
        <f t="shared" ref="AB52" si="46">AB51-$H51</f>
        <v>44.75</v>
      </c>
      <c r="AC52" s="260"/>
      <c r="AD52" s="655"/>
      <c r="AE52" s="655"/>
      <c r="AF52" s="655"/>
      <c r="AG52" s="655"/>
      <c r="AH52" s="655"/>
      <c r="AI52" s="655"/>
      <c r="AJ52" s="655"/>
      <c r="AK52" s="655"/>
      <c r="AL52" s="655"/>
      <c r="AM52" s="655"/>
      <c r="AN52" s="655"/>
    </row>
    <row r="53" spans="2:40" ht="29.15" customHeight="1" x14ac:dyDescent="0.35">
      <c r="B53" s="235"/>
      <c r="C53" s="235"/>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row>
    <row r="54" spans="2:40" ht="29.15" customHeight="1" x14ac:dyDescent="0.35">
      <c r="B54" s="235"/>
      <c r="C54" s="235"/>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row>
    <row r="55" spans="2:40" ht="29.15" customHeight="1" x14ac:dyDescent="0.35">
      <c r="B55" s="235"/>
      <c r="C55" s="235"/>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row>
    <row r="56" spans="2:40" ht="35.9" customHeight="1" x14ac:dyDescent="0.35"/>
    <row r="57" spans="2:40" x14ac:dyDescent="0.35">
      <c r="B57" s="512" t="s">
        <v>364</v>
      </c>
    </row>
    <row r="58" spans="2:40" x14ac:dyDescent="0.35">
      <c r="B58" s="1363" t="s">
        <v>802</v>
      </c>
      <c r="C58" s="1364"/>
      <c r="D58" s="1284" t="s">
        <v>279</v>
      </c>
      <c r="E58" s="1284"/>
      <c r="F58" s="1284"/>
      <c r="G58" s="1284"/>
      <c r="H58" s="1284"/>
      <c r="I58" s="1284"/>
      <c r="J58" s="1284"/>
      <c r="K58" s="1284"/>
      <c r="L58" s="1284"/>
      <c r="M58" s="1284"/>
      <c r="N58" s="1284"/>
      <c r="O58" s="1284"/>
      <c r="P58" s="1284"/>
      <c r="Q58" s="1284"/>
      <c r="R58" s="1284"/>
      <c r="S58" s="1284"/>
      <c r="T58" s="1284"/>
      <c r="U58" s="1284"/>
      <c r="V58" s="1284"/>
      <c r="W58" s="1284"/>
      <c r="X58" s="1284"/>
      <c r="Y58" s="1284"/>
      <c r="Z58" s="1284"/>
      <c r="AA58" s="1284"/>
      <c r="AB58" s="1284"/>
      <c r="AC58" s="1302" t="s">
        <v>280</v>
      </c>
      <c r="AD58" s="1282"/>
      <c r="AE58" s="1282"/>
      <c r="AF58" s="1282"/>
      <c r="AG58" s="1282"/>
      <c r="AH58" s="1282"/>
      <c r="AI58" s="1282"/>
      <c r="AJ58" s="1282"/>
      <c r="AK58" s="1282"/>
      <c r="AL58" s="1282"/>
      <c r="AM58" s="1282"/>
      <c r="AN58" s="1283"/>
    </row>
    <row r="59" spans="2:40" x14ac:dyDescent="0.35">
      <c r="B59" s="1365"/>
      <c r="C59" s="1366"/>
      <c r="D59" s="282">
        <v>2018</v>
      </c>
      <c r="E59" s="1293">
        <v>2019</v>
      </c>
      <c r="F59" s="1294"/>
      <c r="G59" s="1294"/>
      <c r="H59" s="1295"/>
      <c r="I59" s="1293">
        <v>2020</v>
      </c>
      <c r="J59" s="1294"/>
      <c r="K59" s="1294"/>
      <c r="L59" s="1294"/>
      <c r="M59" s="1293">
        <v>2021</v>
      </c>
      <c r="N59" s="1294"/>
      <c r="O59" s="1294"/>
      <c r="P59" s="1294"/>
      <c r="Q59" s="1293">
        <v>2022</v>
      </c>
      <c r="R59" s="1301"/>
      <c r="S59" s="1301"/>
      <c r="T59" s="1295"/>
      <c r="U59" s="288"/>
      <c r="V59" s="428">
        <v>2023</v>
      </c>
      <c r="W59" s="428"/>
      <c r="X59" s="295"/>
      <c r="Y59" s="437"/>
      <c r="Z59" s="428">
        <v>2024</v>
      </c>
      <c r="AA59" s="288"/>
      <c r="AB59" s="295"/>
      <c r="AC59" s="1280">
        <v>2025</v>
      </c>
      <c r="AD59" s="1286"/>
      <c r="AE59" s="1286"/>
      <c r="AF59" s="1285"/>
      <c r="AG59" s="1280">
        <v>2026</v>
      </c>
      <c r="AH59" s="1286"/>
      <c r="AI59" s="1286"/>
      <c r="AJ59" s="1285"/>
      <c r="AK59" s="1280">
        <v>2027</v>
      </c>
      <c r="AL59" s="1286"/>
      <c r="AM59" s="1286"/>
      <c r="AN59" s="1285"/>
    </row>
    <row r="60" spans="2:40" x14ac:dyDescent="0.35">
      <c r="B60" s="1365"/>
      <c r="C60" s="1366"/>
      <c r="D60" s="214" t="s">
        <v>281</v>
      </c>
      <c r="E60" s="214" t="s">
        <v>282</v>
      </c>
      <c r="F60" s="215" t="s">
        <v>283</v>
      </c>
      <c r="G60" s="215" t="s">
        <v>238</v>
      </c>
      <c r="H60" s="218" t="s">
        <v>281</v>
      </c>
      <c r="I60" s="215" t="s">
        <v>282</v>
      </c>
      <c r="J60" s="215" t="s">
        <v>283</v>
      </c>
      <c r="K60" s="215" t="s">
        <v>238</v>
      </c>
      <c r="L60" s="215" t="s">
        <v>281</v>
      </c>
      <c r="M60" s="214" t="s">
        <v>282</v>
      </c>
      <c r="N60" s="215" t="s">
        <v>283</v>
      </c>
      <c r="O60" s="215" t="s">
        <v>238</v>
      </c>
      <c r="P60" s="215" t="s">
        <v>281</v>
      </c>
      <c r="Q60" s="214" t="s">
        <v>282</v>
      </c>
      <c r="R60" s="215" t="s">
        <v>283</v>
      </c>
      <c r="S60" s="215" t="s">
        <v>238</v>
      </c>
      <c r="T60" s="218" t="s">
        <v>281</v>
      </c>
      <c r="U60" s="215" t="s">
        <v>282</v>
      </c>
      <c r="V60" s="274" t="s">
        <v>283</v>
      </c>
      <c r="W60" s="274" t="s">
        <v>238</v>
      </c>
      <c r="X60" s="272" t="s">
        <v>281</v>
      </c>
      <c r="Y60" s="273" t="s">
        <v>282</v>
      </c>
      <c r="Z60" s="279" t="s">
        <v>283</v>
      </c>
      <c r="AA60" s="274" t="s">
        <v>238</v>
      </c>
      <c r="AB60" s="274" t="s">
        <v>281</v>
      </c>
      <c r="AC60" s="259" t="s">
        <v>282</v>
      </c>
      <c r="AD60" s="257" t="s">
        <v>283</v>
      </c>
      <c r="AE60" s="260" t="s">
        <v>238</v>
      </c>
      <c r="AF60" s="260" t="s">
        <v>281</v>
      </c>
      <c r="AG60" s="259" t="s">
        <v>282</v>
      </c>
      <c r="AH60" s="257" t="s">
        <v>283</v>
      </c>
      <c r="AI60" s="260" t="s">
        <v>238</v>
      </c>
      <c r="AJ60" s="287" t="s">
        <v>281</v>
      </c>
      <c r="AK60" s="259" t="s">
        <v>282</v>
      </c>
      <c r="AL60" s="257" t="s">
        <v>283</v>
      </c>
      <c r="AM60" s="260" t="s">
        <v>238</v>
      </c>
      <c r="AN60" s="287" t="s">
        <v>281</v>
      </c>
    </row>
    <row r="61" spans="2:40" ht="25.75" customHeight="1" x14ac:dyDescent="0.35">
      <c r="B61" s="669" t="s">
        <v>465</v>
      </c>
      <c r="C61" s="543" t="s">
        <v>466</v>
      </c>
      <c r="D61" s="363">
        <f>'Haver Pivoted'!GO31</f>
        <v>2223</v>
      </c>
      <c r="E61" s="364">
        <f>'Haver Pivoted'!GP31</f>
        <v>2303.8000000000002</v>
      </c>
      <c r="F61" s="364">
        <f>'Haver Pivoted'!GQ31</f>
        <v>2321.6999999999998</v>
      </c>
      <c r="G61" s="364">
        <f>'Haver Pivoted'!GR31</f>
        <v>2337.1</v>
      </c>
      <c r="H61" s="364">
        <f>'Haver Pivoted'!GS31</f>
        <v>2349.5</v>
      </c>
      <c r="I61" s="364">
        <f>'Haver Pivoted'!GT31</f>
        <v>2414.4</v>
      </c>
      <c r="J61" s="364">
        <f>'Haver Pivoted'!GU31</f>
        <v>4654.1000000000004</v>
      </c>
      <c r="K61" s="364">
        <f>'Haver Pivoted'!GV31</f>
        <v>3504.7</v>
      </c>
      <c r="L61" s="364">
        <f>'Haver Pivoted'!GW31</f>
        <v>2888.4</v>
      </c>
      <c r="M61" s="364">
        <f>'Haver Pivoted'!GX31</f>
        <v>5138.1000000000004</v>
      </c>
      <c r="N61" s="364">
        <f>'Haver Pivoted'!GY31</f>
        <v>3397.8</v>
      </c>
      <c r="O61" s="364">
        <f>'Haver Pivoted'!GZ31</f>
        <v>3124.9</v>
      </c>
      <c r="P61" s="364">
        <f>'Haver Pivoted'!HA31</f>
        <v>2952.6</v>
      </c>
      <c r="Q61" s="364">
        <f>'Haver Pivoted'!HB31</f>
        <v>2970.9</v>
      </c>
      <c r="R61" s="364">
        <f>'Haver Pivoted'!HC31</f>
        <v>2976.2</v>
      </c>
      <c r="S61" s="365">
        <f>'Haver Pivoted'!HD31</f>
        <v>2970.4</v>
      </c>
      <c r="T61" s="678">
        <f>'Haver Pivoted'!HE31</f>
        <v>3024.4</v>
      </c>
      <c r="U61" s="365">
        <f>'Haver Pivoted'!HF31</f>
        <v>3038.4</v>
      </c>
      <c r="V61" s="365">
        <f>'Haver Pivoted'!HG31</f>
        <v>3049.1</v>
      </c>
      <c r="W61" s="365">
        <f>'Haver Pivoted'!HH31</f>
        <v>3078</v>
      </c>
      <c r="X61" s="365">
        <f>'Haver Pivoted'!HI31</f>
        <v>3095.6</v>
      </c>
      <c r="Y61" s="365">
        <f>'Haver Pivoted'!HJ31</f>
        <v>3201.1</v>
      </c>
      <c r="Z61" s="365">
        <f>'Haver Pivoted'!HK31</f>
        <v>3243.1</v>
      </c>
      <c r="AA61" s="365">
        <f>'Haver Pivoted'!HL31</f>
        <v>3283.8</v>
      </c>
      <c r="AB61" s="365">
        <f>'Haver Pivoted'!HM31</f>
        <v>3330.1</v>
      </c>
      <c r="AC61" s="720"/>
      <c r="AD61" s="720"/>
      <c r="AE61" s="720"/>
      <c r="AF61" s="720"/>
      <c r="AG61" s="209"/>
      <c r="AH61" s="209"/>
      <c r="AI61" s="209"/>
      <c r="AJ61" s="209"/>
      <c r="AK61" s="209"/>
      <c r="AL61" s="209"/>
      <c r="AM61" s="209"/>
      <c r="AN61" s="209"/>
    </row>
    <row r="62" spans="2:40" ht="25.75" customHeight="1" x14ac:dyDescent="0.35">
      <c r="B62" s="474" t="s">
        <v>1843</v>
      </c>
      <c r="C62" s="235"/>
      <c r="D62" s="701">
        <f>D63+D64</f>
        <v>812.1</v>
      </c>
      <c r="E62" s="442">
        <f>E63+E64</f>
        <v>833.1</v>
      </c>
      <c r="F62" s="442">
        <f>F63+F64</f>
        <v>845.8</v>
      </c>
      <c r="G62" s="442">
        <f t="shared" ref="G62:N62" si="47">G63+G64</f>
        <v>854.4</v>
      </c>
      <c r="H62" s="442">
        <f t="shared" si="47"/>
        <v>858.7</v>
      </c>
      <c r="I62" s="442">
        <f t="shared" si="47"/>
        <v>878.91200000000003</v>
      </c>
      <c r="J62" s="442">
        <f t="shared" si="47"/>
        <v>3142.9549999999999</v>
      </c>
      <c r="K62" s="442">
        <f t="shared" si="47"/>
        <v>1863.174</v>
      </c>
      <c r="L62" s="442">
        <f t="shared" si="47"/>
        <v>1307.4940000000001</v>
      </c>
      <c r="M62" s="442">
        <f t="shared" si="47"/>
        <v>3530.9749999999999</v>
      </c>
      <c r="N62" s="442">
        <f t="shared" si="47"/>
        <v>1812.8558400000002</v>
      </c>
      <c r="O62" s="442">
        <f>O63+O64</f>
        <v>1537.1944933333332</v>
      </c>
      <c r="P62" s="442">
        <f t="shared" ref="P62" si="48">P63+P64</f>
        <v>1378.037333333333</v>
      </c>
      <c r="Q62" s="442">
        <f t="shared" ref="Q62" si="49">Q63+Q64</f>
        <v>1212.615</v>
      </c>
      <c r="R62" s="442">
        <f t="shared" ref="R62" si="50">R63+R64</f>
        <v>1208.7130000000002</v>
      </c>
      <c r="S62" s="673">
        <f>S63+S64</f>
        <v>1205.403</v>
      </c>
      <c r="T62" s="673">
        <f t="shared" ref="T62" si="51">T63+T64</f>
        <v>1228.624</v>
      </c>
      <c r="U62" s="673">
        <f t="shared" ref="U62" si="52">U63+U64</f>
        <v>1164.202</v>
      </c>
      <c r="V62" s="673">
        <f t="shared" ref="V62:AA62" si="53">V63+V64</f>
        <v>1154.0450000000001</v>
      </c>
      <c r="W62" s="673">
        <f t="shared" si="53"/>
        <v>1171.75</v>
      </c>
      <c r="X62" s="673">
        <f t="shared" si="53"/>
        <v>1164.5179999999998</v>
      </c>
      <c r="Y62" s="673">
        <f t="shared" si="53"/>
        <v>1176.5360000000001</v>
      </c>
      <c r="Z62" s="673">
        <f t="shared" si="53"/>
        <v>1198.548</v>
      </c>
      <c r="AA62" s="673">
        <f t="shared" si="53"/>
        <v>1229.1180000000002</v>
      </c>
      <c r="AB62" s="673">
        <f t="shared" ref="AB62" si="54">AB63+AB64</f>
        <v>1253.8979999999999</v>
      </c>
      <c r="AC62" s="657"/>
      <c r="AD62" s="657"/>
      <c r="AE62" s="657"/>
      <c r="AF62" s="657"/>
      <c r="AG62" s="209"/>
      <c r="AH62" s="209"/>
      <c r="AI62" s="209"/>
      <c r="AJ62" s="209"/>
      <c r="AK62" s="209"/>
      <c r="AL62" s="209"/>
      <c r="AM62" s="209"/>
      <c r="AN62" s="209"/>
    </row>
    <row r="63" spans="2:40" ht="25.75" customHeight="1" x14ac:dyDescent="0.35">
      <c r="B63" s="418" t="s">
        <v>1841</v>
      </c>
      <c r="C63" s="235"/>
      <c r="D63" s="701">
        <f t="shared" ref="D63:Y63" si="55">D14+D17+D27</f>
        <v>812.1</v>
      </c>
      <c r="E63" s="701">
        <f t="shared" si="55"/>
        <v>833.1</v>
      </c>
      <c r="F63" s="442">
        <f t="shared" si="55"/>
        <v>845.8</v>
      </c>
      <c r="G63" s="442">
        <f t="shared" si="55"/>
        <v>854.4</v>
      </c>
      <c r="H63" s="442">
        <f t="shared" si="55"/>
        <v>858.7</v>
      </c>
      <c r="I63" s="442">
        <f t="shared" si="55"/>
        <v>872</v>
      </c>
      <c r="J63" s="442">
        <f t="shared" si="55"/>
        <v>1795.8</v>
      </c>
      <c r="K63" s="442">
        <f t="shared" si="55"/>
        <v>1656.8</v>
      </c>
      <c r="L63" s="442">
        <f t="shared" si="55"/>
        <v>1191.7</v>
      </c>
      <c r="M63" s="442">
        <f t="shared" si="55"/>
        <v>1473.1</v>
      </c>
      <c r="N63" s="442">
        <f t="shared" si="55"/>
        <v>1346.4</v>
      </c>
      <c r="O63" s="442">
        <f t="shared" si="55"/>
        <v>1318.833333333333</v>
      </c>
      <c r="P63" s="442">
        <f t="shared" si="55"/>
        <v>1157.333333333333</v>
      </c>
      <c r="Q63" s="442">
        <f t="shared" si="55"/>
        <v>1036.4000000000001</v>
      </c>
      <c r="R63" s="442">
        <f t="shared" si="55"/>
        <v>1042.6000000000001</v>
      </c>
      <c r="S63" s="673">
        <f t="shared" si="55"/>
        <v>1054.8</v>
      </c>
      <c r="T63" s="673">
        <f t="shared" si="55"/>
        <v>1078.7</v>
      </c>
      <c r="U63" s="673">
        <f t="shared" si="55"/>
        <v>1045.2</v>
      </c>
      <c r="V63" s="673">
        <f t="shared" si="55"/>
        <v>1066.76</v>
      </c>
      <c r="W63" s="673">
        <f t="shared" si="55"/>
        <v>1084.8599999999999</v>
      </c>
      <c r="X63" s="673">
        <f t="shared" si="55"/>
        <v>1104.5999999999999</v>
      </c>
      <c r="Y63" s="673">
        <f t="shared" si="55"/>
        <v>1118.1000000000001</v>
      </c>
      <c r="Z63" s="673">
        <f t="shared" ref="Z63" si="56">Z14+Z17+Z27</f>
        <v>1136</v>
      </c>
      <c r="AA63" s="673">
        <f t="shared" ref="AA63:AB63" si="57">AA14+AA17+AA27</f>
        <v>1159.9000000000001</v>
      </c>
      <c r="AB63" s="673">
        <f t="shared" si="57"/>
        <v>1188.5999999999999</v>
      </c>
      <c r="AC63" s="657"/>
      <c r="AD63" s="657"/>
      <c r="AE63" s="657"/>
      <c r="AF63" s="657"/>
      <c r="AG63" s="657"/>
      <c r="AH63" s="657"/>
      <c r="AI63" s="657"/>
      <c r="AJ63" s="657"/>
      <c r="AK63" s="657"/>
      <c r="AL63" s="657"/>
      <c r="AM63" s="657"/>
      <c r="AN63" s="657"/>
    </row>
    <row r="64" spans="2:40" ht="36" customHeight="1" x14ac:dyDescent="0.35">
      <c r="B64" s="418" t="s">
        <v>1842</v>
      </c>
      <c r="C64" s="235"/>
      <c r="D64" s="442">
        <f t="shared" ref="D64:AF64" si="58">D18+D21+D24+D25+D26+D28+D32</f>
        <v>0</v>
      </c>
      <c r="E64" s="442">
        <f t="shared" si="58"/>
        <v>0</v>
      </c>
      <c r="F64" s="442">
        <f t="shared" si="58"/>
        <v>0</v>
      </c>
      <c r="G64" s="442">
        <f t="shared" si="58"/>
        <v>0</v>
      </c>
      <c r="H64" s="442">
        <f t="shared" si="58"/>
        <v>0</v>
      </c>
      <c r="I64" s="442">
        <f t="shared" si="58"/>
        <v>6.9120000000000061</v>
      </c>
      <c r="J64" s="442">
        <f t="shared" si="58"/>
        <v>1347.155</v>
      </c>
      <c r="K64" s="442">
        <f t="shared" si="58"/>
        <v>206.37400000000002</v>
      </c>
      <c r="L64" s="442">
        <f t="shared" si="58"/>
        <v>115.79400000000001</v>
      </c>
      <c r="M64" s="442">
        <f t="shared" si="58"/>
        <v>2057.875</v>
      </c>
      <c r="N64" s="442">
        <f t="shared" si="58"/>
        <v>466.45584000000008</v>
      </c>
      <c r="O64" s="442">
        <f t="shared" si="58"/>
        <v>218.3611600000001</v>
      </c>
      <c r="P64" s="442">
        <f t="shared" si="58"/>
        <v>220.70400000000004</v>
      </c>
      <c r="Q64" s="442">
        <f t="shared" si="58"/>
        <v>176.215</v>
      </c>
      <c r="R64" s="442">
        <f t="shared" si="58"/>
        <v>166.113</v>
      </c>
      <c r="S64" s="442">
        <f t="shared" si="58"/>
        <v>150.60300000000001</v>
      </c>
      <c r="T64" s="442">
        <f t="shared" si="58"/>
        <v>149.92400000000004</v>
      </c>
      <c r="U64" s="442">
        <f t="shared" si="58"/>
        <v>119.002</v>
      </c>
      <c r="V64" s="442">
        <f t="shared" si="58"/>
        <v>87.285000000000011</v>
      </c>
      <c r="W64" s="442">
        <f t="shared" si="58"/>
        <v>86.890000000000015</v>
      </c>
      <c r="X64" s="657">
        <f t="shared" si="58"/>
        <v>59.917999999999999</v>
      </c>
      <c r="Y64" s="657">
        <f t="shared" si="58"/>
        <v>58.436</v>
      </c>
      <c r="Z64" s="657">
        <f t="shared" si="58"/>
        <v>62.548000000000009</v>
      </c>
      <c r="AA64" s="657">
        <f t="shared" si="58"/>
        <v>69.218000000000018</v>
      </c>
      <c r="AB64" s="657">
        <f>AB18+AB21+AB24+AB25+AB26+AB28+AB32</f>
        <v>65.298000000000002</v>
      </c>
      <c r="AC64" s="657">
        <f t="shared" si="58"/>
        <v>65.298000000000002</v>
      </c>
      <c r="AD64" s="657">
        <f t="shared" si="58"/>
        <v>65.298000000000002</v>
      </c>
      <c r="AE64" s="657">
        <f t="shared" si="58"/>
        <v>65.298000000000002</v>
      </c>
      <c r="AF64" s="657">
        <f t="shared" si="58"/>
        <v>47.218000000000004</v>
      </c>
      <c r="AG64" s="657">
        <f>AG18+AG21+AG24+AG25+AG26+AG28+AG32</f>
        <v>45.057000000000002</v>
      </c>
      <c r="AH64" s="657">
        <f t="shared" ref="AH64:AI64" si="59">AH18+AH21+AH24+AH25+AH26+AH28+AH32</f>
        <v>44.329000000000001</v>
      </c>
      <c r="AI64" s="657">
        <f t="shared" si="59"/>
        <v>44.329000000000001</v>
      </c>
      <c r="AJ64" s="657">
        <f>AJ18+AJ21+AJ24+AJ25+AJ26+AJ28+AJ32</f>
        <v>44.329000000000001</v>
      </c>
      <c r="AK64" s="657">
        <f t="shared" ref="AK64:AN64" si="60">AK18+AK21+AK24+AK25+AK26+AK28+AK32</f>
        <v>44.329000000000001</v>
      </c>
      <c r="AL64" s="657">
        <f t="shared" si="60"/>
        <v>44.329000000000001</v>
      </c>
      <c r="AM64" s="657">
        <f t="shared" si="60"/>
        <v>44.329000000000001</v>
      </c>
      <c r="AN64" s="657">
        <f t="shared" si="60"/>
        <v>44.329000000000001</v>
      </c>
    </row>
    <row r="65" spans="2:40" ht="25.75" customHeight="1" x14ac:dyDescent="0.35">
      <c r="B65" s="474" t="s">
        <v>799</v>
      </c>
      <c r="C65" s="235"/>
      <c r="D65" s="673">
        <f t="shared" ref="D65:U65" si="61">D61-D62</f>
        <v>1410.9</v>
      </c>
      <c r="E65" s="673">
        <f t="shared" si="61"/>
        <v>1470.7000000000003</v>
      </c>
      <c r="F65" s="673">
        <f t="shared" si="61"/>
        <v>1475.8999999999999</v>
      </c>
      <c r="G65" s="673">
        <f t="shared" si="61"/>
        <v>1482.6999999999998</v>
      </c>
      <c r="H65" s="673">
        <f t="shared" si="61"/>
        <v>1490.8</v>
      </c>
      <c r="I65" s="673">
        <f t="shared" si="61"/>
        <v>1535.4880000000001</v>
      </c>
      <c r="J65" s="673">
        <f t="shared" si="61"/>
        <v>1511.1450000000004</v>
      </c>
      <c r="K65" s="673">
        <f t="shared" si="61"/>
        <v>1641.5259999999998</v>
      </c>
      <c r="L65" s="673">
        <f t="shared" si="61"/>
        <v>1580.9059999999999</v>
      </c>
      <c r="M65" s="673">
        <f t="shared" si="61"/>
        <v>1607.1250000000005</v>
      </c>
      <c r="N65" s="673">
        <f t="shared" si="61"/>
        <v>1584.94416</v>
      </c>
      <c r="O65" s="673">
        <f t="shared" si="61"/>
        <v>1587.7055066666669</v>
      </c>
      <c r="P65" s="673">
        <f t="shared" si="61"/>
        <v>1574.5626666666669</v>
      </c>
      <c r="Q65" s="673">
        <f t="shared" si="61"/>
        <v>1758.2850000000001</v>
      </c>
      <c r="R65" s="673">
        <f t="shared" si="61"/>
        <v>1767.4869999999996</v>
      </c>
      <c r="S65" s="673">
        <f t="shared" si="61"/>
        <v>1764.9970000000001</v>
      </c>
      <c r="T65" s="673">
        <f t="shared" si="61"/>
        <v>1795.7760000000001</v>
      </c>
      <c r="U65" s="673">
        <f t="shared" si="61"/>
        <v>1874.1980000000001</v>
      </c>
      <c r="V65" s="673">
        <f t="shared" ref="V65:AB65" si="62">V61-V62</f>
        <v>1895.0549999999998</v>
      </c>
      <c r="W65" s="673">
        <f t="shared" si="62"/>
        <v>1906.25</v>
      </c>
      <c r="X65" s="673">
        <f t="shared" si="62"/>
        <v>1931.0820000000001</v>
      </c>
      <c r="Y65" s="673">
        <f t="shared" si="62"/>
        <v>2024.5639999999999</v>
      </c>
      <c r="Z65" s="673">
        <f t="shared" si="62"/>
        <v>2044.5519999999999</v>
      </c>
      <c r="AA65" s="673">
        <f t="shared" si="62"/>
        <v>2054.6819999999998</v>
      </c>
      <c r="AB65" s="673">
        <f t="shared" si="62"/>
        <v>2076.2020000000002</v>
      </c>
      <c r="AC65" s="657"/>
      <c r="AD65" s="657"/>
      <c r="AE65" s="657"/>
      <c r="AF65" s="657"/>
      <c r="AG65" s="209"/>
      <c r="AH65" s="209"/>
      <c r="AI65" s="209"/>
      <c r="AJ65" s="209"/>
      <c r="AK65" s="209"/>
      <c r="AL65" s="209"/>
      <c r="AM65" s="209"/>
      <c r="AN65" s="209"/>
    </row>
    <row r="66" spans="2:40" ht="20.5" customHeight="1" x14ac:dyDescent="0.35">
      <c r="B66" s="684" t="s">
        <v>800</v>
      </c>
      <c r="C66" s="685"/>
      <c r="D66" s="691">
        <f t="shared" ref="D66:I66" si="63">D12-D14-D17-D27</f>
        <v>1410.9</v>
      </c>
      <c r="E66" s="661">
        <f t="shared" si="63"/>
        <v>1470.7000000000003</v>
      </c>
      <c r="F66" s="661">
        <f t="shared" si="63"/>
        <v>1475.8999999999996</v>
      </c>
      <c r="G66" s="661">
        <f t="shared" si="63"/>
        <v>1482.6999999999998</v>
      </c>
      <c r="H66" s="661">
        <f t="shared" si="63"/>
        <v>1490.8000000000002</v>
      </c>
      <c r="I66" s="661">
        <f t="shared" si="63"/>
        <v>1542.4</v>
      </c>
      <c r="J66" s="692">
        <f>I66+($H$66-$E$66)/3</f>
        <v>1549.1000000000001</v>
      </c>
      <c r="K66" s="692">
        <f>J66+($H$66-$E$66)/3</f>
        <v>1555.8000000000002</v>
      </c>
      <c r="L66" s="692">
        <f>K66+($H$66-$E$66)/3</f>
        <v>1562.5000000000002</v>
      </c>
      <c r="M66" s="693">
        <f>L66+($H$66-$E$66)/3 +(M70-L70)</f>
        <v>1586.8430000000003</v>
      </c>
      <c r="N66" s="692">
        <f>M66+($H$66-$E$66)/3</f>
        <v>1593.5430000000003</v>
      </c>
      <c r="O66" s="692">
        <f>N66+($H$66-$E$66)/3</f>
        <v>1600.2430000000004</v>
      </c>
      <c r="P66" s="692">
        <f>O66+($H$66-$E$66)/3</f>
        <v>1606.9430000000004</v>
      </c>
      <c r="Q66" s="693">
        <f>P66+($H$66-$E$66)/3 + 0.06*Q70</f>
        <v>1685.5501200000006</v>
      </c>
      <c r="R66" s="692">
        <f>Q66+($H$66-$E$66)/3</f>
        <v>1692.2501200000006</v>
      </c>
      <c r="S66" s="692">
        <f>R66+($H$66-$E$66)/3</f>
        <v>1698.9501200000007</v>
      </c>
      <c r="T66" s="692">
        <f>S66+($H$66-$E$66)/3</f>
        <v>1705.6501200000007</v>
      </c>
      <c r="U66" s="692">
        <f t="shared" ref="U66:AN66" si="64">T66+U67</f>
        <v>1818.9789730000007</v>
      </c>
      <c r="V66" s="692">
        <f t="shared" si="64"/>
        <v>1825.6789730000007</v>
      </c>
      <c r="W66" s="661">
        <f t="shared" si="64"/>
        <v>1832.3789730000008</v>
      </c>
      <c r="X66" s="686">
        <f t="shared" si="64"/>
        <v>1839.0789730000008</v>
      </c>
      <c r="Y66" s="686">
        <f t="shared" si="64"/>
        <v>1891.4284770000008</v>
      </c>
      <c r="Z66" s="686">
        <f t="shared" si="64"/>
        <v>1898.1284770000009</v>
      </c>
      <c r="AA66" s="686">
        <f t="shared" si="64"/>
        <v>1904.8284770000009</v>
      </c>
      <c r="AB66" s="686">
        <f t="shared" si="64"/>
        <v>1911.528477000001</v>
      </c>
      <c r="AC66" s="686">
        <f t="shared" si="64"/>
        <v>1957.0321238750009</v>
      </c>
      <c r="AD66" s="686">
        <f t="shared" si="64"/>
        <v>1963.732123875001</v>
      </c>
      <c r="AE66" s="686">
        <f t="shared" si="64"/>
        <v>1970.432123875001</v>
      </c>
      <c r="AF66" s="686">
        <f t="shared" si="64"/>
        <v>1977.1321238750011</v>
      </c>
      <c r="AG66" s="686">
        <f t="shared" si="64"/>
        <v>2024.239334167876</v>
      </c>
      <c r="AH66" s="686">
        <f t="shared" si="64"/>
        <v>2030.939334167876</v>
      </c>
      <c r="AI66" s="686">
        <f t="shared" si="64"/>
        <v>2037.6393341678761</v>
      </c>
      <c r="AJ66" s="686">
        <f t="shared" si="64"/>
        <v>2044.3393341678761</v>
      </c>
      <c r="AK66" s="686">
        <f t="shared" si="64"/>
        <v>2094.2295444607512</v>
      </c>
      <c r="AL66" s="686">
        <f t="shared" si="64"/>
        <v>2100.929544460751</v>
      </c>
      <c r="AM66" s="686">
        <f t="shared" si="64"/>
        <v>2107.6295444607508</v>
      </c>
      <c r="AN66" s="686">
        <f t="shared" si="64"/>
        <v>2114.3295444607506</v>
      </c>
    </row>
    <row r="67" spans="2:40" ht="20.5" customHeight="1" x14ac:dyDescent="0.35">
      <c r="B67" s="687" t="s">
        <v>1802</v>
      </c>
      <c r="C67" s="235"/>
      <c r="D67" s="701"/>
      <c r="E67" s="442"/>
      <c r="F67" s="442"/>
      <c r="G67" s="442"/>
      <c r="H67" s="442"/>
      <c r="I67" s="442"/>
      <c r="J67" s="674"/>
      <c r="K67" s="674"/>
      <c r="L67" s="674"/>
      <c r="M67" s="694"/>
      <c r="N67" s="674"/>
      <c r="O67" s="674"/>
      <c r="P67" s="674"/>
      <c r="Q67" s="694"/>
      <c r="R67" s="674"/>
      <c r="S67" s="674"/>
      <c r="T67" s="674"/>
      <c r="U67" s="674">
        <f>U68+U69</f>
        <v>113.32885299999995</v>
      </c>
      <c r="V67" s="674">
        <f>V68+V69</f>
        <v>6.69999999999997</v>
      </c>
      <c r="W67" s="674">
        <f>W68+W69</f>
        <v>6.69999999999997</v>
      </c>
      <c r="X67" s="657">
        <f t="shared" ref="X67:AN67" si="65">X68+X73*X70</f>
        <v>6.69999999999997</v>
      </c>
      <c r="Y67" s="657">
        <f t="shared" si="65"/>
        <v>52.349503999999968</v>
      </c>
      <c r="Z67" s="657">
        <f t="shared" si="65"/>
        <v>6.69999999999997</v>
      </c>
      <c r="AA67" s="657">
        <f t="shared" si="65"/>
        <v>6.69999999999997</v>
      </c>
      <c r="AB67" s="657">
        <f t="shared" si="65"/>
        <v>6.69999999999997</v>
      </c>
      <c r="AC67" s="657">
        <f t="shared" si="65"/>
        <v>45.503646874999966</v>
      </c>
      <c r="AD67" s="657">
        <f t="shared" si="65"/>
        <v>6.69999999999997</v>
      </c>
      <c r="AE67" s="657">
        <f t="shared" si="65"/>
        <v>6.69999999999997</v>
      </c>
      <c r="AF67" s="657">
        <f t="shared" si="65"/>
        <v>6.69999999999997</v>
      </c>
      <c r="AG67" s="657">
        <f t="shared" si="65"/>
        <v>47.107210292874967</v>
      </c>
      <c r="AH67" s="657">
        <f t="shared" si="65"/>
        <v>6.69999999999997</v>
      </c>
      <c r="AI67" s="657">
        <f t="shared" si="65"/>
        <v>6.69999999999997</v>
      </c>
      <c r="AJ67" s="657">
        <f t="shared" si="65"/>
        <v>6.69999999999997</v>
      </c>
      <c r="AK67" s="657">
        <f t="shared" si="65"/>
        <v>49.890210292874968</v>
      </c>
      <c r="AL67" s="657">
        <f t="shared" si="65"/>
        <v>6.69999999999997</v>
      </c>
      <c r="AM67" s="657">
        <f t="shared" si="65"/>
        <v>6.69999999999997</v>
      </c>
      <c r="AN67" s="657">
        <f t="shared" si="65"/>
        <v>6.69999999999997</v>
      </c>
    </row>
    <row r="68" spans="2:40" ht="28.4" customHeight="1" x14ac:dyDescent="0.35">
      <c r="B68" s="688" t="s">
        <v>1799</v>
      </c>
      <c r="C68" s="235"/>
      <c r="D68" s="701"/>
      <c r="E68" s="442"/>
      <c r="F68" s="442"/>
      <c r="G68" s="442"/>
      <c r="H68" s="442"/>
      <c r="I68" s="442"/>
      <c r="J68" s="674"/>
      <c r="K68" s="674"/>
      <c r="L68" s="674"/>
      <c r="M68" s="694"/>
      <c r="N68" s="674"/>
      <c r="O68" s="674"/>
      <c r="P68" s="674"/>
      <c r="Q68" s="694"/>
      <c r="R68" s="674"/>
      <c r="S68" s="674"/>
      <c r="T68" s="674"/>
      <c r="U68" s="674">
        <f>($H$66-$E$66)/3</f>
        <v>6.69999999999997</v>
      </c>
      <c r="V68" s="674">
        <f>($H$66-$E$66)/3</f>
        <v>6.69999999999997</v>
      </c>
      <c r="W68" s="674">
        <f>($H$66-$E$66)/3</f>
        <v>6.69999999999997</v>
      </c>
      <c r="X68" s="657">
        <f t="shared" ref="X68:AC68" si="66">W68</f>
        <v>6.69999999999997</v>
      </c>
      <c r="Y68" s="657">
        <f t="shared" si="66"/>
        <v>6.69999999999997</v>
      </c>
      <c r="Z68" s="657">
        <f t="shared" si="66"/>
        <v>6.69999999999997</v>
      </c>
      <c r="AA68" s="657">
        <f t="shared" si="66"/>
        <v>6.69999999999997</v>
      </c>
      <c r="AB68" s="657">
        <f t="shared" si="66"/>
        <v>6.69999999999997</v>
      </c>
      <c r="AC68" s="657">
        <f t="shared" si="66"/>
        <v>6.69999999999997</v>
      </c>
      <c r="AD68" s="657">
        <f t="shared" ref="AD68" si="67">AC68</f>
        <v>6.69999999999997</v>
      </c>
      <c r="AE68" s="657">
        <f t="shared" ref="AE68" si="68">AD68</f>
        <v>6.69999999999997</v>
      </c>
      <c r="AF68" s="657">
        <f>AE68</f>
        <v>6.69999999999997</v>
      </c>
      <c r="AG68" s="657">
        <f>AF68</f>
        <v>6.69999999999997</v>
      </c>
      <c r="AH68" s="657">
        <f>AG68</f>
        <v>6.69999999999997</v>
      </c>
      <c r="AI68" s="657">
        <f t="shared" ref="AI68:AJ68" si="69">AH68</f>
        <v>6.69999999999997</v>
      </c>
      <c r="AJ68" s="657">
        <f t="shared" si="69"/>
        <v>6.69999999999997</v>
      </c>
      <c r="AK68" s="657">
        <f t="shared" ref="AK68" si="70">AJ68</f>
        <v>6.69999999999997</v>
      </c>
      <c r="AL68" s="657">
        <f t="shared" ref="AL68" si="71">AK68</f>
        <v>6.69999999999997</v>
      </c>
      <c r="AM68" s="657">
        <f t="shared" ref="AM68" si="72">AL68</f>
        <v>6.69999999999997</v>
      </c>
      <c r="AN68" s="657">
        <f t="shared" ref="AN68" si="73">AM68</f>
        <v>6.69999999999997</v>
      </c>
    </row>
    <row r="69" spans="2:40" ht="30.65" customHeight="1" x14ac:dyDescent="0.35">
      <c r="B69" s="689" t="s">
        <v>1800</v>
      </c>
      <c r="C69" s="690"/>
      <c r="D69" s="695"/>
      <c r="E69" s="662"/>
      <c r="F69" s="662"/>
      <c r="G69" s="662"/>
      <c r="H69" s="662"/>
      <c r="I69" s="662"/>
      <c r="J69" s="696"/>
      <c r="K69" s="696"/>
      <c r="L69" s="696"/>
      <c r="M69" s="697"/>
      <c r="N69" s="696"/>
      <c r="O69" s="696"/>
      <c r="P69" s="696"/>
      <c r="Q69" s="697"/>
      <c r="R69" s="696"/>
      <c r="S69" s="696"/>
      <c r="T69" s="696"/>
      <c r="U69" s="696">
        <f t="shared" ref="U69:AN69" si="74">U73*T70</f>
        <v>106.62885299999998</v>
      </c>
      <c r="V69" s="696">
        <f t="shared" si="74"/>
        <v>0</v>
      </c>
      <c r="W69" s="662">
        <f t="shared" si="74"/>
        <v>0</v>
      </c>
      <c r="X69" s="698">
        <f t="shared" si="74"/>
        <v>0</v>
      </c>
      <c r="Y69" s="698">
        <f t="shared" si="74"/>
        <v>43.967424000000001</v>
      </c>
      <c r="Z69" s="698">
        <f t="shared" si="74"/>
        <v>0</v>
      </c>
      <c r="AA69" s="698">
        <f t="shared" si="74"/>
        <v>0</v>
      </c>
      <c r="AB69" s="698">
        <f t="shared" si="74"/>
        <v>0</v>
      </c>
      <c r="AC69" s="698">
        <f t="shared" si="74"/>
        <v>36.710875000000001</v>
      </c>
      <c r="AD69" s="698">
        <f t="shared" si="74"/>
        <v>0</v>
      </c>
      <c r="AE69" s="698">
        <f t="shared" si="74"/>
        <v>0</v>
      </c>
      <c r="AF69" s="698">
        <f t="shared" si="74"/>
        <v>0</v>
      </c>
      <c r="AG69" s="698">
        <f t="shared" si="74"/>
        <v>38.689355124999999</v>
      </c>
      <c r="AH69" s="698">
        <f t="shared" si="74"/>
        <v>0</v>
      </c>
      <c r="AI69" s="698">
        <f t="shared" si="74"/>
        <v>0</v>
      </c>
      <c r="AJ69" s="698">
        <f t="shared" si="74"/>
        <v>0</v>
      </c>
      <c r="AK69" s="698">
        <f t="shared" si="74"/>
        <v>42.845210292874995</v>
      </c>
      <c r="AL69" s="698">
        <f t="shared" si="74"/>
        <v>0</v>
      </c>
      <c r="AM69" s="698">
        <f t="shared" si="74"/>
        <v>0</v>
      </c>
      <c r="AN69" s="698">
        <f t="shared" si="74"/>
        <v>0</v>
      </c>
    </row>
    <row r="70" spans="2:40" ht="17.5" customHeight="1" x14ac:dyDescent="0.35">
      <c r="B70" s="548" t="s">
        <v>473</v>
      </c>
      <c r="C70" s="235" t="s">
        <v>474</v>
      </c>
      <c r="D70" s="701">
        <f>'Haver Pivoted'!GO88/1000</f>
        <v>983.86099999999999</v>
      </c>
      <c r="E70" s="442">
        <f>'Haver Pivoted'!GP88/1000</f>
        <v>1019.19</v>
      </c>
      <c r="F70" s="442">
        <f>'Haver Pivoted'!GQ88/1000</f>
        <v>1026.704</v>
      </c>
      <c r="G70" s="442">
        <f>'Haver Pivoted'!GR88/1000</f>
        <v>1034.4169999999999</v>
      </c>
      <c r="H70" s="442">
        <f>'Haver Pivoted'!GS88/1000</f>
        <v>1042.6610000000001</v>
      </c>
      <c r="I70" s="442">
        <f>'Haver Pivoted'!GT88/1000</f>
        <v>1068.201</v>
      </c>
      <c r="J70" s="442">
        <f>'Haver Pivoted'!GU88/1000</f>
        <v>1075.075</v>
      </c>
      <c r="K70" s="442">
        <f>'Haver Pivoted'!GV88/1000</f>
        <v>1080.441</v>
      </c>
      <c r="L70" s="442">
        <f>'Haver Pivoted'!GW88/1000</f>
        <v>1087.9949999999999</v>
      </c>
      <c r="M70" s="442">
        <f>'Haver Pivoted'!GX88/1000</f>
        <v>1105.6379999999999</v>
      </c>
      <c r="N70" s="442">
        <f>'Haver Pivoted'!GY88/1000</f>
        <v>1109.6400000000001</v>
      </c>
      <c r="O70" s="442">
        <f>'Haver Pivoted'!GZ88/1000</f>
        <v>1116.9480000000001</v>
      </c>
      <c r="P70" s="442">
        <f>'Haver Pivoted'!HA88/1000</f>
        <v>1126.174</v>
      </c>
      <c r="Q70" s="442">
        <f>'Haver Pivoted'!HB88/1000</f>
        <v>1198.452</v>
      </c>
      <c r="R70" s="442">
        <f>'Haver Pivoted'!HC88/1000</f>
        <v>1207.163</v>
      </c>
      <c r="S70" s="673">
        <f>'Haver Pivoted'!HD88/1000</f>
        <v>1214.7809999999999</v>
      </c>
      <c r="T70" s="673">
        <f>'Haver Pivoted'!HE88/1000</f>
        <v>1225.6189999999999</v>
      </c>
      <c r="U70" s="673">
        <f>'Haver Pivoted'!HF88/1000</f>
        <v>1339.904</v>
      </c>
      <c r="V70" s="673">
        <f>'Haver Pivoted'!HG88/1000</f>
        <v>1353.2829999999999</v>
      </c>
      <c r="W70" s="673">
        <f>'Haver Pivoted'!HH88/1000</f>
        <v>1360.723</v>
      </c>
      <c r="X70" s="673">
        <f>'Haver Pivoted'!HI88/1000</f>
        <v>1373.982</v>
      </c>
      <c r="Y70" s="673">
        <f>'Haver Pivoted'!HJ88/1000</f>
        <v>1426.547</v>
      </c>
      <c r="Z70" s="673">
        <f>'Haver Pivoted'!HK88/1000</f>
        <v>1439.73</v>
      </c>
      <c r="AA70" s="673">
        <f>'Haver Pivoted'!HL88/1000</f>
        <v>1453.1369999999999</v>
      </c>
      <c r="AB70" s="673">
        <f>'Haver Pivoted'!HM88/1000</f>
        <v>1468.4349999999999</v>
      </c>
      <c r="AC70" s="657">
        <f t="shared" ref="AC70:AN70" si="75">AB70+AC71</f>
        <v>1552.1458749999999</v>
      </c>
      <c r="AD70" s="657">
        <f t="shared" si="75"/>
        <v>1599.1458749999999</v>
      </c>
      <c r="AE70" s="657">
        <f t="shared" si="75"/>
        <v>1646.1458749999999</v>
      </c>
      <c r="AF70" s="657">
        <f t="shared" si="75"/>
        <v>1682.1458749999999</v>
      </c>
      <c r="AG70" s="657">
        <f t="shared" si="75"/>
        <v>1756.835230125</v>
      </c>
      <c r="AH70" s="657">
        <f t="shared" si="75"/>
        <v>1792.835230125</v>
      </c>
      <c r="AI70" s="657">
        <f t="shared" si="75"/>
        <v>1828.835230125</v>
      </c>
      <c r="AJ70" s="657">
        <f t="shared" si="75"/>
        <v>1862.835230125</v>
      </c>
      <c r="AK70" s="657">
        <f t="shared" si="75"/>
        <v>1877.835230125</v>
      </c>
      <c r="AL70" s="657">
        <f t="shared" si="75"/>
        <v>1892.835230125</v>
      </c>
      <c r="AM70" s="657">
        <f t="shared" si="75"/>
        <v>1907.835230125</v>
      </c>
      <c r="AN70" s="657">
        <f t="shared" si="75"/>
        <v>1922.835230125</v>
      </c>
    </row>
    <row r="71" spans="2:40" ht="17.5" customHeight="1" x14ac:dyDescent="0.35">
      <c r="B71" s="418" t="s">
        <v>1801</v>
      </c>
      <c r="C71" s="235"/>
      <c r="D71" s="701"/>
      <c r="E71" s="442"/>
      <c r="F71" s="442"/>
      <c r="G71" s="442"/>
      <c r="H71" s="442"/>
      <c r="I71" s="442"/>
      <c r="J71" s="442"/>
      <c r="K71" s="442"/>
      <c r="L71" s="442"/>
      <c r="M71" s="442"/>
      <c r="N71" s="442"/>
      <c r="O71" s="442"/>
      <c r="P71" s="442"/>
      <c r="Q71" s="442"/>
      <c r="R71" s="442"/>
      <c r="S71" s="673"/>
      <c r="T71" s="673"/>
      <c r="U71" s="673">
        <f t="shared" ref="U71:AJ71" si="76">U69+U72</f>
        <v>114.62885299999998</v>
      </c>
      <c r="V71" s="442">
        <f t="shared" si="76"/>
        <v>8</v>
      </c>
      <c r="W71" s="442">
        <f t="shared" si="76"/>
        <v>11</v>
      </c>
      <c r="X71" s="657">
        <f t="shared" si="76"/>
        <v>14</v>
      </c>
      <c r="Y71" s="657">
        <f t="shared" si="76"/>
        <v>52.967424000000001</v>
      </c>
      <c r="Z71" s="657">
        <f t="shared" si="76"/>
        <v>13</v>
      </c>
      <c r="AA71" s="657">
        <f t="shared" si="76"/>
        <v>11</v>
      </c>
      <c r="AB71" s="657">
        <f t="shared" si="76"/>
        <v>14</v>
      </c>
      <c r="AC71" s="657">
        <f>AC69+AC72</f>
        <v>83.710875000000001</v>
      </c>
      <c r="AD71" s="657">
        <f t="shared" si="76"/>
        <v>47</v>
      </c>
      <c r="AE71" s="657">
        <f t="shared" si="76"/>
        <v>47</v>
      </c>
      <c r="AF71" s="657">
        <f t="shared" si="76"/>
        <v>36</v>
      </c>
      <c r="AG71" s="657">
        <f t="shared" si="76"/>
        <v>74.689355124999992</v>
      </c>
      <c r="AH71" s="657">
        <f t="shared" si="76"/>
        <v>36</v>
      </c>
      <c r="AI71" s="657">
        <f t="shared" si="76"/>
        <v>36</v>
      </c>
      <c r="AJ71" s="657">
        <f t="shared" si="76"/>
        <v>34</v>
      </c>
      <c r="AK71" s="657">
        <v>15</v>
      </c>
      <c r="AL71" s="657">
        <v>15</v>
      </c>
      <c r="AM71" s="657">
        <v>15</v>
      </c>
      <c r="AN71" s="657">
        <v>15</v>
      </c>
    </row>
    <row r="72" spans="2:40" ht="17.5" customHeight="1" x14ac:dyDescent="0.35">
      <c r="B72" s="410" t="s">
        <v>1804</v>
      </c>
      <c r="C72" s="235"/>
      <c r="D72" s="701"/>
      <c r="E72" s="442"/>
      <c r="F72" s="673"/>
      <c r="G72" s="673"/>
      <c r="H72" s="673"/>
      <c r="I72" s="673"/>
      <c r="J72" s="673"/>
      <c r="K72" s="673"/>
      <c r="L72" s="673"/>
      <c r="M72" s="673"/>
      <c r="N72" s="673"/>
      <c r="O72" s="673"/>
      <c r="P72" s="673"/>
      <c r="Q72" s="673"/>
      <c r="R72" s="673"/>
      <c r="S72" s="673"/>
      <c r="T72" s="673"/>
      <c r="U72" s="673">
        <v>8</v>
      </c>
      <c r="V72" s="442">
        <v>8</v>
      </c>
      <c r="W72" s="442">
        <v>11</v>
      </c>
      <c r="X72" s="657">
        <v>14</v>
      </c>
      <c r="Y72" s="657">
        <v>9</v>
      </c>
      <c r="Z72" s="657">
        <v>13</v>
      </c>
      <c r="AA72" s="657">
        <v>11</v>
      </c>
      <c r="AB72" s="657">
        <v>14</v>
      </c>
      <c r="AC72" s="657">
        <v>47</v>
      </c>
      <c r="AD72" s="657">
        <v>47</v>
      </c>
      <c r="AE72" s="657">
        <v>47</v>
      </c>
      <c r="AF72" s="657">
        <v>36</v>
      </c>
      <c r="AG72" s="657">
        <v>36</v>
      </c>
      <c r="AH72" s="657">
        <v>36</v>
      </c>
      <c r="AI72" s="657">
        <v>36</v>
      </c>
      <c r="AJ72" s="657">
        <v>34</v>
      </c>
      <c r="AK72" s="657">
        <v>34</v>
      </c>
      <c r="AL72" s="657">
        <v>34</v>
      </c>
      <c r="AM72" s="657">
        <v>34</v>
      </c>
      <c r="AN72" s="657">
        <v>34</v>
      </c>
    </row>
    <row r="73" spans="2:40" ht="39" customHeight="1" x14ac:dyDescent="0.35">
      <c r="B73" s="410" t="s">
        <v>1805</v>
      </c>
      <c r="C73" s="235"/>
      <c r="D73" s="701"/>
      <c r="E73" s="442"/>
      <c r="F73" s="442"/>
      <c r="G73" s="442"/>
      <c r="H73" s="442"/>
      <c r="I73" s="662"/>
      <c r="J73" s="662"/>
      <c r="K73" s="662"/>
      <c r="L73" s="662"/>
      <c r="M73" s="662"/>
      <c r="N73" s="662"/>
      <c r="O73" s="662"/>
      <c r="P73" s="662"/>
      <c r="Q73" s="662"/>
      <c r="R73" s="662"/>
      <c r="S73" s="699"/>
      <c r="T73" s="699"/>
      <c r="U73" s="675">
        <v>8.6999999999999994E-2</v>
      </c>
      <c r="V73" s="663">
        <v>0</v>
      </c>
      <c r="W73" s="663">
        <v>0</v>
      </c>
      <c r="X73" s="700">
        <v>0</v>
      </c>
      <c r="Y73" s="700">
        <v>3.2000000000000001E-2</v>
      </c>
      <c r="Z73" s="700">
        <v>0</v>
      </c>
      <c r="AA73" s="700">
        <v>0</v>
      </c>
      <c r="AB73" s="700">
        <v>0</v>
      </c>
      <c r="AC73" s="700">
        <v>2.5000000000000001E-2</v>
      </c>
      <c r="AD73" s="700">
        <v>0</v>
      </c>
      <c r="AE73" s="700">
        <v>0</v>
      </c>
      <c r="AF73" s="700">
        <v>0</v>
      </c>
      <c r="AG73" s="700">
        <v>2.3E-2</v>
      </c>
      <c r="AH73" s="700">
        <v>0</v>
      </c>
      <c r="AI73" s="700">
        <v>0</v>
      </c>
      <c r="AJ73" s="700">
        <v>0</v>
      </c>
      <c r="AK73" s="700">
        <v>2.3E-2</v>
      </c>
      <c r="AL73" s="700">
        <v>0</v>
      </c>
      <c r="AM73" s="700">
        <v>0</v>
      </c>
      <c r="AN73" s="700">
        <v>0</v>
      </c>
    </row>
    <row r="74" spans="2:40" ht="49.75" customHeight="1" x14ac:dyDescent="0.35">
      <c r="B74" s="474" t="s">
        <v>1427</v>
      </c>
      <c r="C74" s="235"/>
      <c r="D74" s="701">
        <f t="shared" ref="D74:AB74" si="77">D65-D66</f>
        <v>0</v>
      </c>
      <c r="E74" s="442">
        <f t="shared" si="77"/>
        <v>0</v>
      </c>
      <c r="F74" s="442">
        <f t="shared" si="77"/>
        <v>0</v>
      </c>
      <c r="G74" s="442">
        <f t="shared" si="77"/>
        <v>0</v>
      </c>
      <c r="H74" s="442">
        <f t="shared" si="77"/>
        <v>0</v>
      </c>
      <c r="I74" s="442">
        <f t="shared" si="77"/>
        <v>-6.9120000000000346</v>
      </c>
      <c r="J74" s="442">
        <f t="shared" si="77"/>
        <v>-37.9549999999997</v>
      </c>
      <c r="K74" s="442">
        <f t="shared" si="77"/>
        <v>85.725999999999658</v>
      </c>
      <c r="L74" s="442">
        <f t="shared" si="77"/>
        <v>18.405999999999722</v>
      </c>
      <c r="M74" s="442">
        <f t="shared" si="77"/>
        <v>20.282000000000153</v>
      </c>
      <c r="N74" s="442">
        <f t="shared" si="77"/>
        <v>-8.5988400000003367</v>
      </c>
      <c r="O74" s="442">
        <f t="shared" si="77"/>
        <v>-12.537493333333487</v>
      </c>
      <c r="P74" s="442">
        <f t="shared" si="77"/>
        <v>-32.38033333333351</v>
      </c>
      <c r="Q74" s="442">
        <f t="shared" si="77"/>
        <v>72.734879999999521</v>
      </c>
      <c r="R74" s="442">
        <f t="shared" si="77"/>
        <v>75.236879999999019</v>
      </c>
      <c r="S74" s="673">
        <f t="shared" si="77"/>
        <v>66.046879999999419</v>
      </c>
      <c r="T74" s="673">
        <f t="shared" si="77"/>
        <v>90.12587999999937</v>
      </c>
      <c r="U74" s="673">
        <f t="shared" si="77"/>
        <v>55.219026999999414</v>
      </c>
      <c r="V74" s="673">
        <f t="shared" si="77"/>
        <v>69.376026999999112</v>
      </c>
      <c r="W74" s="673">
        <f t="shared" si="77"/>
        <v>73.871026999999231</v>
      </c>
      <c r="X74" s="673">
        <f t="shared" si="77"/>
        <v>92.003026999999292</v>
      </c>
      <c r="Y74" s="673">
        <f t="shared" si="77"/>
        <v>133.13552299999901</v>
      </c>
      <c r="Z74" s="673">
        <f t="shared" si="77"/>
        <v>146.42352299999902</v>
      </c>
      <c r="AA74" s="673">
        <f t="shared" si="77"/>
        <v>149.85352299999886</v>
      </c>
      <c r="AB74" s="673">
        <f t="shared" si="77"/>
        <v>164.67352299999925</v>
      </c>
      <c r="AC74" s="657">
        <f>AB74</f>
        <v>164.67352299999925</v>
      </c>
      <c r="AD74" s="657">
        <f t="shared" ref="AD74" si="78">AC74</f>
        <v>164.67352299999925</v>
      </c>
      <c r="AE74" s="657">
        <f t="shared" ref="AE74" si="79">AD74</f>
        <v>164.67352299999925</v>
      </c>
      <c r="AF74" s="657">
        <f t="shared" ref="AF74:AH74" si="80">AE74</f>
        <v>164.67352299999925</v>
      </c>
      <c r="AG74" s="657">
        <f t="shared" si="80"/>
        <v>164.67352299999925</v>
      </c>
      <c r="AH74" s="657">
        <f t="shared" si="80"/>
        <v>164.67352299999925</v>
      </c>
      <c r="AI74" s="657">
        <f t="shared" ref="AI74" si="81">AH74</f>
        <v>164.67352299999925</v>
      </c>
      <c r="AJ74" s="657">
        <f t="shared" ref="AJ74" si="82">AI74</f>
        <v>164.67352299999925</v>
      </c>
      <c r="AK74" s="657">
        <f t="shared" ref="AK74" si="83">AJ74</f>
        <v>164.67352299999925</v>
      </c>
      <c r="AL74" s="657">
        <f t="shared" ref="AL74" si="84">AK74</f>
        <v>164.67352299999925</v>
      </c>
      <c r="AM74" s="657">
        <f t="shared" ref="AM74" si="85">AL74</f>
        <v>164.67352299999925</v>
      </c>
      <c r="AN74" s="657">
        <f t="shared" ref="AN74" si="86">AM74</f>
        <v>164.67352299999925</v>
      </c>
    </row>
    <row r="75" spans="2:40" ht="29.5" customHeight="1" x14ac:dyDescent="0.35">
      <c r="B75" s="271"/>
      <c r="C75" s="235"/>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spans="2:40" ht="16.75" customHeight="1" x14ac:dyDescent="0.35">
      <c r="B76" s="235"/>
      <c r="C76" s="235"/>
      <c r="T76" s="490"/>
    </row>
    <row r="77" spans="2:40" ht="16.75" customHeight="1" x14ac:dyDescent="0.35">
      <c r="B77" s="235"/>
      <c r="C77" s="235"/>
      <c r="S77" s="224"/>
      <c r="T77" s="224"/>
    </row>
    <row r="78" spans="2:40" ht="16.75" customHeight="1" x14ac:dyDescent="0.35">
      <c r="B78" s="235"/>
      <c r="C78" s="235"/>
      <c r="S78" s="224"/>
      <c r="T78" s="224"/>
    </row>
    <row r="79" spans="2:40" ht="16.75" customHeight="1" x14ac:dyDescent="0.35">
      <c r="B79" s="235"/>
      <c r="C79" s="235"/>
      <c r="S79" s="224"/>
      <c r="T79" s="224"/>
    </row>
    <row r="80" spans="2:40" ht="16.75" customHeight="1" x14ac:dyDescent="0.35">
      <c r="B80" s="220"/>
      <c r="C80" s="235"/>
      <c r="S80" s="224"/>
      <c r="T80" s="224"/>
      <c r="U80" s="224"/>
      <c r="V80" s="224"/>
      <c r="W80" s="224"/>
      <c r="X80" s="224"/>
      <c r="Y80" s="224"/>
      <c r="Z80" s="224"/>
      <c r="AA80" s="224"/>
      <c r="AB80" s="224"/>
      <c r="AC80" s="224"/>
      <c r="AD80" s="515"/>
    </row>
    <row r="81" spans="2:30" ht="16.75" customHeight="1" x14ac:dyDescent="0.35">
      <c r="B81" s="220"/>
      <c r="C81" s="235"/>
      <c r="S81" s="224"/>
      <c r="T81" s="224"/>
      <c r="U81" s="224"/>
      <c r="V81" s="224"/>
      <c r="W81" s="224"/>
      <c r="X81" s="224"/>
      <c r="Y81" s="224"/>
      <c r="Z81" s="224"/>
      <c r="AA81" s="224"/>
      <c r="AB81" s="224"/>
      <c r="AC81" s="224"/>
      <c r="AD81" s="515"/>
    </row>
    <row r="82" spans="2:30" ht="16.75" customHeight="1" x14ac:dyDescent="0.35">
      <c r="B82" s="220"/>
      <c r="C82" s="235"/>
      <c r="S82" s="224"/>
      <c r="T82" s="224"/>
      <c r="U82" s="224"/>
      <c r="V82" s="224"/>
      <c r="W82" s="224"/>
      <c r="X82" s="224"/>
      <c r="Y82" s="224"/>
      <c r="Z82" s="224"/>
      <c r="AA82" s="224"/>
      <c r="AB82" s="224"/>
      <c r="AC82" s="224"/>
      <c r="AD82" s="515"/>
    </row>
    <row r="83" spans="2:30" ht="16.75" customHeight="1" x14ac:dyDescent="0.35">
      <c r="B83" s="235"/>
      <c r="C83" s="235"/>
      <c r="S83" s="235"/>
      <c r="T83" s="235"/>
      <c r="U83" s="442"/>
      <c r="V83" s="442"/>
      <c r="W83" s="442"/>
      <c r="X83" s="442"/>
      <c r="Y83" s="442"/>
      <c r="Z83" s="442"/>
      <c r="AA83" s="442"/>
      <c r="AB83" s="442"/>
      <c r="AC83" s="442"/>
      <c r="AD83" s="515"/>
    </row>
    <row r="84" spans="2:30" ht="16.75" customHeight="1" x14ac:dyDescent="0.35">
      <c r="B84" s="220"/>
      <c r="C84" s="235"/>
      <c r="S84" s="235"/>
      <c r="T84" s="235"/>
      <c r="U84" s="442"/>
      <c r="V84" s="442"/>
      <c r="W84" s="442"/>
      <c r="X84" s="442"/>
      <c r="Y84" s="442"/>
      <c r="Z84" s="442"/>
      <c r="AA84" s="442"/>
      <c r="AB84" s="442"/>
      <c r="AC84" s="442"/>
      <c r="AD84" s="515"/>
    </row>
    <row r="85" spans="2:30" ht="16.75" customHeight="1" x14ac:dyDescent="0.35">
      <c r="B85" s="220"/>
      <c r="C85" s="235"/>
      <c r="S85" s="235"/>
      <c r="T85" s="235"/>
      <c r="U85" s="224"/>
      <c r="V85" s="224"/>
      <c r="W85" s="224"/>
      <c r="X85" s="224"/>
      <c r="Y85" s="224"/>
      <c r="Z85" s="224"/>
      <c r="AA85" s="224"/>
      <c r="AB85" s="224"/>
      <c r="AC85" s="224"/>
      <c r="AD85" s="515"/>
    </row>
    <row r="86" spans="2:30" ht="16.75" customHeight="1" x14ac:dyDescent="0.35">
      <c r="B86" s="220"/>
      <c r="C86" s="235"/>
      <c r="S86" s="235"/>
      <c r="T86" s="235"/>
      <c r="U86" s="676"/>
      <c r="V86" s="676"/>
      <c r="W86" s="676"/>
      <c r="X86" s="676"/>
      <c r="Y86" s="676"/>
      <c r="Z86" s="676"/>
      <c r="AA86" s="676"/>
      <c r="AB86" s="676"/>
      <c r="AC86" s="676"/>
      <c r="AD86" s="515"/>
    </row>
    <row r="87" spans="2:30" ht="16.75" customHeight="1" x14ac:dyDescent="0.35">
      <c r="B87" s="235"/>
      <c r="C87" s="235"/>
      <c r="S87" s="224"/>
      <c r="T87" s="224"/>
      <c r="U87" s="224"/>
      <c r="V87" s="224"/>
      <c r="W87" s="224"/>
      <c r="X87" s="224"/>
      <c r="Y87" s="224"/>
      <c r="Z87" s="224"/>
      <c r="AA87" s="224"/>
      <c r="AB87" s="224"/>
      <c r="AC87" s="224"/>
      <c r="AD87" s="515"/>
    </row>
    <row r="88" spans="2:30" ht="22.5" customHeight="1" x14ac:dyDescent="0.35">
      <c r="B88" s="271"/>
      <c r="C88" s="235"/>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0" ht="22.5" customHeight="1" x14ac:dyDescent="0.35">
      <c r="B89" s="271"/>
      <c r="C89" s="235"/>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0" ht="38.5" customHeight="1" x14ac:dyDescent="0.35">
      <c r="B90" s="650"/>
      <c r="C90" s="651">
        <v>2022</v>
      </c>
      <c r="D90" s="652">
        <v>2023</v>
      </c>
      <c r="E90" s="652">
        <v>2024</v>
      </c>
      <c r="F90" s="652">
        <v>2025</v>
      </c>
      <c r="G90" s="652">
        <v>2026</v>
      </c>
      <c r="H90" s="652">
        <v>2027</v>
      </c>
      <c r="I90" s="652">
        <v>2028</v>
      </c>
      <c r="J90" s="652">
        <v>2029</v>
      </c>
      <c r="K90" s="653">
        <v>2030</v>
      </c>
      <c r="L90" s="224"/>
      <c r="M90" s="224"/>
      <c r="N90" s="224"/>
      <c r="O90" s="224"/>
      <c r="P90" s="224"/>
      <c r="Q90" s="224"/>
      <c r="R90" s="224"/>
      <c r="S90" s="224"/>
      <c r="T90" s="224"/>
      <c r="U90" s="224"/>
      <c r="V90" s="224"/>
      <c r="W90" s="224"/>
      <c r="X90" s="224"/>
      <c r="Y90" s="224"/>
      <c r="Z90" s="224"/>
      <c r="AA90" s="224"/>
      <c r="AB90" s="224"/>
      <c r="AC90" s="224"/>
    </row>
    <row r="91" spans="2:30" ht="38.5" customHeight="1" x14ac:dyDescent="0.35">
      <c r="B91" s="658" t="s">
        <v>1973</v>
      </c>
      <c r="C91" s="648">
        <v>1212.4870000000001</v>
      </c>
      <c r="D91" s="648">
        <v>1347.961</v>
      </c>
      <c r="E91" s="648">
        <v>1454.424</v>
      </c>
      <c r="F91" s="648">
        <v>1572.1079999999999</v>
      </c>
      <c r="G91" s="648">
        <v>1664.223</v>
      </c>
      <c r="H91" s="648">
        <v>1760.8779999999999</v>
      </c>
      <c r="I91" s="648">
        <v>1865.222</v>
      </c>
      <c r="J91" s="648">
        <v>1967.5059999999999</v>
      </c>
      <c r="K91" s="649">
        <v>2071.6129999999998</v>
      </c>
      <c r="L91" s="256">
        <v>2179.337</v>
      </c>
      <c r="M91" s="256">
        <v>2288.683</v>
      </c>
      <c r="N91" s="256">
        <v>2399.4650000000001</v>
      </c>
      <c r="O91" s="256">
        <v>2510.5969999999998</v>
      </c>
      <c r="P91" s="224">
        <v>2623.808</v>
      </c>
      <c r="Q91" s="224"/>
      <c r="R91" s="224"/>
      <c r="S91" s="224"/>
      <c r="T91" s="224"/>
      <c r="U91" s="224"/>
      <c r="V91" s="224"/>
      <c r="W91" s="224"/>
      <c r="X91" s="224"/>
      <c r="Y91" s="224"/>
      <c r="Z91" s="224"/>
      <c r="AA91" s="224"/>
      <c r="AB91" s="224"/>
      <c r="AC91" s="224"/>
    </row>
    <row r="92" spans="2:30" ht="69" customHeight="1" x14ac:dyDescent="0.35">
      <c r="B92" s="271"/>
      <c r="C92" s="235"/>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spans="2:30" x14ac:dyDescent="0.35">
      <c r="B93" s="72" t="s">
        <v>1426</v>
      </c>
      <c r="D93" s="235"/>
      <c r="E93" s="235"/>
      <c r="F93" s="235"/>
      <c r="G93" s="235"/>
      <c r="H93" s="235"/>
      <c r="I93" s="235"/>
      <c r="J93" s="235"/>
      <c r="K93" s="235"/>
      <c r="L93" s="235"/>
      <c r="M93" s="224"/>
      <c r="N93" s="224"/>
      <c r="O93" s="224"/>
      <c r="P93" s="235"/>
    </row>
    <row r="94" spans="2:30" x14ac:dyDescent="0.35">
      <c r="B94" s="557" t="s">
        <v>806</v>
      </c>
      <c r="C94" s="429"/>
      <c r="D94" s="713">
        <v>2021</v>
      </c>
      <c r="E94" s="713">
        <v>2022</v>
      </c>
      <c r="F94" s="713">
        <v>2023</v>
      </c>
      <c r="G94" s="714">
        <v>2024</v>
      </c>
      <c r="R94" s="515"/>
    </row>
    <row r="95" spans="2:30" x14ac:dyDescent="0.35">
      <c r="B95" s="617" t="s">
        <v>807</v>
      </c>
      <c r="C95" s="719"/>
      <c r="D95" s="708">
        <v>3605.8330000000001</v>
      </c>
      <c r="E95" s="708">
        <v>2900</v>
      </c>
      <c r="F95" s="708">
        <f>E95*1.02</f>
        <v>2958</v>
      </c>
      <c r="G95" s="709">
        <f>F95*1.06</f>
        <v>3135.48</v>
      </c>
    </row>
    <row r="96" spans="2:30" x14ac:dyDescent="0.35">
      <c r="B96" s="617" t="s">
        <v>810</v>
      </c>
      <c r="C96" s="710"/>
      <c r="D96" s="704">
        <f>AVERAGE(Medicare!L10:O10)</f>
        <v>862.99999999999989</v>
      </c>
      <c r="E96" s="704">
        <f>AVERAGE(Medicare!P10:S10)</f>
        <v>921</v>
      </c>
      <c r="F96" s="704">
        <f>AVERAGE(Medicare!T10:W10)</f>
        <v>990.32499999999993</v>
      </c>
      <c r="G96" s="717">
        <f>AVERAGE(Medicare!X10:AA10)</f>
        <v>1060.45</v>
      </c>
    </row>
    <row r="97" spans="2:7" ht="13.4" customHeight="1" x14ac:dyDescent="0.35">
      <c r="B97" s="617" t="s">
        <v>808</v>
      </c>
      <c r="C97" s="710"/>
      <c r="D97" s="704">
        <f>D95-D96</f>
        <v>2742.8330000000001</v>
      </c>
      <c r="E97" s="704">
        <f t="shared" ref="E97:G97" si="87">E95-E96</f>
        <v>1979</v>
      </c>
      <c r="F97" s="704">
        <f t="shared" si="87"/>
        <v>1967.6750000000002</v>
      </c>
      <c r="G97" s="717">
        <f t="shared" si="87"/>
        <v>2075.0299999999997</v>
      </c>
    </row>
    <row r="98" spans="2:7" x14ac:dyDescent="0.35">
      <c r="B98" s="617" t="s">
        <v>811</v>
      </c>
      <c r="C98" s="710"/>
      <c r="D98" s="704">
        <f>AVERAGE(L12:O12)</f>
        <v>3637.2999999999997</v>
      </c>
      <c r="E98" s="704">
        <f>AVERAGE(P12:S12)</f>
        <v>2967.5250000000001</v>
      </c>
      <c r="F98" s="704">
        <f>AVERAGE(T12:W12)</f>
        <v>3047.4749999999999</v>
      </c>
      <c r="G98" s="717">
        <f>AVERAGE(X12:AA12)</f>
        <v>3205.8999999999996</v>
      </c>
    </row>
    <row r="99" spans="2:7" x14ac:dyDescent="0.35">
      <c r="B99" s="617" t="s">
        <v>810</v>
      </c>
      <c r="C99" s="710"/>
      <c r="D99" s="704">
        <f>AVERAGE(Medicare!L10:O10)</f>
        <v>862.99999999999989</v>
      </c>
      <c r="E99" s="704">
        <f>AVERAGE(Medicare!P10:S10)</f>
        <v>921</v>
      </c>
      <c r="F99" s="704">
        <f>AVERAGE(Medicare!T10:W10)</f>
        <v>990.32499999999993</v>
      </c>
      <c r="G99" s="717">
        <f>AVERAGE(Medicare!X10:AA10)</f>
        <v>1060.45</v>
      </c>
    </row>
    <row r="100" spans="2:7" x14ac:dyDescent="0.35">
      <c r="B100" s="617" t="s">
        <v>530</v>
      </c>
      <c r="C100" s="710"/>
      <c r="D100" s="704">
        <f>AVERAGE(L31:O31)</f>
        <v>1585.7822500000004</v>
      </c>
      <c r="E100" s="704">
        <f>AVERAGE(P31:S31)</f>
        <v>1670.9233400000005</v>
      </c>
      <c r="F100" s="704">
        <f>AVERAGE(T31:W31)</f>
        <v>1795.6717597500008</v>
      </c>
      <c r="G100" s="717">
        <f>AVERAGE(X31:AA31)</f>
        <v>1883.366101000001</v>
      </c>
    </row>
    <row r="101" spans="2:7" ht="27.65" customHeight="1" x14ac:dyDescent="0.35">
      <c r="B101" s="711" t="s">
        <v>809</v>
      </c>
      <c r="C101" s="547"/>
      <c r="D101" s="609"/>
      <c r="E101" s="715">
        <v>1.157</v>
      </c>
      <c r="F101" s="715">
        <v>1.0109999999999999</v>
      </c>
      <c r="G101" s="718">
        <v>1.0529999999999999</v>
      </c>
    </row>
    <row r="102" spans="2:7" x14ac:dyDescent="0.35">
      <c r="B102" s="235" t="s">
        <v>812</v>
      </c>
      <c r="D102" s="716">
        <f>D98-D95</f>
        <v>31.466999999999643</v>
      </c>
      <c r="E102" s="716">
        <f>E98-E95</f>
        <v>67.525000000000091</v>
      </c>
      <c r="F102" s="716">
        <f>F98-F95</f>
        <v>89.474999999999909</v>
      </c>
      <c r="G102" s="716">
        <f t="shared" ref="G102" si="88">G98-G95</f>
        <v>70.419999999999618</v>
      </c>
    </row>
    <row r="104" spans="2:7" x14ac:dyDescent="0.35">
      <c r="B104" t="s">
        <v>807</v>
      </c>
      <c r="D104">
        <v>3605.8330000000001</v>
      </c>
      <c r="E104">
        <v>2832.5949999999998</v>
      </c>
      <c r="F104">
        <v>2833.72</v>
      </c>
      <c r="G104">
        <v>2976.7339999999999</v>
      </c>
    </row>
  </sheetData>
  <mergeCells count="35">
    <mergeCell ref="B58:C60"/>
    <mergeCell ref="E59:H59"/>
    <mergeCell ref="I59:L59"/>
    <mergeCell ref="M48:P48"/>
    <mergeCell ref="M59:P59"/>
    <mergeCell ref="D58:AB58"/>
    <mergeCell ref="B11:C11"/>
    <mergeCell ref="B46:AC46"/>
    <mergeCell ref="B47:C49"/>
    <mergeCell ref="E48:H48"/>
    <mergeCell ref="I48:L48"/>
    <mergeCell ref="B35:C35"/>
    <mergeCell ref="AC48:AF48"/>
    <mergeCell ref="AC47:AN47"/>
    <mergeCell ref="D47:AB47"/>
    <mergeCell ref="B1:AC1"/>
    <mergeCell ref="B2:AC6"/>
    <mergeCell ref="E9:H9"/>
    <mergeCell ref="I9:L9"/>
    <mergeCell ref="M9:P9"/>
    <mergeCell ref="Q9:T9"/>
    <mergeCell ref="AC9:AF9"/>
    <mergeCell ref="AC8:AN8"/>
    <mergeCell ref="D8:AB8"/>
    <mergeCell ref="AK59:AN59"/>
    <mergeCell ref="AK9:AN9"/>
    <mergeCell ref="AK48:AN48"/>
    <mergeCell ref="U9:X9"/>
    <mergeCell ref="Q59:T59"/>
    <mergeCell ref="AC59:AF59"/>
    <mergeCell ref="AG48:AJ48"/>
    <mergeCell ref="AG59:AJ59"/>
    <mergeCell ref="Q48:T48"/>
    <mergeCell ref="AG9:AJ9"/>
    <mergeCell ref="AC58:AN58"/>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P12" activePane="bottomRight" state="frozen"/>
      <selection pane="topRight" activeCell="C1" sqref="C1"/>
      <selection pane="bottomLeft" activeCell="A12" sqref="A12"/>
      <selection pane="bottomRight" activeCell="I31" sqref="I31"/>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59" t="s">
        <v>463</v>
      </c>
      <c r="C1" s="1359"/>
      <c r="D1" s="1359"/>
      <c r="E1" s="1359"/>
      <c r="F1" s="1359"/>
      <c r="G1" s="1359"/>
      <c r="H1" s="1359"/>
      <c r="I1" s="1359"/>
      <c r="J1" s="1359"/>
      <c r="K1" s="1359"/>
      <c r="L1" s="1359"/>
      <c r="M1" s="1359"/>
      <c r="N1" s="1359"/>
      <c r="O1" s="1359"/>
      <c r="P1" s="1359"/>
      <c r="Q1" s="1359"/>
      <c r="R1" s="1359"/>
      <c r="S1" s="1359"/>
      <c r="T1" s="1359"/>
      <c r="U1" s="1359"/>
      <c r="V1" s="1359"/>
      <c r="W1" s="1359"/>
      <c r="X1" s="1359"/>
      <c r="Y1" s="1359"/>
      <c r="Z1" s="1359"/>
      <c r="AA1" s="1359"/>
      <c r="AB1" s="1359"/>
      <c r="AC1" s="1359"/>
    </row>
    <row r="2" spans="1:29" ht="34.5" hidden="1" customHeight="1" outlineLevel="1" x14ac:dyDescent="0.35">
      <c r="B2" s="1270" t="s">
        <v>858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1:29" ht="3" hidden="1" customHeight="1" outlineLevel="1"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1:29" ht="10.4" hidden="1" customHeight="1" outlineLevel="1"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1:29" ht="14.25" hidden="1" customHeight="1" outlineLevel="1" x14ac:dyDescent="0.35">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row>
    <row r="6" spans="1:29" ht="14.25" hidden="1" customHeight="1" outlineLevel="1" x14ac:dyDescent="0.35">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row>
    <row r="7" spans="1:29" collapsed="1" x14ac:dyDescent="0.35">
      <c r="B7" s="712" t="s">
        <v>332</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303</v>
      </c>
      <c r="C8" s="680"/>
      <c r="D8" s="729" t="s">
        <v>279</v>
      </c>
      <c r="E8" s="730"/>
      <c r="F8" s="730"/>
      <c r="G8" s="730"/>
      <c r="H8" s="730"/>
      <c r="I8" s="730"/>
      <c r="J8" s="730"/>
      <c r="K8" s="730"/>
      <c r="L8" s="730"/>
      <c r="M8" s="730"/>
      <c r="N8" s="730"/>
      <c r="O8" s="730"/>
      <c r="P8" s="1328"/>
      <c r="Q8" s="1328"/>
      <c r="R8" s="1328"/>
      <c r="S8" s="1328"/>
      <c r="T8" s="1328"/>
      <c r="U8" s="1328"/>
      <c r="V8" s="1279"/>
      <c r="W8" s="1302" t="s">
        <v>280</v>
      </c>
      <c r="X8" s="1282"/>
      <c r="Y8" s="1282"/>
      <c r="Z8" s="1282"/>
      <c r="AA8" s="1282"/>
      <c r="AB8" s="1282"/>
      <c r="AC8" s="1283"/>
    </row>
    <row r="9" spans="1:29" ht="14.9" customHeight="1" x14ac:dyDescent="0.35">
      <c r="B9" s="681"/>
      <c r="C9" s="682"/>
      <c r="D9" s="282">
        <v>2018</v>
      </c>
      <c r="E9" s="1293">
        <v>2019</v>
      </c>
      <c r="F9" s="1294"/>
      <c r="G9" s="1294"/>
      <c r="H9" s="1295"/>
      <c r="I9" s="1293">
        <v>2020</v>
      </c>
      <c r="J9" s="1294"/>
      <c r="K9" s="1294"/>
      <c r="L9" s="1294"/>
      <c r="M9" s="1293">
        <v>2021</v>
      </c>
      <c r="N9" s="1294"/>
      <c r="O9" s="1294"/>
      <c r="P9" s="1294"/>
      <c r="Q9" s="1293">
        <v>2022</v>
      </c>
      <c r="R9" s="1301"/>
      <c r="S9" s="1301"/>
      <c r="T9" s="1295"/>
      <c r="U9" s="288"/>
      <c r="V9" s="288">
        <v>2023</v>
      </c>
      <c r="W9" s="621"/>
      <c r="X9" s="321"/>
      <c r="Y9" s="1280">
        <v>2024</v>
      </c>
      <c r="Z9" s="1286"/>
      <c r="AA9" s="1286"/>
      <c r="AB9" s="1285"/>
      <c r="AC9" s="290">
        <v>2025</v>
      </c>
    </row>
    <row r="10" spans="1:29" x14ac:dyDescent="0.35">
      <c r="B10" s="681"/>
      <c r="C10" s="682"/>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15" t="s">
        <v>282</v>
      </c>
      <c r="V10" s="274" t="s">
        <v>283</v>
      </c>
      <c r="W10" s="260" t="s">
        <v>238</v>
      </c>
      <c r="X10" s="287" t="s">
        <v>281</v>
      </c>
      <c r="Y10" s="259" t="s">
        <v>282</v>
      </c>
      <c r="Z10" s="257" t="s">
        <v>283</v>
      </c>
      <c r="AA10" s="260" t="s">
        <v>238</v>
      </c>
      <c r="AB10" s="260" t="s">
        <v>281</v>
      </c>
      <c r="AC10" s="291" t="s">
        <v>282</v>
      </c>
    </row>
    <row r="11" spans="1:29" ht="15" customHeight="1" x14ac:dyDescent="0.35">
      <c r="B11" s="1360" t="s">
        <v>464</v>
      </c>
      <c r="C11" s="1361"/>
      <c r="D11" s="654"/>
      <c r="E11" s="705"/>
      <c r="F11" s="705"/>
      <c r="G11" s="705"/>
      <c r="H11" s="306"/>
      <c r="I11" s="306"/>
      <c r="J11" s="306"/>
      <c r="K11" s="306"/>
      <c r="L11" s="306"/>
      <c r="M11" s="564"/>
      <c r="N11" s="564"/>
      <c r="O11" s="564"/>
      <c r="P11" s="306"/>
      <c r="Q11" s="306"/>
      <c r="R11" s="306"/>
      <c r="S11" s="306"/>
      <c r="T11" s="275"/>
      <c r="U11" s="306"/>
      <c r="V11" s="306"/>
      <c r="W11" s="210"/>
      <c r="X11" s="210"/>
      <c r="Y11" s="210"/>
      <c r="Z11" s="210"/>
      <c r="AA11" s="210"/>
      <c r="AB11" s="210"/>
      <c r="AC11" s="211"/>
    </row>
    <row r="12" spans="1:29" ht="17.149999999999999" customHeight="1" x14ac:dyDescent="0.35">
      <c r="A12" t="s">
        <v>1847</v>
      </c>
      <c r="B12" s="739" t="s">
        <v>465</v>
      </c>
      <c r="C12" s="235" t="s">
        <v>466</v>
      </c>
      <c r="D12" s="583">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3">
        <f>'Haver Pivoted'!HD31</f>
        <v>2970.4</v>
      </c>
      <c r="T12" s="553">
        <f>'Haver Pivoted'!HE31</f>
        <v>3024.4</v>
      </c>
      <c r="U12" s="553">
        <f>'Haver Pivoted'!HF31</f>
        <v>3038.4</v>
      </c>
      <c r="V12" s="553">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3405.1965447000002</v>
      </c>
      <c r="AC12" s="731">
        <f t="shared" si="0"/>
        <v>3471.387940085001</v>
      </c>
    </row>
    <row r="13" spans="1:29" ht="15.65" customHeight="1" x14ac:dyDescent="0.35">
      <c r="A13" t="s">
        <v>1847</v>
      </c>
      <c r="B13" s="738" t="s">
        <v>796</v>
      </c>
      <c r="C13" s="235" t="s">
        <v>823</v>
      </c>
      <c r="D13" s="262">
        <v>30</v>
      </c>
      <c r="E13" s="231">
        <v>30</v>
      </c>
      <c r="F13" s="231">
        <v>30</v>
      </c>
      <c r="G13" s="231">
        <v>30</v>
      </c>
      <c r="H13" s="231">
        <v>30</v>
      </c>
      <c r="I13" s="231">
        <v>30</v>
      </c>
      <c r="J13" s="231">
        <v>30</v>
      </c>
      <c r="K13" s="227">
        <v>30.2</v>
      </c>
      <c r="L13" s="227">
        <v>30.2</v>
      </c>
      <c r="M13" s="227">
        <f>'Haver Pivoted'!GX89</f>
        <v>34.4</v>
      </c>
      <c r="N13" s="227">
        <f>'Haver Pivoted'!GY89</f>
        <v>34.4</v>
      </c>
      <c r="O13" s="227">
        <f>'Haver Pivoted'!GZ89</f>
        <v>218.933333333333</v>
      </c>
      <c r="P13" s="227">
        <f>'Haver Pivoted'!HA89</f>
        <v>223.13333333333301</v>
      </c>
      <c r="Q13" s="227">
        <f>'Haver Pivoted'!HB89</f>
        <v>94.3</v>
      </c>
      <c r="R13" s="227">
        <f>'Haver Pivoted'!HC89</f>
        <v>94.3</v>
      </c>
      <c r="S13" s="227">
        <f>'Haver Pivoted'!HD89</f>
        <v>94.3</v>
      </c>
      <c r="T13" s="227">
        <f>'Haver Pivoted'!HE89</f>
        <v>94.3</v>
      </c>
      <c r="U13" s="656">
        <v>34</v>
      </c>
      <c r="V13" s="490">
        <v>34</v>
      </c>
      <c r="W13" s="656">
        <v>34</v>
      </c>
      <c r="X13" s="656">
        <v>34</v>
      </c>
      <c r="Y13" s="656">
        <v>34</v>
      </c>
      <c r="Z13" s="656">
        <v>34</v>
      </c>
      <c r="AA13" s="656">
        <v>34</v>
      </c>
      <c r="AB13" s="656">
        <v>34</v>
      </c>
      <c r="AC13" s="731">
        <v>34</v>
      </c>
    </row>
    <row r="14" spans="1:29" ht="15" customHeight="1" x14ac:dyDescent="0.35">
      <c r="A14" t="s">
        <v>1844</v>
      </c>
      <c r="B14" s="664" t="s">
        <v>1836</v>
      </c>
      <c r="C14" s="235"/>
      <c r="D14" s="583">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36.1</v>
      </c>
      <c r="AC14" s="731">
        <f>'Unemployment Insurance'!AC21+'Unemployment Insurance'!AC20</f>
        <v>35.700000000000003</v>
      </c>
    </row>
    <row r="15" spans="1:29" x14ac:dyDescent="0.35">
      <c r="B15" s="410" t="s">
        <v>203</v>
      </c>
      <c r="C15" s="235"/>
      <c r="D15" s="583"/>
      <c r="E15" s="490"/>
      <c r="F15" s="490"/>
      <c r="G15" s="490"/>
      <c r="H15" s="490"/>
      <c r="I15" s="490"/>
      <c r="J15" s="490"/>
      <c r="K15" s="490"/>
      <c r="L15" s="490"/>
      <c r="M15" s="490"/>
      <c r="N15" s="490"/>
      <c r="O15" s="490"/>
      <c r="P15" s="490"/>
      <c r="Q15" s="490"/>
      <c r="R15" s="490"/>
      <c r="S15" s="490"/>
      <c r="T15" s="490"/>
      <c r="U15" s="490"/>
      <c r="V15" s="490">
        <f>'Unemployment Insurance'!V20</f>
        <v>0</v>
      </c>
      <c r="W15" s="656"/>
      <c r="X15" s="656"/>
      <c r="Y15" s="656"/>
      <c r="Z15" s="656"/>
      <c r="AA15" s="656"/>
      <c r="AB15" s="656"/>
      <c r="AC15" s="731"/>
    </row>
    <row r="16" spans="1:29" x14ac:dyDescent="0.35">
      <c r="B16" s="410" t="s">
        <v>205</v>
      </c>
      <c r="C16" s="235"/>
      <c r="D16" s="583"/>
      <c r="E16" s="490"/>
      <c r="F16" s="490"/>
      <c r="G16" s="490"/>
      <c r="H16" s="490"/>
      <c r="I16" s="490"/>
      <c r="J16" s="490"/>
      <c r="K16" s="490"/>
      <c r="L16" s="490"/>
      <c r="M16" s="490"/>
      <c r="N16" s="490"/>
      <c r="O16" s="490"/>
      <c r="P16" s="490"/>
      <c r="Q16" s="490"/>
      <c r="R16" s="490"/>
      <c r="S16" s="490"/>
      <c r="T16" s="490"/>
      <c r="U16" s="490"/>
      <c r="V16" s="490">
        <f>'Unemployment Insurance'!V21</f>
        <v>30.960000000000004</v>
      </c>
      <c r="W16" s="656"/>
      <c r="X16" s="656"/>
      <c r="Y16" s="656"/>
      <c r="Z16" s="656"/>
      <c r="AA16" s="656"/>
      <c r="AB16" s="656"/>
      <c r="AC16" s="731"/>
    </row>
    <row r="17" spans="1:101" ht="17.899999999999999" customHeight="1" x14ac:dyDescent="0.35">
      <c r="A17" t="s">
        <v>1844</v>
      </c>
      <c r="B17" s="664" t="s">
        <v>55</v>
      </c>
      <c r="C17" s="235"/>
      <c r="D17" s="583">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1118.5</v>
      </c>
      <c r="AC17" s="731">
        <f>Medicare!AC10</f>
        <v>1148.7441849890008</v>
      </c>
    </row>
    <row r="18" spans="1:101" ht="18" customHeight="1" x14ac:dyDescent="0.35">
      <c r="A18" t="s">
        <v>1844</v>
      </c>
      <c r="B18" s="665" t="s">
        <v>467</v>
      </c>
      <c r="C18" s="235"/>
      <c r="D18" s="583"/>
      <c r="E18" s="490"/>
      <c r="F18" s="490"/>
      <c r="G18" s="490"/>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x14ac:dyDescent="0.35">
      <c r="B19" s="666" t="s">
        <v>1837</v>
      </c>
      <c r="C19" s="235"/>
      <c r="D19" s="583"/>
      <c r="E19" s="490"/>
      <c r="F19" s="490"/>
      <c r="G19" s="490"/>
      <c r="H19" s="490"/>
      <c r="I19" s="490"/>
      <c r="J19" s="490"/>
      <c r="K19" s="490"/>
      <c r="L19" s="490"/>
      <c r="M19" s="490"/>
      <c r="N19" s="490"/>
      <c r="O19" s="490"/>
      <c r="P19" s="490"/>
      <c r="Q19" s="490"/>
      <c r="R19" s="490"/>
      <c r="S19" s="490"/>
      <c r="T19" s="490"/>
      <c r="U19" s="490"/>
      <c r="V19" s="490">
        <v>0</v>
      </c>
      <c r="W19" s="656"/>
      <c r="X19" s="656"/>
      <c r="Y19" s="656"/>
      <c r="Z19" s="656"/>
      <c r="AA19" s="656"/>
      <c r="AB19" s="656"/>
      <c r="AC19" s="731"/>
    </row>
    <row r="20" spans="1:101" ht="18" customHeight="1" x14ac:dyDescent="0.35">
      <c r="B20" s="666" t="s">
        <v>1838</v>
      </c>
      <c r="C20" s="235"/>
      <c r="D20" s="583"/>
      <c r="E20" s="490"/>
      <c r="F20" s="490"/>
      <c r="G20" s="490"/>
      <c r="H20" s="490"/>
      <c r="I20" s="490"/>
      <c r="J20" s="490"/>
      <c r="K20" s="490"/>
      <c r="L20" s="490"/>
      <c r="M20" s="490"/>
      <c r="N20" s="490"/>
      <c r="O20" s="490"/>
      <c r="P20" s="490"/>
      <c r="Q20" s="490"/>
      <c r="R20" s="490"/>
      <c r="S20" s="490"/>
      <c r="T20" s="490"/>
      <c r="U20" s="490"/>
      <c r="V20" s="490">
        <v>0</v>
      </c>
      <c r="W20" s="656"/>
      <c r="X20" s="656"/>
      <c r="Y20" s="656"/>
      <c r="Z20" s="656"/>
      <c r="AA20" s="656"/>
      <c r="AB20" s="656"/>
      <c r="AC20" s="731"/>
    </row>
    <row r="21" spans="1:101" ht="18" customHeight="1" x14ac:dyDescent="0.35">
      <c r="A21" t="s">
        <v>1844</v>
      </c>
      <c r="B21" s="667" t="s">
        <v>49</v>
      </c>
      <c r="C21" s="235"/>
      <c r="D21" s="391">
        <f>'Provider Relief (expired)'!D11</f>
        <v>0</v>
      </c>
      <c r="E21" s="397">
        <f>'Provider Relief (expired)'!E11</f>
        <v>0</v>
      </c>
      <c r="F21" s="397">
        <f>'Provider Relief (expired)'!F11</f>
        <v>0</v>
      </c>
      <c r="G21" s="397">
        <f>'Provider Relief (expired)'!G11</f>
        <v>0</v>
      </c>
      <c r="H21" s="397">
        <f>'Provider Relief (expired)'!H11</f>
        <v>0</v>
      </c>
      <c r="I21" s="397">
        <f>'Provider Relief (expired)'!I11</f>
        <v>0</v>
      </c>
      <c r="J21" s="397">
        <f>'Provider Relief (expired)'!J11</f>
        <v>160.9</v>
      </c>
      <c r="K21" s="397">
        <f>'Provider Relief (expired)'!K11</f>
        <v>58.4</v>
      </c>
      <c r="L21" s="397">
        <f>'Provider Relief (expired)'!L11</f>
        <v>34.5</v>
      </c>
      <c r="M21" s="397">
        <f>'Provider Relief (expired)'!M11</f>
        <v>21.4</v>
      </c>
      <c r="N21" s="397">
        <f>'Provider Relief (expired)'!N11</f>
        <v>13.3</v>
      </c>
      <c r="O21" s="397">
        <f>'Provider Relief (expired)'!O11</f>
        <v>18.7</v>
      </c>
      <c r="P21" s="397">
        <f>'Provider Relief (expired)'!P11</f>
        <v>32.200000000000003</v>
      </c>
      <c r="Q21" s="397">
        <f>'Provider Relief (expired)'!Q11</f>
        <v>26.9</v>
      </c>
      <c r="R21" s="397">
        <f>'Provider Relief (expired)'!R11</f>
        <v>20</v>
      </c>
      <c r="S21" s="397">
        <f>'Provider Relief (expired)'!S11</f>
        <v>8.1</v>
      </c>
      <c r="T21" s="397">
        <f>'Provider Relief (expired)'!T11</f>
        <v>4.9000000000000004</v>
      </c>
      <c r="U21" s="397">
        <v>0</v>
      </c>
      <c r="V21" s="735">
        <v>0</v>
      </c>
      <c r="W21" s="656">
        <v>0</v>
      </c>
      <c r="X21" s="656">
        <v>0</v>
      </c>
      <c r="Y21" s="656">
        <v>0</v>
      </c>
      <c r="Z21" s="656">
        <v>0</v>
      </c>
      <c r="AA21" s="656">
        <v>0</v>
      </c>
      <c r="AB21" s="656">
        <v>0</v>
      </c>
      <c r="AC21" s="731">
        <v>0</v>
      </c>
    </row>
    <row r="22" spans="1:101" ht="21.65" customHeight="1" x14ac:dyDescent="0.35">
      <c r="B22" s="418" t="s">
        <v>468</v>
      </c>
      <c r="C22" s="235"/>
      <c r="D22" s="583"/>
      <c r="E22" s="490"/>
      <c r="F22" s="490"/>
      <c r="G22" s="490"/>
      <c r="H22" s="490"/>
      <c r="I22" s="490"/>
      <c r="J22" s="490">
        <f>'PPP (expired)'!J53</f>
        <v>57.2</v>
      </c>
      <c r="K22" s="490">
        <f>'PPP (expired)'!K53</f>
        <v>81.2</v>
      </c>
      <c r="L22" s="490">
        <f>'PPP (expired)'!L53</f>
        <v>24.4</v>
      </c>
      <c r="M22" s="490">
        <f>'PPP (expired)'!M53</f>
        <v>11.7</v>
      </c>
      <c r="N22" s="490">
        <f>'PPP (expired)'!N53</f>
        <v>28.5</v>
      </c>
      <c r="O22" s="490">
        <f>'PPP (expired)'!O53</f>
        <v>18.8</v>
      </c>
      <c r="P22" s="490">
        <f>'PPP (expired)'!P53</f>
        <v>1.6</v>
      </c>
      <c r="Q22" s="490">
        <f>'PPP (expired)'!Q53</f>
        <v>0</v>
      </c>
      <c r="R22" s="490">
        <f>'PPP (expired)'!R53</f>
        <v>0</v>
      </c>
      <c r="S22" s="490">
        <f>'PPP (expired)'!S53</f>
        <v>0</v>
      </c>
      <c r="T22" s="490">
        <f>'PPP (expired)'!T53</f>
        <v>0</v>
      </c>
      <c r="U22" s="490">
        <f>'PPP (expired)'!U53</f>
        <v>0</v>
      </c>
      <c r="V22" s="490">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4" customHeight="1" x14ac:dyDescent="0.35">
      <c r="B23" s="418" t="s">
        <v>218</v>
      </c>
      <c r="C23" s="672"/>
      <c r="D23" s="391"/>
      <c r="E23" s="397"/>
      <c r="F23" s="397"/>
      <c r="G23" s="397"/>
      <c r="H23" s="397"/>
      <c r="I23" s="397"/>
      <c r="J23" s="397"/>
      <c r="K23" s="397"/>
      <c r="L23" s="397"/>
      <c r="M23" s="490">
        <f>'ARP Quarterly'!C4</f>
        <v>0</v>
      </c>
      <c r="N23" s="490">
        <f>'ARP Quarterly'!D4</f>
        <v>0</v>
      </c>
      <c r="O23" s="490">
        <f>'ARP Quarterly'!E4</f>
        <v>3.1040000000000418</v>
      </c>
      <c r="P23" s="490">
        <f>'ARP Quarterly'!F4</f>
        <v>19.719000000000005</v>
      </c>
      <c r="Q23" s="490">
        <f>'ARP Quarterly'!G4</f>
        <v>19.719000000000005</v>
      </c>
      <c r="R23" s="490">
        <f>'ARP Quarterly'!H4</f>
        <v>19.719000000000005</v>
      </c>
      <c r="S23" s="490">
        <f>'ARP Quarterly'!I4</f>
        <v>19.719000000000005</v>
      </c>
      <c r="T23" s="490">
        <f>'ARP Quarterly'!J4</f>
        <v>1.4159999999999999</v>
      </c>
      <c r="U23" s="490">
        <f>'ARP Quarterly'!K4</f>
        <v>1.4159999999999999</v>
      </c>
      <c r="V23" s="490">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42" t="s">
        <v>1428</v>
      </c>
      <c r="C24" s="235"/>
      <c r="D24" s="583">
        <f>D85</f>
        <v>0</v>
      </c>
      <c r="E24" s="490">
        <f t="shared" ref="E24:AC24" si="1">E85</f>
        <v>0</v>
      </c>
      <c r="F24" s="490">
        <f t="shared" si="1"/>
        <v>0</v>
      </c>
      <c r="G24" s="490">
        <f t="shared" si="1"/>
        <v>0</v>
      </c>
      <c r="H24" s="490">
        <f t="shared" si="1"/>
        <v>0</v>
      </c>
      <c r="I24" s="490">
        <f t="shared" si="1"/>
        <v>6.9120000000000061</v>
      </c>
      <c r="J24" s="490">
        <f t="shared" si="1"/>
        <v>50.955000000000005</v>
      </c>
      <c r="K24" s="490">
        <f t="shared" si="1"/>
        <v>51.173999999999999</v>
      </c>
      <c r="L24" s="490">
        <f t="shared" si="1"/>
        <v>51.893999999999998</v>
      </c>
      <c r="M24" s="490">
        <f t="shared" si="1"/>
        <v>91.075000000000017</v>
      </c>
      <c r="N24" s="490">
        <f t="shared" si="1"/>
        <v>100.63400000000001</v>
      </c>
      <c r="O24" s="490">
        <f t="shared" si="1"/>
        <v>93.89100000000002</v>
      </c>
      <c r="P24" s="490">
        <f t="shared" si="1"/>
        <v>100.22800000000001</v>
      </c>
      <c r="Q24" s="490">
        <f t="shared" si="1"/>
        <v>76.838999999999999</v>
      </c>
      <c r="R24" s="490">
        <f t="shared" si="1"/>
        <v>73.637</v>
      </c>
      <c r="S24" s="490">
        <f t="shared" si="1"/>
        <v>70.649000000000001</v>
      </c>
      <c r="T24" s="490">
        <f t="shared" si="1"/>
        <v>91.718000000000018</v>
      </c>
      <c r="U24" s="490">
        <f t="shared" si="1"/>
        <v>83.695999999999998</v>
      </c>
      <c r="V24" s="490">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row>
    <row r="25" spans="1:101" ht="17.149999999999999" customHeight="1" x14ac:dyDescent="0.35">
      <c r="A25" t="s">
        <v>1847</v>
      </c>
      <c r="B25" s="739" t="s">
        <v>465</v>
      </c>
      <c r="C25" s="235" t="s">
        <v>466</v>
      </c>
      <c r="D25" s="490">
        <f>'Haver Pivoted'!GO31</f>
        <v>2223</v>
      </c>
      <c r="E25" s="490">
        <f>'Haver Pivoted'!GP31</f>
        <v>2303.8000000000002</v>
      </c>
      <c r="F25" s="490">
        <f>'Haver Pivoted'!GQ31</f>
        <v>2321.6999999999998</v>
      </c>
      <c r="G25" s="490">
        <f>'Haver Pivoted'!GR31</f>
        <v>2337.1</v>
      </c>
      <c r="H25" s="490">
        <f>'Haver Pivoted'!GS31</f>
        <v>2349.5</v>
      </c>
      <c r="I25" s="490">
        <f>'Haver Pivoted'!GT31</f>
        <v>2414.4</v>
      </c>
      <c r="J25" s="490">
        <f>'Haver Pivoted'!GU31</f>
        <v>4654.1000000000004</v>
      </c>
      <c r="K25" s="490">
        <f>'Haver Pivoted'!GV31</f>
        <v>3504.7</v>
      </c>
      <c r="L25" s="490">
        <f>'Haver Pivoted'!GW31</f>
        <v>2888.4</v>
      </c>
      <c r="M25" s="490">
        <f>'Haver Pivoted'!GX31</f>
        <v>5138.1000000000004</v>
      </c>
      <c r="N25" s="490">
        <f>'Haver Pivoted'!GY31</f>
        <v>3397.8</v>
      </c>
      <c r="O25" s="490">
        <f>'Haver Pivoted'!GZ31</f>
        <v>3124.9</v>
      </c>
      <c r="P25" s="490">
        <f>'Haver Pivoted'!HA31</f>
        <v>2952.6</v>
      </c>
      <c r="Q25" s="490">
        <f>'Haver Pivoted'!HB31</f>
        <v>2970.9</v>
      </c>
      <c r="R25" s="490">
        <f>'Haver Pivoted'!HC31</f>
        <v>2976.2</v>
      </c>
      <c r="S25" s="490">
        <f>'Haver Pivoted'!HD31</f>
        <v>2970.4</v>
      </c>
      <c r="T25" s="490">
        <f>'Haver Pivoted'!HE31</f>
        <v>3024.4</v>
      </c>
      <c r="U25" s="490">
        <f>'Haver Pivoted'!HF31</f>
        <v>3038.4</v>
      </c>
      <c r="V25" s="490">
        <f>'Haver Pivoted'!HG31</f>
        <v>3049.1</v>
      </c>
      <c r="W25" s="656"/>
      <c r="X25" s="656"/>
      <c r="Y25" s="656"/>
      <c r="Z25" s="656"/>
      <c r="AA25" s="656"/>
      <c r="AB25" s="656"/>
      <c r="AC25" s="656"/>
    </row>
    <row r="26" spans="1:101" ht="17.149999999999999" customHeight="1" x14ac:dyDescent="0.35">
      <c r="B26" s="255" t="s">
        <v>1846</v>
      </c>
      <c r="C26" s="235"/>
      <c r="D26" s="490">
        <f>D27+D28</f>
        <v>812.1</v>
      </c>
      <c r="E26" s="490">
        <f t="shared" ref="E26:V26" si="2">E27+E28</f>
        <v>833.1</v>
      </c>
      <c r="F26" s="490">
        <f t="shared" si="2"/>
        <v>845.8</v>
      </c>
      <c r="G26" s="490">
        <f t="shared" si="2"/>
        <v>854.4</v>
      </c>
      <c r="H26" s="490">
        <f t="shared" si="2"/>
        <v>858.7</v>
      </c>
      <c r="I26" s="490">
        <f t="shared" si="2"/>
        <v>878.91200000000003</v>
      </c>
      <c r="J26" s="490">
        <f t="shared" si="2"/>
        <v>2982.0549999999998</v>
      </c>
      <c r="K26" s="490">
        <f t="shared" si="2"/>
        <v>1804.7740000000001</v>
      </c>
      <c r="L26" s="490">
        <f t="shared" si="2"/>
        <v>1272.9939999999999</v>
      </c>
      <c r="M26" s="490">
        <f>M27+M28</f>
        <v>3509.5749999999998</v>
      </c>
      <c r="N26" s="490">
        <f t="shared" si="2"/>
        <v>1765.634</v>
      </c>
      <c r="O26" s="490">
        <f t="shared" si="2"/>
        <v>1473.5283333333332</v>
      </c>
      <c r="P26" s="490">
        <f t="shared" si="2"/>
        <v>1293.0803333333331</v>
      </c>
      <c r="Q26" s="490">
        <f t="shared" si="2"/>
        <v>1132.9580000000001</v>
      </c>
      <c r="R26" s="490">
        <f t="shared" si="2"/>
        <v>1135.9559999999999</v>
      </c>
      <c r="S26" s="490">
        <f t="shared" si="2"/>
        <v>1145.1679999999999</v>
      </c>
      <c r="T26" s="490">
        <f t="shared" si="2"/>
        <v>1171.8340000000001</v>
      </c>
      <c r="U26" s="490">
        <f t="shared" si="2"/>
        <v>1130.3120000000001</v>
      </c>
      <c r="V26" s="490">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49999999999999" customHeight="1" x14ac:dyDescent="0.35">
      <c r="B27" s="410" t="s">
        <v>1845</v>
      </c>
      <c r="C27" s="235"/>
      <c r="D27" s="583">
        <f t="shared" ref="D27:V27" si="9">D13+D14+D17</f>
        <v>812.1</v>
      </c>
      <c r="E27" s="490">
        <f t="shared" si="9"/>
        <v>833.1</v>
      </c>
      <c r="F27" s="490">
        <f t="shared" si="9"/>
        <v>845.8</v>
      </c>
      <c r="G27" s="490">
        <f t="shared" si="9"/>
        <v>854.4</v>
      </c>
      <c r="H27" s="490">
        <f t="shared" si="9"/>
        <v>858.7</v>
      </c>
      <c r="I27" s="490">
        <f t="shared" si="9"/>
        <v>872</v>
      </c>
      <c r="J27" s="490">
        <f t="shared" si="9"/>
        <v>1795.8</v>
      </c>
      <c r="K27" s="490">
        <f t="shared" si="9"/>
        <v>1656.8000000000002</v>
      </c>
      <c r="L27" s="490">
        <f t="shared" si="9"/>
        <v>1191.6999999999998</v>
      </c>
      <c r="M27" s="490">
        <f t="shared" si="9"/>
        <v>1473.1</v>
      </c>
      <c r="N27" s="490">
        <f t="shared" si="9"/>
        <v>1346.4</v>
      </c>
      <c r="O27" s="490">
        <f t="shared" si="9"/>
        <v>1318.833333333333</v>
      </c>
      <c r="P27" s="490">
        <f t="shared" si="9"/>
        <v>1157.333333333333</v>
      </c>
      <c r="Q27" s="490">
        <f t="shared" si="9"/>
        <v>1036.4000000000001</v>
      </c>
      <c r="R27" s="490">
        <f t="shared" si="9"/>
        <v>1042.5999999999999</v>
      </c>
      <c r="S27" s="490">
        <f t="shared" si="9"/>
        <v>1054.8</v>
      </c>
      <c r="T27" s="490">
        <f t="shared" si="9"/>
        <v>1078.7</v>
      </c>
      <c r="U27" s="490">
        <f t="shared" si="9"/>
        <v>1045.2</v>
      </c>
      <c r="V27" s="490">
        <f t="shared" si="9"/>
        <v>1066.76</v>
      </c>
      <c r="W27" s="656"/>
      <c r="X27" s="656"/>
      <c r="Y27" s="656"/>
      <c r="Z27" s="656"/>
      <c r="AA27" s="656"/>
      <c r="AB27" s="656"/>
      <c r="AC27" s="731"/>
    </row>
    <row r="28" spans="1:101" ht="28.5" customHeight="1" x14ac:dyDescent="0.35">
      <c r="B28" s="410" t="s">
        <v>1842</v>
      </c>
      <c r="C28" s="235"/>
      <c r="D28" s="391">
        <f t="shared" ref="D28:AC28" si="10">D18+D23+D24+D22</f>
        <v>0</v>
      </c>
      <c r="E28" s="397">
        <f t="shared" si="10"/>
        <v>0</v>
      </c>
      <c r="F28" s="397">
        <f t="shared" si="10"/>
        <v>0</v>
      </c>
      <c r="G28" s="397">
        <f t="shared" si="10"/>
        <v>0</v>
      </c>
      <c r="H28" s="397">
        <f t="shared" si="10"/>
        <v>0</v>
      </c>
      <c r="I28" s="397">
        <f t="shared" si="10"/>
        <v>6.9120000000000061</v>
      </c>
      <c r="J28" s="397">
        <f t="shared" si="10"/>
        <v>1186.2549999999999</v>
      </c>
      <c r="K28" s="397">
        <f t="shared" si="10"/>
        <v>147.97399999999999</v>
      </c>
      <c r="L28" s="397">
        <f t="shared" si="10"/>
        <v>81.293999999999997</v>
      </c>
      <c r="M28" s="397">
        <f t="shared" si="10"/>
        <v>2036.4749999999999</v>
      </c>
      <c r="N28" s="397">
        <f t="shared" si="10"/>
        <v>419.23400000000004</v>
      </c>
      <c r="O28" s="397">
        <f t="shared" si="10"/>
        <v>154.69500000000008</v>
      </c>
      <c r="P28" s="397">
        <f t="shared" si="10"/>
        <v>135.74700000000001</v>
      </c>
      <c r="Q28" s="397">
        <f t="shared" si="10"/>
        <v>96.558000000000007</v>
      </c>
      <c r="R28" s="397">
        <f t="shared" si="10"/>
        <v>93.356000000000009</v>
      </c>
      <c r="S28" s="397">
        <f t="shared" si="10"/>
        <v>90.368000000000009</v>
      </c>
      <c r="T28" s="397">
        <f t="shared" si="10"/>
        <v>93.134000000000015</v>
      </c>
      <c r="U28" s="397">
        <f t="shared" si="10"/>
        <v>85.111999999999995</v>
      </c>
      <c r="V28" s="397">
        <f t="shared" si="10"/>
        <v>53.395000000000003</v>
      </c>
      <c r="W28" s="347">
        <f t="shared" si="10"/>
        <v>53.395000000000003</v>
      </c>
      <c r="X28" s="347">
        <f t="shared" si="10"/>
        <v>53.458000000000006</v>
      </c>
      <c r="Y28" s="347">
        <f t="shared" si="10"/>
        <v>53.458000000000006</v>
      </c>
      <c r="Z28" s="347">
        <f t="shared" si="10"/>
        <v>53.458000000000006</v>
      </c>
      <c r="AA28" s="347">
        <f t="shared" si="10"/>
        <v>53.458000000000006</v>
      </c>
      <c r="AB28" s="347">
        <f t="shared" si="10"/>
        <v>53.609000000000009</v>
      </c>
      <c r="AC28" s="347">
        <f t="shared" si="10"/>
        <v>53.609000000000009</v>
      </c>
    </row>
    <row r="29" spans="1:101" x14ac:dyDescent="0.35">
      <c r="B29" s="418" t="s">
        <v>1848</v>
      </c>
      <c r="C29" s="235"/>
      <c r="D29" s="397">
        <f>D25-D26</f>
        <v>1410.9</v>
      </c>
      <c r="E29" s="397">
        <f t="shared" ref="E29:V29" si="11">E25-E26</f>
        <v>1470.7000000000003</v>
      </c>
      <c r="F29" s="397">
        <f t="shared" si="11"/>
        <v>1475.8999999999999</v>
      </c>
      <c r="G29" s="397">
        <f t="shared" si="11"/>
        <v>1482.6999999999998</v>
      </c>
      <c r="H29" s="397">
        <f t="shared" si="11"/>
        <v>1490.8</v>
      </c>
      <c r="I29" s="397">
        <f t="shared" si="11"/>
        <v>1535.4880000000001</v>
      </c>
      <c r="J29" s="397">
        <f t="shared" si="11"/>
        <v>1672.0450000000005</v>
      </c>
      <c r="K29" s="397">
        <f t="shared" si="11"/>
        <v>1699.9259999999997</v>
      </c>
      <c r="L29" s="397">
        <f t="shared" si="11"/>
        <v>1615.4060000000002</v>
      </c>
      <c r="M29" s="397">
        <f t="shared" si="11"/>
        <v>1628.5250000000005</v>
      </c>
      <c r="N29" s="397">
        <f t="shared" si="11"/>
        <v>1632.1660000000002</v>
      </c>
      <c r="O29" s="397">
        <f t="shared" si="11"/>
        <v>1651.3716666666669</v>
      </c>
      <c r="P29" s="397">
        <f t="shared" si="11"/>
        <v>1659.5196666666668</v>
      </c>
      <c r="Q29" s="397">
        <f t="shared" si="11"/>
        <v>1837.942</v>
      </c>
      <c r="R29" s="397">
        <f t="shared" si="11"/>
        <v>1840.2439999999999</v>
      </c>
      <c r="S29" s="397">
        <f t="shared" si="11"/>
        <v>1825.2320000000002</v>
      </c>
      <c r="T29" s="397">
        <f t="shared" si="11"/>
        <v>1852.566</v>
      </c>
      <c r="U29" s="397">
        <f t="shared" si="11"/>
        <v>1908.088</v>
      </c>
      <c r="V29" s="397">
        <f t="shared" si="11"/>
        <v>1928.9449999999999</v>
      </c>
      <c r="W29" s="347"/>
      <c r="X29" s="347"/>
      <c r="Y29" s="347"/>
      <c r="Z29" s="347"/>
      <c r="AA29" s="347"/>
      <c r="AB29" s="347"/>
      <c r="AC29" s="347"/>
    </row>
    <row r="30" spans="1:101" ht="18" customHeight="1" x14ac:dyDescent="0.35">
      <c r="B30" s="278" t="s">
        <v>1839</v>
      </c>
      <c r="C30" s="235"/>
      <c r="D30" s="262"/>
      <c r="E30" s="231"/>
      <c r="F30" s="231"/>
      <c r="G30" s="231"/>
      <c r="H30" s="231"/>
      <c r="I30" s="231"/>
      <c r="J30" s="231"/>
      <c r="K30" s="231"/>
      <c r="L30" s="231"/>
      <c r="M30" s="231"/>
      <c r="N30" s="231"/>
      <c r="O30" s="231"/>
      <c r="P30" s="231"/>
      <c r="Q30" s="231"/>
      <c r="R30" s="231"/>
      <c r="S30" s="231"/>
      <c r="T30" s="231"/>
      <c r="U30" s="231"/>
      <c r="V30" s="490"/>
      <c r="W30" s="656"/>
      <c r="X30" s="656"/>
      <c r="Y30" s="656"/>
      <c r="Z30" s="656"/>
      <c r="AA30" s="656"/>
      <c r="AB30" s="656"/>
      <c r="AC30" s="731"/>
    </row>
    <row r="31" spans="1:101" ht="18" customHeight="1" x14ac:dyDescent="0.35">
      <c r="B31" s="278" t="s">
        <v>1840</v>
      </c>
      <c r="C31" s="235"/>
      <c r="D31" s="262"/>
      <c r="E31" s="231"/>
      <c r="F31" s="231"/>
      <c r="G31" s="231"/>
      <c r="H31" s="231"/>
      <c r="I31" s="231"/>
      <c r="J31" s="231"/>
      <c r="K31" s="231"/>
      <c r="L31" s="231"/>
      <c r="M31" s="231"/>
      <c r="N31" s="231"/>
      <c r="O31" s="231"/>
      <c r="P31" s="231"/>
      <c r="Q31" s="231"/>
      <c r="R31" s="231"/>
      <c r="S31" s="231"/>
      <c r="T31" s="231"/>
      <c r="U31" s="231"/>
      <c r="V31" s="490"/>
      <c r="W31" s="656"/>
      <c r="X31" s="656"/>
      <c r="Y31" s="656"/>
      <c r="Z31" s="656"/>
      <c r="AA31" s="656"/>
      <c r="AB31" s="656"/>
      <c r="AC31" s="731"/>
    </row>
    <row r="32" spans="1:101" ht="20.149999999999999" customHeight="1" x14ac:dyDescent="0.35">
      <c r="B32" s="258" t="s">
        <v>470</v>
      </c>
      <c r="C32" s="253"/>
      <c r="D32" s="706"/>
      <c r="E32" s="623"/>
      <c r="F32" s="623"/>
      <c r="G32" s="62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6">
        <f>'ARP Quarterly'!L5</f>
        <v>12</v>
      </c>
      <c r="W32" s="552">
        <f>'ARP Quarterly'!M5</f>
        <v>12</v>
      </c>
      <c r="X32" s="552">
        <f>'ARP Quarterly'!N5</f>
        <v>4.2219999999999995</v>
      </c>
      <c r="Y32" s="552">
        <f>'ARP Quarterly'!O5</f>
        <v>4.2219999999999995</v>
      </c>
      <c r="Z32" s="552">
        <f>'ARP Quarterly'!P5</f>
        <v>4.2219999999999995</v>
      </c>
      <c r="AA32" s="552">
        <f>'ARP Quarterly'!Q5</f>
        <v>4.2219999999999995</v>
      </c>
      <c r="AB32" s="552">
        <f>'ARP Quarterly'!R5</f>
        <v>2.3719999999999999</v>
      </c>
      <c r="AC32" s="728">
        <f>'ARP Quarterly'!S5</f>
        <v>2.3719999999999999</v>
      </c>
    </row>
    <row r="33" spans="2:101" ht="22.4" customHeight="1" x14ac:dyDescent="0.35">
      <c r="B33" s="242" t="s">
        <v>218</v>
      </c>
      <c r="C33" s="672"/>
      <c r="D33" s="262"/>
      <c r="E33" s="231"/>
      <c r="F33" s="231"/>
      <c r="G33" s="231"/>
      <c r="H33" s="231"/>
      <c r="I33" s="231"/>
      <c r="J33" s="231"/>
      <c r="K33" s="231"/>
      <c r="L33" s="231"/>
      <c r="M33" s="490">
        <f>'ARP Quarterly'!C4</f>
        <v>0</v>
      </c>
      <c r="N33" s="490">
        <f>'ARP Quarterly'!D4</f>
        <v>0</v>
      </c>
      <c r="O33" s="490">
        <f>'ARP Quarterly'!E4</f>
        <v>3.1040000000000418</v>
      </c>
      <c r="P33" s="490">
        <f>'ARP Quarterly'!F4</f>
        <v>19.719000000000005</v>
      </c>
      <c r="Q33" s="490">
        <f>'ARP Quarterly'!G4</f>
        <v>19.719000000000005</v>
      </c>
      <c r="R33" s="490">
        <f>'ARP Quarterly'!H4</f>
        <v>19.719000000000005</v>
      </c>
      <c r="S33" s="490">
        <f>'ARP Quarterly'!I4</f>
        <v>19.719000000000005</v>
      </c>
      <c r="T33" s="490">
        <f>'ARP Quarterly'!J4</f>
        <v>1.4159999999999999</v>
      </c>
      <c r="U33" s="490">
        <f>'ARP Quarterly'!K4</f>
        <v>1.4159999999999999</v>
      </c>
      <c r="V33" s="490">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42" t="s">
        <v>1428</v>
      </c>
      <c r="C34" s="235"/>
      <c r="D34" s="263">
        <f>D85</f>
        <v>0</v>
      </c>
      <c r="E34" s="219">
        <f t="shared" ref="E34:AC34" si="12">E85</f>
        <v>0</v>
      </c>
      <c r="F34" s="219">
        <f t="shared" si="12"/>
        <v>0</v>
      </c>
      <c r="G34" s="219">
        <f t="shared" si="12"/>
        <v>0</v>
      </c>
      <c r="H34" s="219">
        <f t="shared" si="12"/>
        <v>0</v>
      </c>
      <c r="I34" s="490">
        <f t="shared" si="12"/>
        <v>6.9120000000000061</v>
      </c>
      <c r="J34" s="490">
        <f t="shared" si="12"/>
        <v>50.955000000000005</v>
      </c>
      <c r="K34" s="490">
        <f t="shared" si="12"/>
        <v>51.173999999999999</v>
      </c>
      <c r="L34" s="490">
        <f t="shared" si="12"/>
        <v>51.893999999999998</v>
      </c>
      <c r="M34" s="490">
        <f t="shared" si="12"/>
        <v>91.075000000000017</v>
      </c>
      <c r="N34" s="490">
        <f t="shared" si="12"/>
        <v>100.63400000000001</v>
      </c>
      <c r="O34" s="490">
        <f t="shared" si="12"/>
        <v>93.89100000000002</v>
      </c>
      <c r="P34" s="490">
        <f t="shared" si="12"/>
        <v>100.22800000000001</v>
      </c>
      <c r="Q34" s="490">
        <f t="shared" si="12"/>
        <v>76.838999999999999</v>
      </c>
      <c r="R34" s="490">
        <f t="shared" si="12"/>
        <v>73.637</v>
      </c>
      <c r="S34" s="490">
        <f t="shared" si="12"/>
        <v>70.649000000000001</v>
      </c>
      <c r="T34" s="490">
        <f t="shared" si="12"/>
        <v>91.718000000000018</v>
      </c>
      <c r="U34" s="490">
        <f t="shared" si="12"/>
        <v>83.695999999999998</v>
      </c>
      <c r="V34" s="490">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c r="CT34" s="235"/>
      <c r="CU34" s="235"/>
      <c r="CV34" s="235"/>
    </row>
    <row r="35" spans="2:101" ht="15.65" customHeight="1" x14ac:dyDescent="0.35">
      <c r="B35" s="737" t="s">
        <v>796</v>
      </c>
      <c r="C35" s="235" t="s">
        <v>823</v>
      </c>
      <c r="D35" s="262">
        <v>30</v>
      </c>
      <c r="E35" s="231">
        <v>30</v>
      </c>
      <c r="F35" s="231">
        <v>30</v>
      </c>
      <c r="G35" s="231">
        <v>30</v>
      </c>
      <c r="H35" s="231">
        <v>30</v>
      </c>
      <c r="I35" s="231">
        <v>30</v>
      </c>
      <c r="J35" s="231">
        <v>30</v>
      </c>
      <c r="K35" s="227">
        <v>30.2</v>
      </c>
      <c r="L35" s="227">
        <v>30.2</v>
      </c>
      <c r="M35" s="227">
        <f>'Haver Pivoted'!GX89</f>
        <v>34.4</v>
      </c>
      <c r="N35" s="227">
        <f>'Haver Pivoted'!GY89</f>
        <v>34.4</v>
      </c>
      <c r="O35" s="227">
        <f>'Haver Pivoted'!GZ89</f>
        <v>218.933333333333</v>
      </c>
      <c r="P35" s="227">
        <f>'Haver Pivoted'!HA89</f>
        <v>223.13333333333301</v>
      </c>
      <c r="Q35" s="227">
        <f>'Haver Pivoted'!HB89</f>
        <v>94.3</v>
      </c>
      <c r="R35" s="227">
        <f>'Haver Pivoted'!HC89</f>
        <v>94.3</v>
      </c>
      <c r="S35" s="447">
        <f>'Haver Pivoted'!HD89</f>
        <v>94.3</v>
      </c>
      <c r="T35" s="447">
        <f>'Haver Pivoted'!HE89</f>
        <v>94.3</v>
      </c>
      <c r="U35" s="656">
        <v>34</v>
      </c>
      <c r="V35" s="490">
        <v>34</v>
      </c>
      <c r="W35" s="656">
        <v>34</v>
      </c>
      <c r="X35" s="656">
        <v>34</v>
      </c>
      <c r="Y35" s="656">
        <v>34</v>
      </c>
      <c r="Z35" s="656">
        <v>34</v>
      </c>
      <c r="AA35" s="656">
        <v>34</v>
      </c>
      <c r="AB35" s="656">
        <v>34</v>
      </c>
      <c r="AC35" s="731">
        <v>34</v>
      </c>
    </row>
    <row r="36" spans="2:101" ht="21.65" customHeight="1" x14ac:dyDescent="0.35">
      <c r="B36" s="242" t="s">
        <v>468</v>
      </c>
      <c r="C36" s="235"/>
      <c r="D36" s="263"/>
      <c r="E36" s="219"/>
      <c r="F36" s="219"/>
      <c r="G36" s="219"/>
      <c r="H36" s="490"/>
      <c r="I36" s="490"/>
      <c r="J36" s="490">
        <f>'PPP (expired)'!J53</f>
        <v>57.2</v>
      </c>
      <c r="K36" s="490">
        <f>'PPP (expired)'!K53</f>
        <v>81.2</v>
      </c>
      <c r="L36" s="490">
        <f>'PPP (expired)'!L53</f>
        <v>24.4</v>
      </c>
      <c r="M36" s="490">
        <f>'PPP (expired)'!M53</f>
        <v>11.7</v>
      </c>
      <c r="N36" s="490">
        <f>'PPP (expired)'!N53</f>
        <v>28.5</v>
      </c>
      <c r="O36" s="490">
        <f>'PPP (expired)'!O53</f>
        <v>18.8</v>
      </c>
      <c r="P36" s="490">
        <f>'PPP (expired)'!P53</f>
        <v>1.6</v>
      </c>
      <c r="Q36" s="490">
        <f>'PPP (expired)'!Q53</f>
        <v>0</v>
      </c>
      <c r="R36" s="490">
        <f>'PPP (expired)'!Q61</f>
        <v>0</v>
      </c>
      <c r="S36" s="490">
        <f>'PPP (expired)'!S53</f>
        <v>0</v>
      </c>
      <c r="T36" s="490">
        <f>'PPP (expired)'!T53</f>
        <v>0</v>
      </c>
      <c r="U36" s="490">
        <f>'PPP (expired)'!U53</f>
        <v>0</v>
      </c>
      <c r="V36" s="490">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5" customHeight="1" x14ac:dyDescent="0.35">
      <c r="B37" s="278" t="s">
        <v>797</v>
      </c>
      <c r="C37" s="235"/>
      <c r="D37" s="583">
        <f t="shared" ref="D37:AC37" si="13">D109</f>
        <v>0</v>
      </c>
      <c r="E37" s="490">
        <f t="shared" si="13"/>
        <v>0</v>
      </c>
      <c r="F37" s="490">
        <f t="shared" si="13"/>
        <v>0</v>
      </c>
      <c r="G37" s="490">
        <f t="shared" si="13"/>
        <v>0</v>
      </c>
      <c r="H37" s="490">
        <f t="shared" si="13"/>
        <v>0</v>
      </c>
      <c r="I37" s="490">
        <f t="shared" si="13"/>
        <v>-6.9120000000000346</v>
      </c>
      <c r="J37" s="490">
        <f t="shared" si="13"/>
        <v>-37.9549999999997</v>
      </c>
      <c r="K37" s="490">
        <f t="shared" si="13"/>
        <v>85.725999999999658</v>
      </c>
      <c r="L37" s="490">
        <f t="shared" si="13"/>
        <v>18.405999999999722</v>
      </c>
      <c r="M37" s="490">
        <f t="shared" si="13"/>
        <v>20.282000000000153</v>
      </c>
      <c r="N37" s="490">
        <f t="shared" si="13"/>
        <v>-8.5988400000003367</v>
      </c>
      <c r="O37" s="490">
        <f t="shared" si="13"/>
        <v>-12.537493333333487</v>
      </c>
      <c r="P37" s="490">
        <f t="shared" si="13"/>
        <v>-32.38033333333351</v>
      </c>
      <c r="Q37" s="490">
        <f t="shared" si="13"/>
        <v>72.734879999999521</v>
      </c>
      <c r="R37" s="490">
        <f t="shared" si="13"/>
        <v>75.236879999999019</v>
      </c>
      <c r="S37" s="490">
        <f t="shared" si="13"/>
        <v>65.424879999999348</v>
      </c>
      <c r="T37" s="490">
        <f t="shared" si="13"/>
        <v>112.01587999999924</v>
      </c>
      <c r="U37" s="734">
        <f t="shared" si="13"/>
        <v>77.109026999999287</v>
      </c>
      <c r="V37" s="490">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x14ac:dyDescent="0.35">
      <c r="B38" s="258" t="s">
        <v>794</v>
      </c>
      <c r="C38" s="253"/>
      <c r="D38" s="706">
        <f t="shared" ref="D38:AC38" si="14">D33+D21</f>
        <v>0</v>
      </c>
      <c r="E38" s="623">
        <f t="shared" si="14"/>
        <v>0</v>
      </c>
      <c r="F38" s="623">
        <f t="shared" si="14"/>
        <v>0</v>
      </c>
      <c r="G38" s="623">
        <f t="shared" si="14"/>
        <v>0</v>
      </c>
      <c r="H38" s="623">
        <f t="shared" si="14"/>
        <v>0</v>
      </c>
      <c r="I38" s="623">
        <f t="shared" si="14"/>
        <v>0</v>
      </c>
      <c r="J38" s="623">
        <f t="shared" si="14"/>
        <v>160.9</v>
      </c>
      <c r="K38" s="623">
        <f t="shared" si="14"/>
        <v>58.4</v>
      </c>
      <c r="L38" s="623">
        <f t="shared" si="14"/>
        <v>34.5</v>
      </c>
      <c r="M38" s="623">
        <f t="shared" si="14"/>
        <v>21.4</v>
      </c>
      <c r="N38" s="623">
        <f t="shared" si="14"/>
        <v>13.3</v>
      </c>
      <c r="O38" s="623">
        <f t="shared" si="14"/>
        <v>21.804000000000041</v>
      </c>
      <c r="P38" s="549">
        <f t="shared" si="14"/>
        <v>51.919000000000011</v>
      </c>
      <c r="Q38" s="623">
        <f t="shared" si="14"/>
        <v>46.619</v>
      </c>
      <c r="R38" s="623">
        <f t="shared" si="14"/>
        <v>39.719000000000008</v>
      </c>
      <c r="S38" s="623">
        <f t="shared" si="14"/>
        <v>27.819000000000003</v>
      </c>
      <c r="T38" s="549">
        <f t="shared" si="14"/>
        <v>6.3160000000000007</v>
      </c>
      <c r="U38" s="549">
        <f t="shared" si="14"/>
        <v>1.4159999999999999</v>
      </c>
      <c r="V38" s="736">
        <f t="shared" si="14"/>
        <v>1.4159999999999999</v>
      </c>
      <c r="W38" s="552">
        <f t="shared" si="14"/>
        <v>1.4159999999999999</v>
      </c>
      <c r="X38" s="552">
        <f t="shared" si="14"/>
        <v>1.4790000000000001</v>
      </c>
      <c r="Y38" s="552">
        <f t="shared" si="14"/>
        <v>1.4790000000000001</v>
      </c>
      <c r="Z38" s="552">
        <f t="shared" si="14"/>
        <v>1.4790000000000001</v>
      </c>
      <c r="AA38" s="552">
        <f t="shared" si="14"/>
        <v>1.4790000000000001</v>
      </c>
      <c r="AB38" s="552">
        <f t="shared" si="14"/>
        <v>1.63</v>
      </c>
      <c r="AC38" s="552">
        <f t="shared" si="14"/>
        <v>1.63</v>
      </c>
    </row>
    <row r="39" spans="2:101" ht="44.9" customHeight="1" x14ac:dyDescent="0.35">
      <c r="B39" s="242" t="s">
        <v>801</v>
      </c>
      <c r="C39" s="235"/>
      <c r="D39" s="583">
        <f t="shared" ref="D39:AC39" si="15">D101</f>
        <v>1410.9</v>
      </c>
      <c r="E39" s="490">
        <f t="shared" si="15"/>
        <v>1470.7000000000003</v>
      </c>
      <c r="F39" s="490">
        <f t="shared" si="15"/>
        <v>1475.8999999999996</v>
      </c>
      <c r="G39" s="490">
        <f t="shared" si="15"/>
        <v>1482.6999999999998</v>
      </c>
      <c r="H39" s="490">
        <f t="shared" si="15"/>
        <v>1490.8000000000002</v>
      </c>
      <c r="I39" s="490">
        <f t="shared" si="15"/>
        <v>1542.4</v>
      </c>
      <c r="J39" s="490">
        <f t="shared" si="15"/>
        <v>1549.1000000000001</v>
      </c>
      <c r="K39" s="490">
        <f t="shared" si="15"/>
        <v>1555.8000000000002</v>
      </c>
      <c r="L39" s="490">
        <f t="shared" si="15"/>
        <v>1562.5000000000002</v>
      </c>
      <c r="M39" s="490">
        <f t="shared" si="15"/>
        <v>1586.8430000000003</v>
      </c>
      <c r="N39" s="490">
        <f t="shared" si="15"/>
        <v>1593.5430000000003</v>
      </c>
      <c r="O39" s="490">
        <f t="shared" si="15"/>
        <v>1600.2430000000004</v>
      </c>
      <c r="P39" s="490">
        <f t="shared" si="15"/>
        <v>1606.9430000000004</v>
      </c>
      <c r="Q39" s="490">
        <f t="shared" si="15"/>
        <v>1685.5501200000006</v>
      </c>
      <c r="R39" s="490">
        <f t="shared" si="15"/>
        <v>1692.2501200000006</v>
      </c>
      <c r="S39" s="490">
        <f t="shared" si="15"/>
        <v>1698.9501200000007</v>
      </c>
      <c r="T39" s="490">
        <f t="shared" si="15"/>
        <v>1705.6501200000007</v>
      </c>
      <c r="U39" s="490">
        <f t="shared" si="15"/>
        <v>1818.9789730000007</v>
      </c>
      <c r="V39" s="490">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9" customHeight="1" x14ac:dyDescent="0.35">
      <c r="B40" s="419" t="s">
        <v>1180</v>
      </c>
      <c r="D40" s="583"/>
      <c r="E40" s="490"/>
      <c r="F40" s="490"/>
      <c r="G40" s="490"/>
      <c r="H40" s="490"/>
      <c r="I40" s="490"/>
      <c r="J40" s="490"/>
      <c r="K40" s="490"/>
      <c r="L40" s="490"/>
      <c r="M40" s="490"/>
      <c r="N40" s="490"/>
      <c r="O40" s="490"/>
      <c r="P40" s="490"/>
      <c r="Q40" s="490"/>
      <c r="R40" s="490"/>
      <c r="S40" s="660">
        <f>'IRA and CHIPS'!E191</f>
        <v>-0.622</v>
      </c>
      <c r="T40" s="660">
        <f>'IRA and CHIPS'!F191</f>
        <v>21.89</v>
      </c>
      <c r="U40" s="660">
        <f>'IRA and CHIPS'!G191</f>
        <v>21.89</v>
      </c>
      <c r="V40" s="660">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40">
        <f>'IRA and CHIPS'!O191</f>
        <v>16.966999999999999</v>
      </c>
    </row>
    <row r="41" spans="2:101" ht="31.4" customHeight="1" x14ac:dyDescent="0.35">
      <c r="B41" s="571" t="s">
        <v>798</v>
      </c>
      <c r="C41" s="253"/>
      <c r="D41" s="549">
        <f t="shared" ref="D41:R41" si="16">D39+SUM(D34:D37)+D40</f>
        <v>1440.9</v>
      </c>
      <c r="E41" s="549">
        <f t="shared" si="16"/>
        <v>1500.7000000000003</v>
      </c>
      <c r="F41" s="549">
        <f t="shared" si="16"/>
        <v>1505.8999999999996</v>
      </c>
      <c r="G41" s="549">
        <f t="shared" si="16"/>
        <v>1512.6999999999998</v>
      </c>
      <c r="H41" s="549">
        <f t="shared" si="16"/>
        <v>1520.8000000000002</v>
      </c>
      <c r="I41" s="549">
        <f t="shared" si="16"/>
        <v>1572.4</v>
      </c>
      <c r="J41" s="549">
        <f t="shared" si="16"/>
        <v>1649.3000000000004</v>
      </c>
      <c r="K41" s="549">
        <f t="shared" si="16"/>
        <v>1804.1</v>
      </c>
      <c r="L41" s="549">
        <f t="shared" si="16"/>
        <v>1687.3999999999999</v>
      </c>
      <c r="M41" s="549">
        <f t="shared" si="16"/>
        <v>1744.3000000000004</v>
      </c>
      <c r="N41" s="549">
        <f t="shared" si="16"/>
        <v>1748.4781600000001</v>
      </c>
      <c r="O41" s="549">
        <f t="shared" si="16"/>
        <v>1919.3298399999999</v>
      </c>
      <c r="P41" s="549">
        <f t="shared" si="16"/>
        <v>1899.5239999999999</v>
      </c>
      <c r="Q41" s="549">
        <f t="shared" si="16"/>
        <v>1929.424</v>
      </c>
      <c r="R41" s="549">
        <f t="shared" si="16"/>
        <v>1935.4239999999995</v>
      </c>
      <c r="S41" s="549">
        <f>S39+SUM(S34:S37)+S40</f>
        <v>1928.702</v>
      </c>
      <c r="T41" s="683">
        <f>T39+SUM(T34:T37)+T40</f>
        <v>2025.5740000000001</v>
      </c>
      <c r="U41" s="683">
        <f>U39+SUM(U34:U37)+U40</f>
        <v>2035.674</v>
      </c>
      <c r="V41" s="736">
        <f>V39+SUM(V34:V37)+V40</f>
        <v>2024.8140000000001</v>
      </c>
      <c r="W41" s="552">
        <f t="shared" ref="W41:AC41" si="17">W39+SUM(W34:W37)+W40</f>
        <v>2031.5140000000001</v>
      </c>
      <c r="X41" s="552">
        <f t="shared" si="17"/>
        <v>2031.7630000000001</v>
      </c>
      <c r="Y41" s="552">
        <f t="shared" si="17"/>
        <v>2081.1065446999996</v>
      </c>
      <c r="Z41" s="552">
        <f t="shared" si="17"/>
        <v>2087.8065446999999</v>
      </c>
      <c r="AA41" s="552">
        <f t="shared" si="17"/>
        <v>2094.5065446999997</v>
      </c>
      <c r="AB41" s="552">
        <f t="shared" si="17"/>
        <v>2102.7345447000002</v>
      </c>
      <c r="AC41" s="552">
        <f t="shared" si="17"/>
        <v>2139.0817550960001</v>
      </c>
    </row>
    <row r="42" spans="2:101" ht="31.4" customHeight="1" x14ac:dyDescent="0.35">
      <c r="B42" s="571"/>
      <c r="C42" s="253"/>
      <c r="D42" s="549"/>
      <c r="E42" s="549"/>
      <c r="F42" s="549"/>
      <c r="G42" s="549"/>
      <c r="H42" s="549"/>
      <c r="I42" s="549"/>
      <c r="J42" s="549"/>
      <c r="K42" s="549"/>
      <c r="L42" s="549"/>
      <c r="M42" s="549"/>
      <c r="N42" s="549"/>
      <c r="O42" s="549"/>
      <c r="P42" s="549"/>
      <c r="Q42" s="549"/>
      <c r="R42" s="549"/>
      <c r="S42" s="549"/>
      <c r="T42" s="549"/>
      <c r="U42" s="549"/>
      <c r="V42" s="549">
        <f>V12-SUM(V14,V17,V18,V21,V32,V33,V34,V35)+V40</f>
        <v>1938.835</v>
      </c>
      <c r="W42" s="552"/>
      <c r="X42" s="552"/>
      <c r="Y42" s="552"/>
      <c r="Z42" s="552"/>
      <c r="AA42" s="552"/>
      <c r="AB42" s="552"/>
      <c r="AC42" s="552"/>
    </row>
    <row r="43" spans="2:101" ht="31.4" customHeight="1" x14ac:dyDescent="0.35">
      <c r="B43" s="1360" t="s">
        <v>471</v>
      </c>
      <c r="C43" s="1361"/>
      <c r="D43" s="567"/>
      <c r="E43" s="568"/>
      <c r="F43" s="568"/>
      <c r="G43" s="568"/>
      <c r="H43" s="568"/>
      <c r="I43" s="568"/>
      <c r="J43" s="568"/>
      <c r="K43" s="568"/>
      <c r="L43" s="568"/>
      <c r="M43" s="568"/>
      <c r="N43" s="568"/>
      <c r="O43" s="568"/>
      <c r="P43" s="568"/>
      <c r="Q43" s="568"/>
      <c r="R43" s="568"/>
      <c r="S43" s="568"/>
      <c r="T43" s="549"/>
      <c r="U43" s="568"/>
      <c r="V43" s="549">
        <f>V39+V37</f>
        <v>1916.9449999999999</v>
      </c>
      <c r="W43" s="552"/>
      <c r="X43" s="552"/>
      <c r="Y43" s="552"/>
      <c r="Z43" s="552"/>
      <c r="AA43" s="552"/>
      <c r="AB43" s="552"/>
      <c r="AC43" s="728"/>
    </row>
    <row r="44" spans="2:101" x14ac:dyDescent="0.35">
      <c r="B44" s="278" t="s">
        <v>803</v>
      </c>
      <c r="C44" s="235" t="s">
        <v>472</v>
      </c>
      <c r="D44" s="263">
        <f>'Haver Pivoted'!GO37</f>
        <v>733.6</v>
      </c>
      <c r="E44" s="219">
        <f>'Haver Pivoted'!GP37</f>
        <v>744.3</v>
      </c>
      <c r="F44" s="219">
        <f>'Haver Pivoted'!GQ37</f>
        <v>762.3</v>
      </c>
      <c r="G44" s="219">
        <f>'Haver Pivoted'!GR37</f>
        <v>772.2</v>
      </c>
      <c r="H44" s="219">
        <f>'Haver Pivoted'!GS37</f>
        <v>772.1</v>
      </c>
      <c r="I44" s="219">
        <f>'Haver Pivoted'!GT37</f>
        <v>760.8</v>
      </c>
      <c r="J44" s="219">
        <f>'Haver Pivoted'!GU37</f>
        <v>811.3</v>
      </c>
      <c r="K44" s="219">
        <f>'Haver Pivoted'!GV37</f>
        <v>850.3</v>
      </c>
      <c r="L44" s="219">
        <f>'Haver Pivoted'!GW37</f>
        <v>840.3</v>
      </c>
      <c r="M44" s="219">
        <f>'Haver Pivoted'!GX37</f>
        <v>869.7</v>
      </c>
      <c r="N44" s="219">
        <f>'Haver Pivoted'!GY37</f>
        <v>913.8</v>
      </c>
      <c r="O44" s="219">
        <f>'Haver Pivoted'!GZ37</f>
        <v>923.8</v>
      </c>
      <c r="P44" s="219">
        <f>'Haver Pivoted'!HA37</f>
        <v>923.5</v>
      </c>
      <c r="Q44" s="219">
        <f>'Haver Pivoted'!HB37</f>
        <v>973.6</v>
      </c>
      <c r="R44" s="219">
        <f>'Haver Pivoted'!HC37</f>
        <v>1010.5</v>
      </c>
      <c r="S44" s="622">
        <f>'Haver Pivoted'!HD37</f>
        <v>1032.5999999999999</v>
      </c>
      <c r="T44" s="622">
        <f>'Haver Pivoted'!HE37</f>
        <v>1096.5999999999999</v>
      </c>
      <c r="U44" s="622">
        <f>'Haver Pivoted'!HF37</f>
        <v>1083.2</v>
      </c>
      <c r="V44" s="622">
        <f>'Haver Pivoted'!HG37</f>
        <v>1111.0999999999999</v>
      </c>
      <c r="W44" s="281"/>
      <c r="X44" s="281"/>
      <c r="Y44" s="281"/>
      <c r="Z44" s="281"/>
      <c r="AA44" s="281"/>
      <c r="AB44" s="281"/>
      <c r="AC44" s="722"/>
    </row>
    <row r="45" spans="2:101" x14ac:dyDescent="0.35">
      <c r="B45" s="548" t="s">
        <v>209</v>
      </c>
      <c r="C45" s="235"/>
      <c r="D45" s="583">
        <f>Medicaid!D27</f>
        <v>589.5</v>
      </c>
      <c r="E45" s="490">
        <f>Medicaid!E27</f>
        <v>598.70000000000005</v>
      </c>
      <c r="F45" s="490">
        <f>Medicaid!F27</f>
        <v>614.4</v>
      </c>
      <c r="G45" s="490">
        <f>Medicaid!G27</f>
        <v>622.4</v>
      </c>
      <c r="H45" s="490">
        <f>Medicaid!H27</f>
        <v>620.6</v>
      </c>
      <c r="I45" s="490">
        <f>Medicaid!I27</f>
        <v>606.5</v>
      </c>
      <c r="J45" s="490">
        <f>Medicaid!J27</f>
        <v>654.6</v>
      </c>
      <c r="K45" s="490">
        <f>Medicaid!K27</f>
        <v>690.8</v>
      </c>
      <c r="L45" s="490">
        <f>Medicaid!L27</f>
        <v>678.6</v>
      </c>
      <c r="M45" s="490">
        <f>Medicaid!M27</f>
        <v>704.9</v>
      </c>
      <c r="N45" s="490">
        <f>Medicaid!N27</f>
        <v>745.6</v>
      </c>
      <c r="O45" s="490">
        <f>Medicaid!O27</f>
        <v>749.2</v>
      </c>
      <c r="P45" s="490">
        <f>Medicaid!P27</f>
        <v>746.3</v>
      </c>
      <c r="Q45" s="490">
        <f>Medicaid!Q27</f>
        <v>791.9</v>
      </c>
      <c r="R45" s="490">
        <f>Medicaid!R27</f>
        <v>819.2</v>
      </c>
      <c r="S45" s="622">
        <f>Medicaid!S27</f>
        <v>819</v>
      </c>
      <c r="T45" s="490">
        <f>Medicaid!T27</f>
        <v>827.5</v>
      </c>
      <c r="U45" s="490">
        <f>Medicaid!U27</f>
        <v>877.6</v>
      </c>
      <c r="V45" s="490">
        <f>Medicaid!V27</f>
        <v>911.6</v>
      </c>
      <c r="W45" s="656">
        <f>Medicaid!W27</f>
        <v>867.2</v>
      </c>
      <c r="X45" s="656">
        <f>Medicaid!X27</f>
        <v>856.2</v>
      </c>
      <c r="Y45" s="656">
        <f>Medicaid!Y27</f>
        <v>904.8</v>
      </c>
      <c r="Z45" s="656">
        <f>Medicaid!Z27</f>
        <v>924.7</v>
      </c>
      <c r="AA45" s="656">
        <f>Medicaid!AA27</f>
        <v>932.4</v>
      </c>
      <c r="AB45" s="656">
        <f>Medicaid!AB27</f>
        <v>957.6</v>
      </c>
      <c r="AC45" s="731">
        <f>Medicaid!AC27</f>
        <v>967.10719642383469</v>
      </c>
    </row>
    <row r="46" spans="2:101" ht="14.9" customHeight="1" x14ac:dyDescent="0.35">
      <c r="B46" s="571" t="s">
        <v>804</v>
      </c>
      <c r="C46" s="253"/>
      <c r="D46" s="582">
        <f>D44-D45</f>
        <v>144.10000000000002</v>
      </c>
      <c r="E46" s="549">
        <f t="shared" ref="E46:O46" si="18">E44-E45</f>
        <v>145.59999999999991</v>
      </c>
      <c r="F46" s="549">
        <f t="shared" si="18"/>
        <v>147.89999999999998</v>
      </c>
      <c r="G46" s="549">
        <f t="shared" si="18"/>
        <v>149.80000000000007</v>
      </c>
      <c r="H46" s="549">
        <f t="shared" si="18"/>
        <v>151.5</v>
      </c>
      <c r="I46" s="549">
        <f t="shared" si="18"/>
        <v>154.29999999999995</v>
      </c>
      <c r="J46" s="549">
        <f t="shared" si="18"/>
        <v>156.69999999999993</v>
      </c>
      <c r="K46" s="549">
        <f t="shared" si="18"/>
        <v>159.5</v>
      </c>
      <c r="L46" s="549">
        <f t="shared" si="18"/>
        <v>161.69999999999993</v>
      </c>
      <c r="M46" s="549">
        <f t="shared" si="18"/>
        <v>164.80000000000007</v>
      </c>
      <c r="N46" s="549">
        <f t="shared" si="18"/>
        <v>168.19999999999993</v>
      </c>
      <c r="O46" s="549">
        <f t="shared" si="18"/>
        <v>174.59999999999991</v>
      </c>
      <c r="P46" s="549">
        <f>P44-P45</f>
        <v>177.20000000000005</v>
      </c>
      <c r="Q46" s="549">
        <f>Q44-Q45</f>
        <v>181.70000000000005</v>
      </c>
      <c r="R46" s="549">
        <f>R44-R45</f>
        <v>191.29999999999995</v>
      </c>
      <c r="S46" s="622">
        <f>S44-S45</f>
        <v>213.59999999999991</v>
      </c>
      <c r="T46" s="622">
        <f>T44-T45</f>
        <v>269.09999999999991</v>
      </c>
      <c r="U46" s="549">
        <f>T46*(1+AVERAGE($F$48:$I$48))+U47</f>
        <v>203.03380700109631</v>
      </c>
      <c r="V46" s="736">
        <f>U46*(1+AVERAGE($F$48:$I$48))+V47</f>
        <v>206.0018330562437</v>
      </c>
      <c r="W46" s="552">
        <f t="shared" ref="W46:AC46" si="19">V46*(1+AVERAGE($F$48:$I$48))</f>
        <v>209.01324685451698</v>
      </c>
      <c r="X46" s="552">
        <f t="shared" si="19"/>
        <v>212.06868265458453</v>
      </c>
      <c r="Y46" s="552">
        <f t="shared" si="19"/>
        <v>215.16878398695127</v>
      </c>
      <c r="Z46" s="552">
        <f t="shared" si="19"/>
        <v>218.31420378949775</v>
      </c>
      <c r="AA46" s="552">
        <f t="shared" si="19"/>
        <v>221.50560454500092</v>
      </c>
      <c r="AB46" s="552">
        <f t="shared" si="19"/>
        <v>224.74365842066501</v>
      </c>
      <c r="AC46" s="728">
        <f t="shared" si="19"/>
        <v>228.02904740969223</v>
      </c>
    </row>
    <row r="47" spans="2:101" ht="14.9" customHeight="1" x14ac:dyDescent="0.35">
      <c r="B47" s="571" t="s">
        <v>1690</v>
      </c>
      <c r="C47" s="253"/>
      <c r="D47" s="582"/>
      <c r="E47" s="549"/>
      <c r="F47" s="549"/>
      <c r="G47" s="549"/>
      <c r="H47" s="549"/>
      <c r="I47" s="549"/>
      <c r="J47" s="549"/>
      <c r="K47" s="549"/>
      <c r="L47" s="549"/>
      <c r="M47" s="549"/>
      <c r="N47" s="549"/>
      <c r="O47" s="549"/>
      <c r="P47" s="549"/>
      <c r="Q47" s="549"/>
      <c r="R47" s="549"/>
      <c r="S47" s="622"/>
      <c r="T47" s="549"/>
      <c r="U47" s="549">
        <v>-70</v>
      </c>
      <c r="V47" s="549"/>
      <c r="W47" s="552"/>
      <c r="X47" s="552"/>
      <c r="Y47" s="552"/>
      <c r="Z47" s="552"/>
      <c r="AA47" s="552"/>
      <c r="AB47" s="552"/>
      <c r="AC47" s="728"/>
    </row>
    <row r="48" spans="2:101" x14ac:dyDescent="0.35">
      <c r="B48" s="702" t="s">
        <v>805</v>
      </c>
      <c r="C48" s="356"/>
      <c r="D48" s="584"/>
      <c r="E48" s="570">
        <f>E46/D46-1</f>
        <v>1.0409437890353201E-2</v>
      </c>
      <c r="F48" s="570">
        <f t="shared" ref="F48:N48" si="20">F46/E46-1</f>
        <v>1.5796703296703685E-2</v>
      </c>
      <c r="G48" s="570">
        <f t="shared" si="20"/>
        <v>1.2846517917512346E-2</v>
      </c>
      <c r="H48" s="570">
        <f t="shared" si="20"/>
        <v>1.1348464619492127E-2</v>
      </c>
      <c r="I48" s="570">
        <f t="shared" si="20"/>
        <v>1.8481848184818128E-2</v>
      </c>
      <c r="J48" s="570">
        <f t="shared" si="20"/>
        <v>1.5554115359688758E-2</v>
      </c>
      <c r="K48" s="570">
        <f t="shared" si="20"/>
        <v>1.7868538608807105E-2</v>
      </c>
      <c r="L48" s="570">
        <f t="shared" si="20"/>
        <v>1.3793103448275446E-2</v>
      </c>
      <c r="M48" s="570">
        <f t="shared" si="20"/>
        <v>1.9171304885591489E-2</v>
      </c>
      <c r="N48" s="570">
        <f t="shared" si="20"/>
        <v>2.0631067961164318E-2</v>
      </c>
      <c r="O48" s="570">
        <f>O46/N46-1</f>
        <v>3.8049940546967864E-2</v>
      </c>
      <c r="P48" s="570">
        <f t="shared" ref="P48:S48" si="21">P46/O46-1</f>
        <v>1.4891179839634283E-2</v>
      </c>
      <c r="Q48" s="570">
        <f t="shared" si="21"/>
        <v>2.5395033860045046E-2</v>
      </c>
      <c r="R48" s="570">
        <f t="shared" si="21"/>
        <v>5.2834342322509054E-2</v>
      </c>
      <c r="S48" s="642">
        <f t="shared" si="21"/>
        <v>0.11657083115525335</v>
      </c>
      <c r="T48" s="551"/>
      <c r="U48" s="551"/>
      <c r="V48" s="551"/>
      <c r="W48" s="578"/>
      <c r="X48" s="578"/>
      <c r="Y48" s="578"/>
      <c r="Z48" s="578"/>
      <c r="AA48" s="578"/>
      <c r="AB48" s="578"/>
      <c r="AC48" s="727"/>
    </row>
    <row r="51" spans="2:39" x14ac:dyDescent="0.35">
      <c r="B51" s="1310"/>
      <c r="C51" s="1310"/>
      <c r="U51" s="219"/>
      <c r="V51" s="219"/>
      <c r="W51" s="219"/>
      <c r="X51" s="219"/>
      <c r="Y51" s="219"/>
      <c r="Z51" s="219"/>
      <c r="AA51" s="219"/>
      <c r="AB51" s="219"/>
      <c r="AC51" s="219"/>
    </row>
    <row r="52" spans="2:39" x14ac:dyDescent="0.35">
      <c r="B52" s="220"/>
      <c r="C52" s="235"/>
      <c r="U52" s="490"/>
      <c r="V52" s="490">
        <f>V40+V39+V34+V35+V36+V37</f>
        <v>2024.8140000000001</v>
      </c>
      <c r="W52" s="490"/>
      <c r="X52" s="490"/>
      <c r="Y52" s="490"/>
      <c r="Z52" s="490"/>
      <c r="AA52" s="490"/>
      <c r="AB52" s="490"/>
      <c r="AC52" s="490"/>
      <c r="AD52" s="515"/>
      <c r="AE52" s="515"/>
      <c r="AF52" s="515"/>
      <c r="AG52" s="515"/>
      <c r="AH52" s="515"/>
      <c r="AI52" s="515"/>
      <c r="AJ52" s="515"/>
      <c r="AK52" s="515"/>
      <c r="AL52" s="515"/>
      <c r="AM52" s="515"/>
    </row>
    <row r="53" spans="2:39" x14ac:dyDescent="0.35">
      <c r="B53" s="220"/>
      <c r="C53" s="235"/>
      <c r="U53" s="219"/>
      <c r="V53" s="219"/>
      <c r="W53" s="219"/>
      <c r="X53" s="219"/>
      <c r="Y53" s="219"/>
      <c r="Z53" s="219"/>
      <c r="AA53" s="219"/>
      <c r="AB53" s="219"/>
      <c r="AC53" s="219"/>
      <c r="AD53" s="515"/>
      <c r="AE53" s="515"/>
      <c r="AF53" s="515"/>
      <c r="AG53" s="515"/>
      <c r="AH53" s="515"/>
      <c r="AI53" s="515"/>
      <c r="AJ53" s="515"/>
      <c r="AK53" s="515"/>
      <c r="AL53" s="515"/>
      <c r="AM53" s="515"/>
    </row>
    <row r="54" spans="2:39" ht="28.5" customHeight="1" x14ac:dyDescent="0.35">
      <c r="B54" s="243"/>
      <c r="C54" s="235"/>
      <c r="U54" s="490"/>
      <c r="V54" s="490"/>
      <c r="W54" s="490"/>
      <c r="X54" s="490"/>
      <c r="Y54" s="490"/>
      <c r="Z54" s="490"/>
      <c r="AA54" s="490"/>
      <c r="AB54" s="490"/>
      <c r="AC54" s="490"/>
      <c r="AD54" s="515"/>
      <c r="AE54" s="515"/>
      <c r="AF54" s="515"/>
      <c r="AG54" s="515"/>
      <c r="AH54" s="515"/>
      <c r="AI54" s="515"/>
      <c r="AJ54" s="515"/>
      <c r="AK54" s="515"/>
      <c r="AL54" s="515"/>
      <c r="AM54" s="515"/>
    </row>
    <row r="55" spans="2:39" x14ac:dyDescent="0.35">
      <c r="B55" s="243"/>
      <c r="C55" s="235"/>
      <c r="U55" s="490"/>
      <c r="V55" s="490"/>
      <c r="W55" s="490"/>
      <c r="X55" s="490"/>
      <c r="Y55" s="490"/>
      <c r="Z55" s="490"/>
      <c r="AA55" s="490"/>
      <c r="AB55" s="490"/>
      <c r="AC55" s="490"/>
      <c r="AD55" s="515"/>
      <c r="AE55" s="515"/>
      <c r="AF55" s="515"/>
      <c r="AG55" s="515"/>
      <c r="AH55" s="515"/>
      <c r="AI55" s="515"/>
      <c r="AJ55" s="515"/>
      <c r="AK55" s="515"/>
      <c r="AL55" s="515"/>
      <c r="AM55" s="515"/>
    </row>
    <row r="56" spans="2:39" x14ac:dyDescent="0.35">
      <c r="B56" s="220"/>
      <c r="C56" s="235"/>
      <c r="U56" s="490"/>
      <c r="V56" s="490"/>
      <c r="W56" s="490"/>
      <c r="X56" s="490"/>
      <c r="Y56" s="490"/>
      <c r="Z56" s="490"/>
      <c r="AA56" s="490"/>
      <c r="AB56" s="490"/>
      <c r="AC56" s="490"/>
      <c r="AD56" s="515"/>
      <c r="AE56" s="515"/>
      <c r="AF56" s="515"/>
      <c r="AG56" s="515"/>
      <c r="AH56" s="515"/>
      <c r="AI56" s="515"/>
      <c r="AJ56" s="515"/>
      <c r="AK56" s="515"/>
      <c r="AL56" s="515"/>
      <c r="AM56" s="515"/>
    </row>
    <row r="57" spans="2:39" x14ac:dyDescent="0.35">
      <c r="B57" s="248"/>
      <c r="C57" s="253"/>
      <c r="U57" s="549"/>
      <c r="V57" s="549"/>
      <c r="W57" s="549"/>
      <c r="X57" s="549"/>
      <c r="Y57" s="549"/>
      <c r="Z57" s="549"/>
      <c r="AA57" s="549"/>
      <c r="AB57" s="549"/>
      <c r="AC57" s="549"/>
      <c r="AD57" s="515"/>
      <c r="AE57" s="515"/>
      <c r="AF57" s="515"/>
      <c r="AG57" s="515"/>
      <c r="AH57" s="515"/>
      <c r="AI57" s="515"/>
      <c r="AJ57" s="515"/>
      <c r="AK57" s="515"/>
      <c r="AL57" s="515"/>
      <c r="AM57" s="515"/>
    </row>
    <row r="58" spans="2:39" x14ac:dyDescent="0.35">
      <c r="B58" s="243"/>
      <c r="C58" s="672"/>
      <c r="U58" s="490"/>
      <c r="V58" s="490"/>
      <c r="W58" s="490"/>
      <c r="X58" s="490"/>
      <c r="Y58" s="490"/>
      <c r="Z58" s="490"/>
      <c r="AA58" s="490"/>
      <c r="AB58" s="490"/>
      <c r="AC58" s="490"/>
      <c r="AD58" s="515"/>
      <c r="AE58" s="515"/>
      <c r="AF58" s="515"/>
      <c r="AG58" s="515"/>
      <c r="AH58" s="515"/>
      <c r="AI58" s="515"/>
      <c r="AJ58" s="515"/>
      <c r="AK58" s="515"/>
      <c r="AL58" s="515"/>
      <c r="AM58" s="515"/>
    </row>
    <row r="59" spans="2:39" x14ac:dyDescent="0.35">
      <c r="B59" s="243"/>
      <c r="C59" s="672"/>
      <c r="U59" s="231"/>
      <c r="V59" s="231"/>
      <c r="W59" s="231"/>
      <c r="X59" s="231"/>
      <c r="Y59" s="231"/>
      <c r="Z59" s="231"/>
      <c r="AA59" s="231"/>
      <c r="AB59" s="231"/>
      <c r="AC59" s="231"/>
      <c r="AD59" s="515"/>
      <c r="AE59" s="515"/>
      <c r="AF59" s="515"/>
      <c r="AG59" s="515"/>
      <c r="AH59" s="515"/>
      <c r="AI59" s="515"/>
      <c r="AJ59" s="515"/>
      <c r="AK59" s="515"/>
      <c r="AL59" s="515"/>
      <c r="AM59" s="515"/>
    </row>
    <row r="60" spans="2:39" x14ac:dyDescent="0.35">
      <c r="B60" s="243"/>
      <c r="C60" s="235"/>
      <c r="U60" s="490"/>
      <c r="V60" s="490"/>
      <c r="W60" s="490"/>
      <c r="X60" s="490"/>
      <c r="Y60" s="490"/>
      <c r="Z60" s="490"/>
      <c r="AA60" s="490"/>
      <c r="AB60" s="490"/>
      <c r="AC60" s="490"/>
      <c r="AD60" s="515"/>
      <c r="AE60" s="515"/>
      <c r="AF60" s="515"/>
      <c r="AG60" s="515"/>
      <c r="AH60" s="515"/>
      <c r="AI60" s="515"/>
      <c r="AJ60" s="515"/>
      <c r="AK60" s="515"/>
      <c r="AL60" s="515"/>
      <c r="AM60" s="515"/>
    </row>
    <row r="61" spans="2:39" x14ac:dyDescent="0.35">
      <c r="B61" s="243"/>
      <c r="C61" s="235"/>
      <c r="U61" s="490"/>
      <c r="V61" s="490"/>
      <c r="W61" s="490"/>
      <c r="X61" s="490"/>
      <c r="Y61" s="490"/>
      <c r="Z61" s="490"/>
      <c r="AA61" s="490"/>
      <c r="AB61" s="490"/>
      <c r="AC61" s="490"/>
      <c r="AD61" s="515"/>
      <c r="AE61" s="515"/>
      <c r="AF61" s="515"/>
      <c r="AG61" s="515"/>
      <c r="AH61" s="515"/>
      <c r="AI61" s="515"/>
      <c r="AJ61" s="515"/>
      <c r="AK61" s="515"/>
      <c r="AL61" s="515"/>
      <c r="AM61" s="515"/>
    </row>
    <row r="62" spans="2:39" x14ac:dyDescent="0.35">
      <c r="B62" s="243"/>
      <c r="C62" s="235"/>
      <c r="U62" s="490"/>
      <c r="V62" s="490"/>
      <c r="W62" s="490"/>
      <c r="X62" s="490"/>
      <c r="Y62" s="490"/>
      <c r="Z62" s="490"/>
      <c r="AA62" s="490"/>
      <c r="AB62" s="490"/>
      <c r="AC62" s="490"/>
      <c r="AD62" s="515"/>
      <c r="AE62" s="515"/>
      <c r="AF62" s="515"/>
      <c r="AG62" s="515"/>
      <c r="AH62" s="515"/>
      <c r="AI62" s="515"/>
      <c r="AJ62" s="515"/>
      <c r="AK62" s="515"/>
      <c r="AL62" s="515"/>
      <c r="AM62" s="515"/>
    </row>
    <row r="63" spans="2:39" x14ac:dyDescent="0.35">
      <c r="B63" s="220"/>
      <c r="C63" s="235"/>
      <c r="U63" s="490"/>
      <c r="V63" s="490"/>
      <c r="W63" s="490"/>
      <c r="X63" s="490"/>
      <c r="Y63" s="490"/>
      <c r="Z63" s="490"/>
      <c r="AA63" s="490"/>
      <c r="AB63" s="490"/>
      <c r="AC63" s="490"/>
      <c r="AD63" s="515"/>
      <c r="AE63" s="515"/>
      <c r="AF63" s="515"/>
      <c r="AG63" s="515"/>
      <c r="AH63" s="515"/>
      <c r="AI63" s="515"/>
      <c r="AJ63" s="515"/>
      <c r="AK63" s="515"/>
      <c r="AL63" s="515"/>
      <c r="AM63" s="515"/>
    </row>
    <row r="64" spans="2:39" x14ac:dyDescent="0.35">
      <c r="B64" s="248"/>
      <c r="C64" s="253"/>
      <c r="U64" s="623"/>
      <c r="V64" s="623"/>
      <c r="W64" s="623"/>
      <c r="X64" s="623"/>
      <c r="Y64" s="623"/>
      <c r="Z64" s="623"/>
      <c r="AA64" s="623"/>
      <c r="AB64" s="623"/>
      <c r="AC64" s="623"/>
      <c r="AD64" s="515"/>
      <c r="AE64" s="515"/>
      <c r="AF64" s="515"/>
      <c r="AG64" s="515"/>
      <c r="AH64" s="515"/>
      <c r="AI64" s="515"/>
      <c r="AJ64" s="515"/>
      <c r="AK64" s="515"/>
      <c r="AL64" s="515"/>
      <c r="AM64" s="515"/>
    </row>
    <row r="65" spans="2:39" ht="28.5" customHeight="1" x14ac:dyDescent="0.35">
      <c r="B65" s="243"/>
      <c r="C65" s="235"/>
      <c r="U65" s="490"/>
      <c r="V65" s="490"/>
      <c r="W65" s="490"/>
      <c r="X65" s="490"/>
      <c r="Y65" s="490"/>
      <c r="Z65" s="490"/>
      <c r="AA65" s="490"/>
      <c r="AB65" s="490"/>
      <c r="AC65" s="490"/>
      <c r="AD65" s="515"/>
      <c r="AE65" s="515"/>
      <c r="AF65" s="515"/>
      <c r="AG65" s="515"/>
      <c r="AH65" s="515"/>
      <c r="AI65" s="515"/>
      <c r="AJ65" s="515"/>
      <c r="AK65" s="515"/>
      <c r="AL65" s="515"/>
      <c r="AM65" s="515"/>
    </row>
    <row r="66" spans="2:39" x14ac:dyDescent="0.35">
      <c r="B66" s="376"/>
      <c r="C66" s="56"/>
      <c r="U66" s="660"/>
      <c r="V66" s="660"/>
      <c r="W66" s="660"/>
      <c r="X66" s="660"/>
      <c r="Y66" s="660"/>
      <c r="Z66" s="660"/>
      <c r="AA66" s="660"/>
      <c r="AB66" s="660"/>
      <c r="AC66" s="660"/>
      <c r="AD66" s="515"/>
      <c r="AE66" s="515"/>
      <c r="AF66" s="515"/>
      <c r="AG66" s="515"/>
      <c r="AH66" s="515"/>
      <c r="AI66" s="515"/>
      <c r="AJ66" s="515"/>
      <c r="AK66" s="515"/>
      <c r="AL66" s="515"/>
      <c r="AM66" s="515"/>
    </row>
    <row r="67" spans="2:39" x14ac:dyDescent="0.35">
      <c r="B67" s="253"/>
      <c r="C67" s="253"/>
      <c r="U67" s="549"/>
      <c r="V67" s="549"/>
      <c r="W67" s="549"/>
      <c r="X67" s="549"/>
      <c r="Y67" s="549"/>
      <c r="Z67" s="549"/>
      <c r="AA67" s="549"/>
      <c r="AB67" s="549"/>
      <c r="AC67" s="549"/>
      <c r="AD67" s="515"/>
      <c r="AE67" s="515"/>
      <c r="AF67" s="515"/>
      <c r="AG67" s="515"/>
      <c r="AH67" s="515"/>
      <c r="AI67" s="515"/>
      <c r="AJ67" s="515"/>
      <c r="AK67" s="515"/>
      <c r="AL67" s="515"/>
      <c r="AM67" s="515"/>
    </row>
    <row r="68" spans="2:39" x14ac:dyDescent="0.35">
      <c r="B68" s="1310"/>
      <c r="C68" s="1310"/>
      <c r="U68" s="549"/>
      <c r="V68" s="549"/>
      <c r="W68" s="549"/>
      <c r="X68" s="549"/>
      <c r="Y68" s="549"/>
      <c r="Z68" s="549"/>
      <c r="AA68" s="549"/>
      <c r="AB68" s="549"/>
      <c r="AC68" s="549"/>
      <c r="AD68" s="515"/>
      <c r="AE68" s="515"/>
      <c r="AF68" s="515"/>
      <c r="AG68" s="515"/>
      <c r="AH68" s="515"/>
      <c r="AI68" s="515"/>
      <c r="AJ68" s="515"/>
      <c r="AK68" s="515"/>
      <c r="AL68" s="515"/>
      <c r="AM68" s="515"/>
    </row>
    <row r="69" spans="2:39" x14ac:dyDescent="0.35">
      <c r="B69" s="220"/>
      <c r="C69" s="235"/>
      <c r="U69" s="235"/>
      <c r="V69" s="235"/>
      <c r="W69" s="235"/>
      <c r="X69" s="235"/>
      <c r="Y69" s="235"/>
      <c r="Z69" s="235"/>
      <c r="AA69" s="235"/>
      <c r="AB69" s="235"/>
      <c r="AC69" s="235"/>
      <c r="AD69" s="515"/>
      <c r="AE69" s="515"/>
      <c r="AF69" s="515"/>
      <c r="AG69" s="515"/>
      <c r="AH69" s="515"/>
      <c r="AI69" s="515"/>
      <c r="AJ69" s="515"/>
      <c r="AK69" s="515"/>
      <c r="AL69" s="515"/>
      <c r="AM69" s="515"/>
    </row>
    <row r="70" spans="2:39" x14ac:dyDescent="0.35">
      <c r="B70" s="235"/>
      <c r="C70" s="235"/>
      <c r="U70" s="490"/>
      <c r="V70" s="490"/>
      <c r="W70" s="490"/>
      <c r="X70" s="490"/>
      <c r="Y70" s="490"/>
      <c r="Z70" s="490"/>
      <c r="AA70" s="490"/>
      <c r="AB70" s="490"/>
      <c r="AC70" s="490"/>
      <c r="AD70" s="515"/>
      <c r="AE70" s="515"/>
      <c r="AF70" s="515"/>
      <c r="AG70" s="515"/>
      <c r="AH70" s="515"/>
      <c r="AI70" s="515"/>
      <c r="AJ70" s="515"/>
      <c r="AK70" s="515"/>
      <c r="AL70" s="515"/>
      <c r="AM70" s="515"/>
    </row>
    <row r="71" spans="2:39" x14ac:dyDescent="0.35">
      <c r="B71" s="253"/>
      <c r="C71" s="253"/>
      <c r="U71" s="549"/>
      <c r="V71" s="549"/>
      <c r="W71" s="549"/>
      <c r="X71" s="549"/>
      <c r="Y71" s="549"/>
      <c r="Z71" s="549"/>
      <c r="AA71" s="549"/>
      <c r="AB71" s="549"/>
      <c r="AC71" s="549"/>
      <c r="AD71" s="515"/>
      <c r="AE71" s="515"/>
      <c r="AF71" s="515"/>
      <c r="AG71" s="515"/>
      <c r="AH71" s="515"/>
      <c r="AI71" s="515"/>
      <c r="AJ71" s="515"/>
      <c r="AK71" s="515"/>
      <c r="AL71" s="515"/>
      <c r="AM71" s="515"/>
    </row>
    <row r="72" spans="2:39" x14ac:dyDescent="0.35">
      <c r="B72" s="253"/>
      <c r="C72" s="253"/>
      <c r="U72" s="549"/>
      <c r="V72" s="549"/>
      <c r="W72" s="549"/>
      <c r="X72" s="549"/>
      <c r="Y72" s="549"/>
      <c r="Z72" s="549"/>
      <c r="AA72" s="549"/>
      <c r="AB72" s="549"/>
      <c r="AC72" s="549"/>
      <c r="AD72" s="515"/>
      <c r="AE72" s="515"/>
      <c r="AF72" s="515"/>
      <c r="AG72" s="515"/>
      <c r="AH72" s="515"/>
      <c r="AI72" s="515"/>
      <c r="AJ72" s="515"/>
      <c r="AK72" s="515"/>
      <c r="AL72" s="515"/>
      <c r="AM72" s="515"/>
    </row>
    <row r="73" spans="2:39" x14ac:dyDescent="0.35">
      <c r="B73" s="733"/>
      <c r="C73" s="235"/>
      <c r="U73" s="490"/>
      <c r="V73" s="490"/>
      <c r="W73" s="490"/>
      <c r="X73" s="490"/>
      <c r="Y73" s="490"/>
      <c r="Z73" s="490"/>
      <c r="AA73" s="490"/>
      <c r="AB73" s="490"/>
      <c r="AC73" s="490"/>
      <c r="AD73" s="515"/>
      <c r="AE73" s="515"/>
      <c r="AF73" s="515"/>
      <c r="AG73" s="515"/>
      <c r="AH73" s="515"/>
      <c r="AI73" s="515"/>
      <c r="AJ73" s="515"/>
      <c r="AK73" s="515"/>
      <c r="AL73" s="515"/>
      <c r="AM73" s="515"/>
    </row>
    <row r="75" spans="2:39" x14ac:dyDescent="0.35">
      <c r="U75" s="1367"/>
      <c r="V75" s="1367"/>
      <c r="W75" s="1367"/>
      <c r="X75" s="1367"/>
    </row>
    <row r="76" spans="2:39" x14ac:dyDescent="0.35">
      <c r="U76" s="1367"/>
      <c r="V76" s="1367"/>
      <c r="W76" s="1367"/>
      <c r="X76" s="1367"/>
    </row>
    <row r="77" spans="2:39" x14ac:dyDescent="0.35">
      <c r="U77" s="1367"/>
      <c r="V77" s="1367"/>
      <c r="W77" s="1367"/>
      <c r="X77" s="1367"/>
    </row>
    <row r="79" spans="2:39" x14ac:dyDescent="0.35">
      <c r="P79" s="479"/>
      <c r="Q79" s="479"/>
    </row>
    <row r="80" spans="2:39" x14ac:dyDescent="0.35">
      <c r="B80" s="512" t="s">
        <v>351</v>
      </c>
      <c r="D80" s="490"/>
      <c r="E80" s="490"/>
      <c r="F80" s="490"/>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row>
    <row r="81" spans="2:33" ht="45.75" customHeight="1" x14ac:dyDescent="0.35">
      <c r="B81" s="1362" t="s">
        <v>475</v>
      </c>
      <c r="C81" s="1362"/>
      <c r="D81" s="1362"/>
      <c r="E81" s="1362"/>
      <c r="F81" s="1362"/>
      <c r="G81" s="1362"/>
      <c r="H81" s="1362"/>
      <c r="I81" s="1362"/>
      <c r="J81" s="1362"/>
      <c r="K81" s="1362"/>
      <c r="L81" s="1362"/>
      <c r="M81" s="1362"/>
      <c r="N81" s="1362"/>
      <c r="O81" s="1362"/>
      <c r="P81" s="1362"/>
      <c r="Q81" s="1362"/>
      <c r="R81" s="1362"/>
      <c r="S81" s="1362"/>
      <c r="T81" s="1362"/>
      <c r="U81" s="1362"/>
      <c r="V81" s="1362"/>
      <c r="W81" s="1362"/>
      <c r="X81" s="1362"/>
      <c r="Y81" s="1362"/>
      <c r="Z81" s="1362"/>
      <c r="AA81" s="1362"/>
      <c r="AB81" s="1362"/>
      <c r="AC81" s="1362"/>
    </row>
    <row r="82" spans="2:33" ht="14.9" customHeight="1" x14ac:dyDescent="0.35">
      <c r="B82" s="1276" t="s">
        <v>476</v>
      </c>
      <c r="C82" s="1277"/>
      <c r="D82" s="1298" t="s">
        <v>279</v>
      </c>
      <c r="E82" s="1299"/>
      <c r="F82" s="1299"/>
      <c r="G82" s="1299"/>
      <c r="H82" s="1299"/>
      <c r="I82" s="1299"/>
      <c r="J82" s="1299"/>
      <c r="K82" s="1299"/>
      <c r="L82" s="1299"/>
      <c r="M82" s="1299"/>
      <c r="N82" s="1299"/>
      <c r="O82" s="1299"/>
      <c r="P82" s="1299"/>
      <c r="Q82" s="1299"/>
      <c r="R82" s="1299"/>
      <c r="S82" s="1299"/>
      <c r="T82" s="1299"/>
      <c r="U82" s="1299"/>
      <c r="V82" s="1300"/>
      <c r="W82" s="1355" t="s">
        <v>280</v>
      </c>
      <c r="X82" s="1356"/>
      <c r="Y82" s="1356"/>
      <c r="Z82" s="1356"/>
      <c r="AA82" s="1356"/>
      <c r="AB82" s="1356"/>
      <c r="AC82" s="1356"/>
      <c r="AD82" s="1356"/>
      <c r="AE82" s="1356"/>
      <c r="AF82" s="1356"/>
      <c r="AG82" s="1356"/>
    </row>
    <row r="83" spans="2:33" x14ac:dyDescent="0.35">
      <c r="B83" s="1276"/>
      <c r="C83" s="1277"/>
      <c r="D83" s="282">
        <v>2018</v>
      </c>
      <c r="E83" s="1293">
        <v>2019</v>
      </c>
      <c r="F83" s="1294"/>
      <c r="G83" s="1294"/>
      <c r="H83" s="1295"/>
      <c r="I83" s="1293">
        <v>2020</v>
      </c>
      <c r="J83" s="1294"/>
      <c r="K83" s="1294"/>
      <c r="L83" s="1294"/>
      <c r="M83" s="1293">
        <v>2021</v>
      </c>
      <c r="N83" s="1294"/>
      <c r="O83" s="1294"/>
      <c r="P83" s="1294"/>
      <c r="Q83" s="1293">
        <v>2022</v>
      </c>
      <c r="R83" s="1301"/>
      <c r="S83" s="1301"/>
      <c r="T83" s="1295"/>
      <c r="U83" s="288"/>
      <c r="V83" s="428">
        <v>2023</v>
      </c>
      <c r="W83" s="621"/>
      <c r="X83" s="321"/>
      <c r="Y83" s="1280">
        <v>2024</v>
      </c>
      <c r="Z83" s="1286"/>
      <c r="AA83" s="1286"/>
      <c r="AB83" s="1285"/>
      <c r="AC83" s="1280">
        <v>2025</v>
      </c>
      <c r="AD83" s="1286"/>
      <c r="AE83" s="1286"/>
      <c r="AF83" s="1285"/>
      <c r="AG83" s="732">
        <v>2026</v>
      </c>
    </row>
    <row r="84" spans="2:33" x14ac:dyDescent="0.35">
      <c r="B84" s="1278"/>
      <c r="C84" s="1279"/>
      <c r="D84" s="214" t="s">
        <v>281</v>
      </c>
      <c r="E84" s="214" t="s">
        <v>282</v>
      </c>
      <c r="F84" s="215" t="s">
        <v>283</v>
      </c>
      <c r="G84" s="215" t="s">
        <v>238</v>
      </c>
      <c r="H84" s="218" t="s">
        <v>281</v>
      </c>
      <c r="I84" s="215" t="s">
        <v>282</v>
      </c>
      <c r="J84" s="215" t="s">
        <v>283</v>
      </c>
      <c r="K84" s="215" t="s">
        <v>238</v>
      </c>
      <c r="L84" s="215" t="s">
        <v>281</v>
      </c>
      <c r="M84" s="214" t="s">
        <v>282</v>
      </c>
      <c r="N84" s="215" t="s">
        <v>283</v>
      </c>
      <c r="O84" s="215" t="s">
        <v>238</v>
      </c>
      <c r="P84" s="215" t="s">
        <v>281</v>
      </c>
      <c r="Q84" s="214" t="s">
        <v>282</v>
      </c>
      <c r="R84" s="215" t="s">
        <v>283</v>
      </c>
      <c r="S84" s="215" t="s">
        <v>238</v>
      </c>
      <c r="T84" s="218" t="s">
        <v>281</v>
      </c>
      <c r="U84" s="215" t="s">
        <v>282</v>
      </c>
      <c r="V84" s="274" t="s">
        <v>283</v>
      </c>
      <c r="W84" s="260" t="s">
        <v>238</v>
      </c>
      <c r="X84" s="287" t="s">
        <v>281</v>
      </c>
      <c r="Y84" s="259" t="s">
        <v>282</v>
      </c>
      <c r="Z84" s="257" t="s">
        <v>283</v>
      </c>
      <c r="AA84" s="260" t="s">
        <v>238</v>
      </c>
      <c r="AB84" s="260" t="s">
        <v>281</v>
      </c>
      <c r="AC84" s="259" t="s">
        <v>282</v>
      </c>
      <c r="AD84" s="257" t="s">
        <v>283</v>
      </c>
      <c r="AE84" s="260" t="s">
        <v>238</v>
      </c>
      <c r="AF84" s="260" t="s">
        <v>281</v>
      </c>
      <c r="AG84" s="259" t="s">
        <v>282</v>
      </c>
    </row>
    <row r="85" spans="2:33" x14ac:dyDescent="0.35">
      <c r="B85" s="548" t="s">
        <v>1429</v>
      </c>
      <c r="D85" s="246"/>
      <c r="E85" s="306"/>
      <c r="F85" s="306"/>
      <c r="G85" s="306"/>
      <c r="H85" s="306"/>
      <c r="I85" s="564">
        <f>(I86-AVERAGE($E86:$H86))</f>
        <v>6.9120000000000061</v>
      </c>
      <c r="J85" s="564">
        <f t="shared" ref="J85:U85" si="22">(J86-AVERAGE($E86:$H86))</f>
        <v>50.955000000000005</v>
      </c>
      <c r="K85" s="564">
        <f t="shared" si="22"/>
        <v>51.173999999999999</v>
      </c>
      <c r="L85" s="564">
        <f t="shared" si="22"/>
        <v>51.893999999999998</v>
      </c>
      <c r="M85" s="564">
        <f t="shared" si="22"/>
        <v>91.075000000000017</v>
      </c>
      <c r="N85" s="564">
        <f t="shared" si="22"/>
        <v>100.63400000000001</v>
      </c>
      <c r="O85" s="564">
        <f t="shared" si="22"/>
        <v>93.89100000000002</v>
      </c>
      <c r="P85" s="564">
        <f t="shared" si="22"/>
        <v>100.22800000000001</v>
      </c>
      <c r="Q85" s="564">
        <f t="shared" si="22"/>
        <v>76.838999999999999</v>
      </c>
      <c r="R85" s="564">
        <f t="shared" si="22"/>
        <v>73.637</v>
      </c>
      <c r="S85" s="565">
        <f t="shared" si="22"/>
        <v>70.649000000000001</v>
      </c>
      <c r="T85" s="555">
        <f t="shared" si="22"/>
        <v>91.718000000000018</v>
      </c>
      <c r="U85" s="565">
        <f t="shared" si="22"/>
        <v>83.695999999999998</v>
      </c>
      <c r="V85" s="565">
        <f>(V86-AVERAGE($E86:$H86))</f>
        <v>51.979000000000006</v>
      </c>
      <c r="W85" s="707">
        <f>V85</f>
        <v>51.979000000000006</v>
      </c>
      <c r="X85" s="707">
        <f t="shared" ref="X85:AG85" si="23">W85</f>
        <v>51.979000000000006</v>
      </c>
      <c r="Y85" s="707">
        <f t="shared" si="23"/>
        <v>51.979000000000006</v>
      </c>
      <c r="Z85" s="707">
        <f t="shared" si="23"/>
        <v>51.979000000000006</v>
      </c>
      <c r="AA85" s="707">
        <f t="shared" si="23"/>
        <v>51.979000000000006</v>
      </c>
      <c r="AB85" s="707">
        <f t="shared" si="23"/>
        <v>51.979000000000006</v>
      </c>
      <c r="AC85" s="677">
        <f t="shared" si="23"/>
        <v>51.979000000000006</v>
      </c>
      <c r="AD85" s="707">
        <f t="shared" si="23"/>
        <v>51.979000000000006</v>
      </c>
      <c r="AE85" s="707">
        <f t="shared" si="23"/>
        <v>51.979000000000006</v>
      </c>
      <c r="AF85" s="707">
        <f t="shared" si="23"/>
        <v>51.979000000000006</v>
      </c>
      <c r="AG85" s="707">
        <f t="shared" si="23"/>
        <v>51.979000000000006</v>
      </c>
    </row>
    <row r="86" spans="2:33" x14ac:dyDescent="0.35">
      <c r="B86" s="548" t="s">
        <v>160</v>
      </c>
      <c r="C86" s="235" t="s">
        <v>477</v>
      </c>
      <c r="D86" s="263">
        <f>'Haver Pivoted'!GO66</f>
        <v>57.017000000000003</v>
      </c>
      <c r="E86" s="219">
        <f>'Haver Pivoted'!GP66</f>
        <v>55.875</v>
      </c>
      <c r="F86" s="219">
        <f>'Haver Pivoted'!GQ66</f>
        <v>54.335999999999999</v>
      </c>
      <c r="G86" s="219">
        <f>'Haver Pivoted'!GR66</f>
        <v>54.345999999999997</v>
      </c>
      <c r="H86" s="219">
        <f>'Haver Pivoted'!GS66</f>
        <v>54.290999999999997</v>
      </c>
      <c r="I86" s="219">
        <f>'Haver Pivoted'!GT66</f>
        <v>61.624000000000002</v>
      </c>
      <c r="J86" s="219">
        <f>'Haver Pivoted'!GU66</f>
        <v>105.667</v>
      </c>
      <c r="K86" s="219">
        <f>'Haver Pivoted'!GV66</f>
        <v>105.886</v>
      </c>
      <c r="L86" s="219">
        <f>'Haver Pivoted'!GW66</f>
        <v>106.60599999999999</v>
      </c>
      <c r="M86" s="219">
        <f>'Haver Pivoted'!GX66</f>
        <v>145.78700000000001</v>
      </c>
      <c r="N86" s="219">
        <f>'Haver Pivoted'!GY66</f>
        <v>155.346</v>
      </c>
      <c r="O86" s="219">
        <f>'Haver Pivoted'!GZ66</f>
        <v>148.60300000000001</v>
      </c>
      <c r="P86" s="219">
        <f>'Haver Pivoted'!HA66</f>
        <v>154.94</v>
      </c>
      <c r="Q86" s="219">
        <f>'Haver Pivoted'!HB66</f>
        <v>131.55099999999999</v>
      </c>
      <c r="R86" s="219">
        <f>'Haver Pivoted'!HC66</f>
        <v>128.34899999999999</v>
      </c>
      <c r="S86" s="215">
        <f>'Haver Pivoted'!HD66</f>
        <v>125.361</v>
      </c>
      <c r="T86" s="215">
        <f>'Haver Pivoted'!HE66</f>
        <v>146.43</v>
      </c>
      <c r="U86" s="215">
        <f>'Haver Pivoted'!HF66</f>
        <v>138.40799999999999</v>
      </c>
      <c r="V86" s="215">
        <f>'Haver Pivoted'!HG66</f>
        <v>106.691</v>
      </c>
      <c r="W86" s="315"/>
      <c r="X86" s="315"/>
      <c r="Y86" s="315"/>
      <c r="Z86" s="315"/>
      <c r="AA86" s="315"/>
      <c r="AB86" s="315"/>
      <c r="AC86" s="315"/>
      <c r="AD86" s="209"/>
      <c r="AE86" s="209"/>
      <c r="AF86" s="209"/>
      <c r="AG86" s="209"/>
    </row>
    <row r="87" spans="2:33" ht="29.15" customHeight="1" x14ac:dyDescent="0.35">
      <c r="B87" s="547" t="s">
        <v>478</v>
      </c>
      <c r="C87" s="356"/>
      <c r="D87" s="703"/>
      <c r="E87" s="491"/>
      <c r="F87" s="491"/>
      <c r="G87" s="491"/>
      <c r="H87" s="491"/>
      <c r="I87" s="491"/>
      <c r="J87" s="491">
        <f t="shared" ref="J87:V87" si="24">J86-$H86</f>
        <v>51.376000000000005</v>
      </c>
      <c r="K87" s="491">
        <f t="shared" si="24"/>
        <v>51.594999999999999</v>
      </c>
      <c r="L87" s="491">
        <f t="shared" si="24"/>
        <v>52.314999999999998</v>
      </c>
      <c r="M87" s="491">
        <f t="shared" si="24"/>
        <v>91.496000000000009</v>
      </c>
      <c r="N87" s="491">
        <f>N86-$H86</f>
        <v>101.05500000000001</v>
      </c>
      <c r="O87" s="491">
        <f>O86-$H86</f>
        <v>94.312000000000012</v>
      </c>
      <c r="P87" s="491">
        <f t="shared" si="24"/>
        <v>100.649</v>
      </c>
      <c r="Q87" s="491">
        <f t="shared" si="24"/>
        <v>77.259999999999991</v>
      </c>
      <c r="R87" s="491">
        <f t="shared" si="24"/>
        <v>74.057999999999993</v>
      </c>
      <c r="S87" s="274">
        <f t="shared" si="24"/>
        <v>71.070000000000007</v>
      </c>
      <c r="T87" s="274">
        <f t="shared" si="24"/>
        <v>92.13900000000001</v>
      </c>
      <c r="U87" s="274">
        <f t="shared" si="24"/>
        <v>84.11699999999999</v>
      </c>
      <c r="V87" s="274">
        <f t="shared" si="24"/>
        <v>52.400000000000006</v>
      </c>
      <c r="W87" s="260"/>
      <c r="X87" s="260"/>
      <c r="Y87" s="260"/>
      <c r="Z87" s="260"/>
      <c r="AA87" s="260"/>
      <c r="AB87" s="260"/>
      <c r="AC87" s="260"/>
      <c r="AD87" s="209"/>
      <c r="AE87" s="209"/>
      <c r="AF87" s="209"/>
      <c r="AG87" s="209"/>
    </row>
    <row r="88" spans="2:33" ht="29.15" customHeight="1" x14ac:dyDescent="0.35">
      <c r="B88" s="235"/>
      <c r="C88" s="235"/>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row>
    <row r="89" spans="2:33" ht="29.15" customHeight="1" x14ac:dyDescent="0.35">
      <c r="B89" s="235"/>
      <c r="C89" s="235"/>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row>
    <row r="90" spans="2:33" ht="29.15" customHeight="1" x14ac:dyDescent="0.35">
      <c r="B90" s="235"/>
      <c r="C90" s="235"/>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row>
    <row r="91" spans="2:33" ht="35.9" customHeight="1" x14ac:dyDescent="0.35"/>
    <row r="92" spans="2:33" x14ac:dyDescent="0.35">
      <c r="B92" s="512" t="s">
        <v>364</v>
      </c>
    </row>
    <row r="93" spans="2:33" x14ac:dyDescent="0.35">
      <c r="B93" s="1363" t="s">
        <v>802</v>
      </c>
      <c r="C93" s="1364"/>
      <c r="D93" s="1278" t="s">
        <v>279</v>
      </c>
      <c r="E93" s="1328"/>
      <c r="F93" s="1328"/>
      <c r="G93" s="1328"/>
      <c r="H93" s="1328"/>
      <c r="I93" s="1328"/>
      <c r="J93" s="1328"/>
      <c r="K93" s="1328"/>
      <c r="L93" s="1328"/>
      <c r="M93" s="1328"/>
      <c r="N93" s="1328"/>
      <c r="O93" s="1328"/>
      <c r="P93" s="1328"/>
      <c r="Q93" s="1328"/>
      <c r="R93" s="1328"/>
      <c r="S93" s="1328"/>
      <c r="T93" s="1328"/>
      <c r="U93" s="1328"/>
      <c r="V93" s="1279"/>
      <c r="W93" s="1355" t="s">
        <v>280</v>
      </c>
      <c r="X93" s="1356"/>
      <c r="Y93" s="1356"/>
      <c r="Z93" s="1356"/>
      <c r="AA93" s="1356"/>
      <c r="AB93" s="1356"/>
      <c r="AC93" s="1356"/>
      <c r="AD93" s="1356"/>
      <c r="AE93" s="1356"/>
      <c r="AF93" s="1356"/>
      <c r="AG93" s="1356"/>
    </row>
    <row r="94" spans="2:33" x14ac:dyDescent="0.35">
      <c r="B94" s="1365"/>
      <c r="C94" s="1366"/>
      <c r="D94" s="282">
        <v>2018</v>
      </c>
      <c r="E94" s="1293">
        <v>2019</v>
      </c>
      <c r="F94" s="1294"/>
      <c r="G94" s="1294"/>
      <c r="H94" s="1295"/>
      <c r="I94" s="1293">
        <v>2020</v>
      </c>
      <c r="J94" s="1294"/>
      <c r="K94" s="1294"/>
      <c r="L94" s="1294"/>
      <c r="M94" s="1293">
        <v>2021</v>
      </c>
      <c r="N94" s="1294"/>
      <c r="O94" s="1294"/>
      <c r="P94" s="1294"/>
      <c r="Q94" s="1293">
        <v>2022</v>
      </c>
      <c r="R94" s="1301"/>
      <c r="S94" s="1301"/>
      <c r="T94" s="1295"/>
      <c r="U94" s="288"/>
      <c r="V94" s="428">
        <v>2023</v>
      </c>
      <c r="W94" s="621"/>
      <c r="X94" s="321"/>
      <c r="Y94" s="1280">
        <v>2024</v>
      </c>
      <c r="Z94" s="1286"/>
      <c r="AA94" s="1286"/>
      <c r="AB94" s="1285"/>
      <c r="AC94" s="1280">
        <v>2025</v>
      </c>
      <c r="AD94" s="1286"/>
      <c r="AE94" s="1286"/>
      <c r="AF94" s="1285"/>
      <c r="AG94" s="732">
        <v>2026</v>
      </c>
    </row>
    <row r="95" spans="2:33" x14ac:dyDescent="0.35">
      <c r="B95" s="1365"/>
      <c r="C95" s="1366"/>
      <c r="D95" s="214" t="s">
        <v>281</v>
      </c>
      <c r="E95" s="214" t="s">
        <v>282</v>
      </c>
      <c r="F95" s="215" t="s">
        <v>283</v>
      </c>
      <c r="G95" s="215" t="s">
        <v>238</v>
      </c>
      <c r="H95" s="218" t="s">
        <v>281</v>
      </c>
      <c r="I95" s="215" t="s">
        <v>282</v>
      </c>
      <c r="J95" s="215" t="s">
        <v>283</v>
      </c>
      <c r="K95" s="215" t="s">
        <v>238</v>
      </c>
      <c r="L95" s="215" t="s">
        <v>281</v>
      </c>
      <c r="M95" s="214" t="s">
        <v>282</v>
      </c>
      <c r="N95" s="215" t="s">
        <v>283</v>
      </c>
      <c r="O95" s="215" t="s">
        <v>238</v>
      </c>
      <c r="P95" s="215" t="s">
        <v>281</v>
      </c>
      <c r="Q95" s="214" t="s">
        <v>282</v>
      </c>
      <c r="R95" s="215" t="s">
        <v>283</v>
      </c>
      <c r="S95" s="215" t="s">
        <v>238</v>
      </c>
      <c r="T95" s="218" t="s">
        <v>281</v>
      </c>
      <c r="U95" s="215" t="s">
        <v>282</v>
      </c>
      <c r="V95" s="274" t="s">
        <v>283</v>
      </c>
      <c r="W95" s="260" t="s">
        <v>238</v>
      </c>
      <c r="X95" s="287" t="s">
        <v>281</v>
      </c>
      <c r="Y95" s="259" t="s">
        <v>282</v>
      </c>
      <c r="Z95" s="257" t="s">
        <v>283</v>
      </c>
      <c r="AA95" s="260" t="s">
        <v>238</v>
      </c>
      <c r="AB95" s="260" t="s">
        <v>281</v>
      </c>
      <c r="AC95" s="259" t="s">
        <v>282</v>
      </c>
      <c r="AD95" s="257" t="s">
        <v>283</v>
      </c>
      <c r="AE95" s="260" t="s">
        <v>238</v>
      </c>
      <c r="AF95" s="260" t="s">
        <v>281</v>
      </c>
      <c r="AG95" s="259" t="s">
        <v>282</v>
      </c>
    </row>
    <row r="96" spans="2:33" ht="25.75" customHeight="1" x14ac:dyDescent="0.35">
      <c r="B96" s="669" t="s">
        <v>465</v>
      </c>
      <c r="C96" s="543" t="s">
        <v>466</v>
      </c>
      <c r="D96" s="363">
        <f>'Haver Pivoted'!GO31</f>
        <v>2223</v>
      </c>
      <c r="E96" s="364">
        <f>'Haver Pivoted'!GP31</f>
        <v>2303.8000000000002</v>
      </c>
      <c r="F96" s="364">
        <f>'Haver Pivoted'!GQ31</f>
        <v>2321.6999999999998</v>
      </c>
      <c r="G96" s="364">
        <f>'Haver Pivoted'!GR31</f>
        <v>2337.1</v>
      </c>
      <c r="H96" s="364">
        <f>'Haver Pivoted'!GS31</f>
        <v>2349.5</v>
      </c>
      <c r="I96" s="364">
        <f>'Haver Pivoted'!GT31</f>
        <v>2414.4</v>
      </c>
      <c r="J96" s="364">
        <f>'Haver Pivoted'!GU31</f>
        <v>4654.1000000000004</v>
      </c>
      <c r="K96" s="364">
        <f>'Haver Pivoted'!GV31</f>
        <v>3504.7</v>
      </c>
      <c r="L96" s="364">
        <f>'Haver Pivoted'!GW31</f>
        <v>2888.4</v>
      </c>
      <c r="M96" s="364">
        <f>'Haver Pivoted'!GX31</f>
        <v>5138.1000000000004</v>
      </c>
      <c r="N96" s="364">
        <f>'Haver Pivoted'!GY31</f>
        <v>3397.8</v>
      </c>
      <c r="O96" s="364">
        <f>'Haver Pivoted'!GZ31</f>
        <v>3124.9</v>
      </c>
      <c r="P96" s="364">
        <f>'Haver Pivoted'!HA31</f>
        <v>2952.6</v>
      </c>
      <c r="Q96" s="364">
        <f>'Haver Pivoted'!HB31</f>
        <v>2970.9</v>
      </c>
      <c r="R96" s="364">
        <f>'Haver Pivoted'!HC31</f>
        <v>2976.2</v>
      </c>
      <c r="S96" s="365">
        <f>'Haver Pivoted'!HD31</f>
        <v>2970.4</v>
      </c>
      <c r="T96" s="678">
        <f>'Haver Pivoted'!HE31</f>
        <v>3024.4</v>
      </c>
      <c r="U96" s="365">
        <f>'Haver Pivoted'!HF31</f>
        <v>3038.4</v>
      </c>
      <c r="V96" s="365">
        <f>'Haver Pivoted'!HG31</f>
        <v>3049.1</v>
      </c>
      <c r="W96" s="723"/>
      <c r="X96" s="723"/>
      <c r="Y96" s="723"/>
      <c r="Z96" s="723"/>
      <c r="AA96" s="723"/>
      <c r="AB96" s="723"/>
      <c r="AC96" s="720"/>
      <c r="AD96" s="720"/>
      <c r="AE96" s="720"/>
      <c r="AF96" s="720"/>
      <c r="AG96" s="209"/>
    </row>
    <row r="97" spans="2:33" ht="25.75" customHeight="1" x14ac:dyDescent="0.35">
      <c r="B97" s="474" t="s">
        <v>1843</v>
      </c>
      <c r="C97" s="235"/>
      <c r="D97" s="701">
        <f>D98+D99</f>
        <v>812.1</v>
      </c>
      <c r="E97" s="442">
        <f>E98+E99</f>
        <v>833.1</v>
      </c>
      <c r="F97" s="442">
        <f>F98+F99</f>
        <v>845.8</v>
      </c>
      <c r="G97" s="442">
        <f t="shared" ref="G97:N97" si="25">G98+G99</f>
        <v>854.4</v>
      </c>
      <c r="H97" s="442">
        <f t="shared" si="25"/>
        <v>858.7</v>
      </c>
      <c r="I97" s="442">
        <f t="shared" si="25"/>
        <v>878.91200000000003</v>
      </c>
      <c r="J97" s="442">
        <f t="shared" si="25"/>
        <v>3142.9549999999999</v>
      </c>
      <c r="K97" s="442">
        <f t="shared" si="25"/>
        <v>1863.174</v>
      </c>
      <c r="L97" s="442">
        <f t="shared" si="25"/>
        <v>1307.4940000000001</v>
      </c>
      <c r="M97" s="442">
        <f t="shared" si="25"/>
        <v>3530.9749999999999</v>
      </c>
      <c r="N97" s="442">
        <f t="shared" si="25"/>
        <v>1812.8558400000002</v>
      </c>
      <c r="O97" s="442">
        <f>O98+O99</f>
        <v>1537.1944933333332</v>
      </c>
      <c r="P97" s="442">
        <f t="shared" ref="P97:R97" si="26">P98+P99</f>
        <v>1378.037333333333</v>
      </c>
      <c r="Q97" s="442">
        <f t="shared" si="26"/>
        <v>1212.615</v>
      </c>
      <c r="R97" s="442">
        <f t="shared" si="26"/>
        <v>1208.7130000000002</v>
      </c>
      <c r="S97" s="673">
        <f>S98+S99</f>
        <v>1206.0250000000001</v>
      </c>
      <c r="T97" s="673">
        <f t="shared" ref="T97:U97" si="27">T98+T99</f>
        <v>1206.7340000000002</v>
      </c>
      <c r="U97" s="673">
        <f t="shared" si="27"/>
        <v>1142.3120000000001</v>
      </c>
      <c r="V97" s="673">
        <f>V98+V99</f>
        <v>1132.155</v>
      </c>
      <c r="W97" s="657"/>
      <c r="X97" s="657"/>
      <c r="Y97" s="657"/>
      <c r="Z97" s="657"/>
      <c r="AA97" s="657"/>
      <c r="AB97" s="657"/>
      <c r="AC97" s="657"/>
      <c r="AD97" s="657"/>
      <c r="AE97" s="657"/>
      <c r="AF97" s="657"/>
      <c r="AG97" s="209"/>
    </row>
    <row r="98" spans="2:33" ht="25.75" customHeight="1" x14ac:dyDescent="0.35">
      <c r="B98" s="418" t="s">
        <v>1841</v>
      </c>
      <c r="C98" s="235"/>
      <c r="D98" s="701">
        <f t="shared" ref="D98:V98" si="28">D14+D17+D35</f>
        <v>812.1</v>
      </c>
      <c r="E98" s="701">
        <f t="shared" si="28"/>
        <v>833.1</v>
      </c>
      <c r="F98" s="442">
        <f t="shared" si="28"/>
        <v>845.8</v>
      </c>
      <c r="G98" s="442">
        <f t="shared" si="28"/>
        <v>854.4</v>
      </c>
      <c r="H98" s="442">
        <f t="shared" si="28"/>
        <v>858.7</v>
      </c>
      <c r="I98" s="442">
        <f t="shared" si="28"/>
        <v>872</v>
      </c>
      <c r="J98" s="442">
        <f t="shared" si="28"/>
        <v>1795.8</v>
      </c>
      <c r="K98" s="442">
        <f t="shared" si="28"/>
        <v>1656.8</v>
      </c>
      <c r="L98" s="442">
        <f t="shared" si="28"/>
        <v>1191.7</v>
      </c>
      <c r="M98" s="442">
        <f t="shared" si="28"/>
        <v>1473.1</v>
      </c>
      <c r="N98" s="442">
        <f t="shared" si="28"/>
        <v>1346.4</v>
      </c>
      <c r="O98" s="442">
        <f t="shared" si="28"/>
        <v>1318.833333333333</v>
      </c>
      <c r="P98" s="442">
        <f t="shared" si="28"/>
        <v>1157.333333333333</v>
      </c>
      <c r="Q98" s="442">
        <f t="shared" si="28"/>
        <v>1036.4000000000001</v>
      </c>
      <c r="R98" s="442">
        <f t="shared" si="28"/>
        <v>1042.6000000000001</v>
      </c>
      <c r="S98" s="673">
        <f t="shared" si="28"/>
        <v>1054.8</v>
      </c>
      <c r="T98" s="673">
        <f t="shared" si="28"/>
        <v>1078.7</v>
      </c>
      <c r="U98" s="673">
        <f t="shared" si="28"/>
        <v>1045.2</v>
      </c>
      <c r="V98" s="673">
        <f t="shared" si="28"/>
        <v>1066.76</v>
      </c>
      <c r="W98" s="657"/>
      <c r="X98" s="657"/>
      <c r="Y98" s="657"/>
      <c r="Z98" s="657"/>
      <c r="AA98" s="657"/>
      <c r="AB98" s="657"/>
      <c r="AC98" s="657"/>
      <c r="AD98" s="657"/>
      <c r="AE98" s="657"/>
      <c r="AF98" s="657"/>
      <c r="AG98" s="657"/>
    </row>
    <row r="99" spans="2:33" ht="36" customHeight="1" x14ac:dyDescent="0.35">
      <c r="B99" s="418" t="s">
        <v>1842</v>
      </c>
      <c r="C99" s="235"/>
      <c r="D99" s="442">
        <f t="shared" ref="D99:AG99" si="29">D18+D21+D32+D33+D34+D36</f>
        <v>0</v>
      </c>
      <c r="E99" s="442">
        <f t="shared" si="29"/>
        <v>0</v>
      </c>
      <c r="F99" s="442">
        <f t="shared" si="29"/>
        <v>0</v>
      </c>
      <c r="G99" s="442">
        <f t="shared" si="29"/>
        <v>0</v>
      </c>
      <c r="H99" s="442">
        <f t="shared" si="29"/>
        <v>0</v>
      </c>
      <c r="I99" s="442">
        <f t="shared" si="29"/>
        <v>6.9120000000000061</v>
      </c>
      <c r="J99" s="442">
        <f t="shared" si="29"/>
        <v>1347.155</v>
      </c>
      <c r="K99" s="442">
        <f t="shared" si="29"/>
        <v>206.37400000000002</v>
      </c>
      <c r="L99" s="442">
        <f t="shared" si="29"/>
        <v>115.79400000000001</v>
      </c>
      <c r="M99" s="442">
        <f t="shared" si="29"/>
        <v>2057.875</v>
      </c>
      <c r="N99" s="442">
        <f t="shared" si="29"/>
        <v>466.45584000000008</v>
      </c>
      <c r="O99" s="442">
        <f t="shared" si="29"/>
        <v>218.3611600000001</v>
      </c>
      <c r="P99" s="442">
        <f t="shared" si="29"/>
        <v>220.70400000000004</v>
      </c>
      <c r="Q99" s="442">
        <f t="shared" si="29"/>
        <v>176.215</v>
      </c>
      <c r="R99" s="442">
        <f t="shared" si="29"/>
        <v>166.113</v>
      </c>
      <c r="S99" s="673">
        <f t="shared" si="29"/>
        <v>151.22500000000002</v>
      </c>
      <c r="T99" s="673">
        <f t="shared" si="29"/>
        <v>128.03400000000002</v>
      </c>
      <c r="U99" s="673">
        <f t="shared" si="29"/>
        <v>97.111999999999995</v>
      </c>
      <c r="V99" s="673">
        <f t="shared" si="29"/>
        <v>65.39500000000001</v>
      </c>
      <c r="W99" s="657">
        <f t="shared" si="29"/>
        <v>65.39500000000001</v>
      </c>
      <c r="X99" s="657">
        <f t="shared" si="29"/>
        <v>57.680000000000007</v>
      </c>
      <c r="Y99" s="657">
        <f t="shared" si="29"/>
        <v>57.680000000000007</v>
      </c>
      <c r="Z99" s="657">
        <f t="shared" si="29"/>
        <v>57.680000000000007</v>
      </c>
      <c r="AA99" s="657">
        <f t="shared" si="29"/>
        <v>57.680000000000007</v>
      </c>
      <c r="AB99" s="657">
        <f t="shared" si="29"/>
        <v>55.981000000000009</v>
      </c>
      <c r="AC99" s="657">
        <f t="shared" si="29"/>
        <v>55.981000000000009</v>
      </c>
      <c r="AD99" s="657">
        <f t="shared" si="29"/>
        <v>0</v>
      </c>
      <c r="AE99" s="657">
        <f t="shared" si="29"/>
        <v>0</v>
      </c>
      <c r="AF99" s="657">
        <f t="shared" si="29"/>
        <v>0</v>
      </c>
      <c r="AG99" s="657">
        <f t="shared" si="29"/>
        <v>0</v>
      </c>
    </row>
    <row r="100" spans="2:33" ht="25.75" customHeight="1" x14ac:dyDescent="0.35">
      <c r="B100" s="474" t="s">
        <v>799</v>
      </c>
      <c r="C100" s="235"/>
      <c r="D100" s="701">
        <f>D96-D97</f>
        <v>1410.9</v>
      </c>
      <c r="E100" s="442">
        <f t="shared" ref="E100:T100" si="30">E96-E97</f>
        <v>1470.7000000000003</v>
      </c>
      <c r="F100" s="442">
        <f t="shared" si="30"/>
        <v>1475.8999999999999</v>
      </c>
      <c r="G100" s="442">
        <f t="shared" si="30"/>
        <v>1482.6999999999998</v>
      </c>
      <c r="H100" s="442">
        <f t="shared" si="30"/>
        <v>1490.8</v>
      </c>
      <c r="I100" s="442">
        <f t="shared" si="30"/>
        <v>1535.4880000000001</v>
      </c>
      <c r="J100" s="442">
        <f t="shared" si="30"/>
        <v>1511.1450000000004</v>
      </c>
      <c r="K100" s="442">
        <f t="shared" si="30"/>
        <v>1641.5259999999998</v>
      </c>
      <c r="L100" s="442">
        <f t="shared" si="30"/>
        <v>1580.9059999999999</v>
      </c>
      <c r="M100" s="442">
        <f t="shared" si="30"/>
        <v>1607.1250000000005</v>
      </c>
      <c r="N100" s="442">
        <f t="shared" si="30"/>
        <v>1584.94416</v>
      </c>
      <c r="O100" s="442">
        <f t="shared" si="30"/>
        <v>1587.7055066666669</v>
      </c>
      <c r="P100" s="442">
        <f t="shared" si="30"/>
        <v>1574.5626666666669</v>
      </c>
      <c r="Q100" s="442">
        <f t="shared" si="30"/>
        <v>1758.2850000000001</v>
      </c>
      <c r="R100" s="442">
        <f t="shared" si="30"/>
        <v>1767.4869999999996</v>
      </c>
      <c r="S100" s="673">
        <f t="shared" si="30"/>
        <v>1764.375</v>
      </c>
      <c r="T100" s="673">
        <f t="shared" si="30"/>
        <v>1817.6659999999999</v>
      </c>
      <c r="U100" s="673">
        <f>U96-U97</f>
        <v>1896.088</v>
      </c>
      <c r="V100" s="673">
        <f>V96-V97</f>
        <v>1916.9449999999999</v>
      </c>
      <c r="W100" s="657"/>
      <c r="X100" s="657"/>
      <c r="Y100" s="657"/>
      <c r="Z100" s="657"/>
      <c r="AA100" s="657"/>
      <c r="AB100" s="657"/>
      <c r="AC100" s="657"/>
      <c r="AD100" s="657"/>
      <c r="AE100" s="657"/>
      <c r="AF100" s="657"/>
      <c r="AG100" s="209"/>
    </row>
    <row r="101" spans="2:33" ht="20.5" customHeight="1" x14ac:dyDescent="0.35">
      <c r="B101" s="684" t="s">
        <v>800</v>
      </c>
      <c r="C101" s="685"/>
      <c r="D101" s="691">
        <f t="shared" ref="D101:I101" si="31">D12-D14-D17-D35</f>
        <v>1410.9</v>
      </c>
      <c r="E101" s="661">
        <f t="shared" si="31"/>
        <v>1470.7000000000003</v>
      </c>
      <c r="F101" s="661">
        <f t="shared" si="31"/>
        <v>1475.8999999999996</v>
      </c>
      <c r="G101" s="661">
        <f t="shared" si="31"/>
        <v>1482.6999999999998</v>
      </c>
      <c r="H101" s="661">
        <f t="shared" si="31"/>
        <v>1490.8000000000002</v>
      </c>
      <c r="I101" s="661">
        <f t="shared" si="31"/>
        <v>1542.4</v>
      </c>
      <c r="J101" s="692">
        <f>I101+($H$101-$E$101)/3</f>
        <v>1549.1000000000001</v>
      </c>
      <c r="K101" s="692">
        <f>J101+($H$101-$E$101)/3</f>
        <v>1555.8000000000002</v>
      </c>
      <c r="L101" s="692">
        <f>K101+($H$101-$E$101)/3</f>
        <v>1562.5000000000002</v>
      </c>
      <c r="M101" s="693">
        <f>L101+($H$101-$E$101)/3 +(M105-L105)</f>
        <v>1586.8430000000003</v>
      </c>
      <c r="N101" s="692">
        <f>M101+($H$101-$E$101)/3</f>
        <v>1593.5430000000003</v>
      </c>
      <c r="O101" s="692">
        <f>N101+($H$101-$E$101)/3</f>
        <v>1600.2430000000004</v>
      </c>
      <c r="P101" s="692">
        <f>O101+($H$101-$E$101)/3</f>
        <v>1606.9430000000004</v>
      </c>
      <c r="Q101" s="693">
        <f>P101+($H$101-$E$101)/3 + 0.06*Q105</f>
        <v>1685.5501200000006</v>
      </c>
      <c r="R101" s="692">
        <f>Q101+($H$101-$E$101)/3</f>
        <v>1692.2501200000006</v>
      </c>
      <c r="S101" s="692">
        <f>R101+($H$101-$E$101)/3</f>
        <v>1698.9501200000007</v>
      </c>
      <c r="T101" s="692">
        <f>S101+($H$101-$E$101)/3</f>
        <v>1705.6501200000007</v>
      </c>
      <c r="U101" s="692">
        <f>T101+U102</f>
        <v>1818.9789730000007</v>
      </c>
      <c r="V101" s="692">
        <f>U101+V102</f>
        <v>1825.6789730000007</v>
      </c>
      <c r="W101" s="686">
        <f t="shared" ref="W101:AF101" si="32">V101+W102</f>
        <v>1832.3789730000008</v>
      </c>
      <c r="X101" s="686">
        <f t="shared" si="32"/>
        <v>1839.0789730000008</v>
      </c>
      <c r="Y101" s="686">
        <f t="shared" si="32"/>
        <v>1888.4225177000008</v>
      </c>
      <c r="Z101" s="686">
        <f t="shared" si="32"/>
        <v>1895.1225177000008</v>
      </c>
      <c r="AA101" s="686">
        <f t="shared" si="32"/>
        <v>1901.8225177000008</v>
      </c>
      <c r="AB101" s="686">
        <f t="shared" si="32"/>
        <v>1908.5225177000009</v>
      </c>
      <c r="AC101" s="686">
        <f t="shared" si="32"/>
        <v>1944.8697280960009</v>
      </c>
      <c r="AD101" s="686">
        <f t="shared" si="32"/>
        <v>1951.569728096001</v>
      </c>
      <c r="AE101" s="686">
        <f t="shared" si="32"/>
        <v>1958.269728096001</v>
      </c>
      <c r="AF101" s="686">
        <f t="shared" si="32"/>
        <v>1964.9697280960011</v>
      </c>
      <c r="AG101" s="209"/>
    </row>
    <row r="102" spans="2:33" ht="20.5" customHeight="1" x14ac:dyDescent="0.35">
      <c r="B102" s="687" t="s">
        <v>1802</v>
      </c>
      <c r="C102" s="235"/>
      <c r="D102" s="701"/>
      <c r="E102" s="442"/>
      <c r="F102" s="442"/>
      <c r="G102" s="442"/>
      <c r="H102" s="442"/>
      <c r="I102" s="442"/>
      <c r="J102" s="674"/>
      <c r="K102" s="674"/>
      <c r="L102" s="674"/>
      <c r="M102" s="694"/>
      <c r="N102" s="674"/>
      <c r="O102" s="674"/>
      <c r="P102" s="674"/>
      <c r="Q102" s="694"/>
      <c r="R102" s="674"/>
      <c r="S102" s="674"/>
      <c r="T102" s="674"/>
      <c r="U102" s="674">
        <f>U103+U104</f>
        <v>113.32885299999995</v>
      </c>
      <c r="V102" s="674">
        <f>V103+V104</f>
        <v>6.69999999999997</v>
      </c>
      <c r="W102" s="657">
        <f t="shared" ref="W102:AF102" si="33">W103+W108*W105</f>
        <v>6.69999999999997</v>
      </c>
      <c r="X102" s="657">
        <f t="shared" si="33"/>
        <v>6.69999999999997</v>
      </c>
      <c r="Y102" s="657">
        <f t="shared" si="33"/>
        <v>49.34354469999996</v>
      </c>
      <c r="Z102" s="657">
        <f t="shared" si="33"/>
        <v>6.69999999999997</v>
      </c>
      <c r="AA102" s="657">
        <f t="shared" si="33"/>
        <v>6.69999999999997</v>
      </c>
      <c r="AB102" s="657">
        <f t="shared" si="33"/>
        <v>6.69999999999997</v>
      </c>
      <c r="AC102" s="657">
        <f t="shared" si="33"/>
        <v>36.347210395999973</v>
      </c>
      <c r="AD102" s="657">
        <f t="shared" si="33"/>
        <v>6.69999999999997</v>
      </c>
      <c r="AE102" s="657">
        <f t="shared" si="33"/>
        <v>6.69999999999997</v>
      </c>
      <c r="AF102" s="657">
        <f t="shared" si="33"/>
        <v>6.69999999999997</v>
      </c>
      <c r="AG102" s="209"/>
    </row>
    <row r="103" spans="2:33" ht="28.4" customHeight="1" x14ac:dyDescent="0.35">
      <c r="B103" s="688" t="s">
        <v>1799</v>
      </c>
      <c r="C103" s="235"/>
      <c r="D103" s="701"/>
      <c r="E103" s="442"/>
      <c r="F103" s="442"/>
      <c r="G103" s="442"/>
      <c r="H103" s="442"/>
      <c r="I103" s="442"/>
      <c r="J103" s="674"/>
      <c r="K103" s="674"/>
      <c r="L103" s="674"/>
      <c r="M103" s="694"/>
      <c r="N103" s="674"/>
      <c r="O103" s="674"/>
      <c r="P103" s="674"/>
      <c r="Q103" s="694"/>
      <c r="R103" s="674"/>
      <c r="S103" s="674"/>
      <c r="T103" s="674"/>
      <c r="U103" s="674">
        <f>($H$101-$E$101)/3</f>
        <v>6.69999999999997</v>
      </c>
      <c r="V103" s="674">
        <f>($H$101-$E$101)/3</f>
        <v>6.69999999999997</v>
      </c>
      <c r="W103" s="657">
        <f t="shared" ref="W103:AF103" si="34">V103</f>
        <v>6.69999999999997</v>
      </c>
      <c r="X103" s="657">
        <f t="shared" si="34"/>
        <v>6.69999999999997</v>
      </c>
      <c r="Y103" s="657">
        <f t="shared" si="34"/>
        <v>6.69999999999997</v>
      </c>
      <c r="Z103" s="657">
        <f t="shared" si="34"/>
        <v>6.69999999999997</v>
      </c>
      <c r="AA103" s="657">
        <f t="shared" si="34"/>
        <v>6.69999999999997</v>
      </c>
      <c r="AB103" s="657">
        <f t="shared" si="34"/>
        <v>6.69999999999997</v>
      </c>
      <c r="AC103" s="657">
        <f t="shared" si="34"/>
        <v>6.69999999999997</v>
      </c>
      <c r="AD103" s="657">
        <f t="shared" si="34"/>
        <v>6.69999999999997</v>
      </c>
      <c r="AE103" s="657">
        <f t="shared" si="34"/>
        <v>6.69999999999997</v>
      </c>
      <c r="AF103" s="657">
        <f t="shared" si="34"/>
        <v>6.69999999999997</v>
      </c>
      <c r="AG103" s="209"/>
    </row>
    <row r="104" spans="2:33" ht="30.65" customHeight="1" x14ac:dyDescent="0.35">
      <c r="B104" s="689" t="s">
        <v>1800</v>
      </c>
      <c r="C104" s="690"/>
      <c r="D104" s="695"/>
      <c r="E104" s="662"/>
      <c r="F104" s="662"/>
      <c r="G104" s="662"/>
      <c r="H104" s="662"/>
      <c r="I104" s="662"/>
      <c r="J104" s="696"/>
      <c r="K104" s="696"/>
      <c r="L104" s="696"/>
      <c r="M104" s="697"/>
      <c r="N104" s="696"/>
      <c r="O104" s="696"/>
      <c r="P104" s="696"/>
      <c r="Q104" s="697"/>
      <c r="R104" s="696"/>
      <c r="S104" s="696"/>
      <c r="T104" s="696"/>
      <c r="U104" s="696">
        <f>U108*T105</f>
        <v>106.62885299999998</v>
      </c>
      <c r="V104" s="696">
        <f>V108*U105</f>
        <v>0</v>
      </c>
      <c r="W104" s="698">
        <f t="shared" ref="W104:AF104" si="35">W108*V105</f>
        <v>0</v>
      </c>
      <c r="X104" s="698">
        <f t="shared" si="35"/>
        <v>0</v>
      </c>
      <c r="Y104" s="698">
        <f>Y108*X105</f>
        <v>41.168489999999998</v>
      </c>
      <c r="Z104" s="698">
        <f t="shared" si="35"/>
        <v>0</v>
      </c>
      <c r="AA104" s="698">
        <f t="shared" si="35"/>
        <v>0</v>
      </c>
      <c r="AB104" s="698">
        <f t="shared" si="35"/>
        <v>0</v>
      </c>
      <c r="AC104" s="698">
        <f t="shared" si="35"/>
        <v>28.909029799999999</v>
      </c>
      <c r="AD104" s="698">
        <f t="shared" si="35"/>
        <v>0</v>
      </c>
      <c r="AE104" s="698">
        <f t="shared" si="35"/>
        <v>0</v>
      </c>
      <c r="AF104" s="698">
        <f t="shared" si="35"/>
        <v>0</v>
      </c>
      <c r="AG104" s="209"/>
    </row>
    <row r="105" spans="2:33" ht="17.5" customHeight="1" x14ac:dyDescent="0.35">
      <c r="B105" s="548" t="s">
        <v>473</v>
      </c>
      <c r="C105" s="235" t="s">
        <v>474</v>
      </c>
      <c r="D105" s="701">
        <f>'Haver Pivoted'!GO88/1000</f>
        <v>983.86099999999999</v>
      </c>
      <c r="E105" s="442">
        <f>'Haver Pivoted'!GP88/1000</f>
        <v>1019.19</v>
      </c>
      <c r="F105" s="442">
        <f>'Haver Pivoted'!GQ88/1000</f>
        <v>1026.704</v>
      </c>
      <c r="G105" s="442">
        <f>'Haver Pivoted'!GR88/1000</f>
        <v>1034.4169999999999</v>
      </c>
      <c r="H105" s="442">
        <f>'Haver Pivoted'!GS88/1000</f>
        <v>1042.6610000000001</v>
      </c>
      <c r="I105" s="442">
        <f>'Haver Pivoted'!GT88/1000</f>
        <v>1068.201</v>
      </c>
      <c r="J105" s="442">
        <f>'Haver Pivoted'!GU88/1000</f>
        <v>1075.075</v>
      </c>
      <c r="K105" s="442">
        <f>'Haver Pivoted'!GV88/1000</f>
        <v>1080.441</v>
      </c>
      <c r="L105" s="442">
        <f>'Haver Pivoted'!GW88/1000</f>
        <v>1087.9949999999999</v>
      </c>
      <c r="M105" s="442">
        <f>'Haver Pivoted'!GX88/1000</f>
        <v>1105.6379999999999</v>
      </c>
      <c r="N105" s="442">
        <f>'Haver Pivoted'!GY88/1000</f>
        <v>1109.6400000000001</v>
      </c>
      <c r="O105" s="442">
        <f>'Haver Pivoted'!GZ88/1000</f>
        <v>1116.9480000000001</v>
      </c>
      <c r="P105" s="442">
        <f>'Haver Pivoted'!HA88/1000</f>
        <v>1126.174</v>
      </c>
      <c r="Q105" s="442">
        <f>'Haver Pivoted'!HB88/1000</f>
        <v>1198.452</v>
      </c>
      <c r="R105" s="442">
        <f>'Haver Pivoted'!HC88/1000</f>
        <v>1207.163</v>
      </c>
      <c r="S105" s="673">
        <f>'Haver Pivoted'!HD88/1000</f>
        <v>1214.7809999999999</v>
      </c>
      <c r="T105" s="673">
        <f>'Haver Pivoted'!HE88/1000</f>
        <v>1225.6189999999999</v>
      </c>
      <c r="U105" s="673">
        <f>'Haver Pivoted'!HF88/1000</f>
        <v>1339.904</v>
      </c>
      <c r="V105" s="673">
        <f>'Haver Pivoted'!HG88/1000</f>
        <v>1353.2829999999999</v>
      </c>
      <c r="W105" s="657">
        <f t="shared" ref="W105:AF105" si="36">V105+W106</f>
        <v>1364.2829999999999</v>
      </c>
      <c r="X105" s="657">
        <f t="shared" si="36"/>
        <v>1372.2829999999999</v>
      </c>
      <c r="Y105" s="657">
        <f t="shared" si="36"/>
        <v>1421.4514899999999</v>
      </c>
      <c r="Z105" s="657">
        <f t="shared" si="36"/>
        <v>1429.4514899999999</v>
      </c>
      <c r="AA105" s="657">
        <f t="shared" si="36"/>
        <v>1437.4514899999999</v>
      </c>
      <c r="AB105" s="657">
        <f t="shared" si="36"/>
        <v>1445.4514899999999</v>
      </c>
      <c r="AC105" s="657">
        <f t="shared" si="36"/>
        <v>1482.3605198</v>
      </c>
      <c r="AD105" s="657">
        <f t="shared" si="36"/>
        <v>1491.3605198</v>
      </c>
      <c r="AE105" s="657">
        <f t="shared" si="36"/>
        <v>1501.3605198</v>
      </c>
      <c r="AF105" s="657">
        <f t="shared" si="36"/>
        <v>1512.3605198</v>
      </c>
      <c r="AG105" s="209"/>
    </row>
    <row r="106" spans="2:33" ht="17.5" customHeight="1" x14ac:dyDescent="0.35">
      <c r="B106" s="418" t="s">
        <v>1801</v>
      </c>
      <c r="C106" s="235"/>
      <c r="D106" s="701"/>
      <c r="E106" s="442"/>
      <c r="F106" s="442"/>
      <c r="G106" s="442"/>
      <c r="H106" s="442"/>
      <c r="I106" s="442"/>
      <c r="J106" s="442"/>
      <c r="K106" s="442"/>
      <c r="L106" s="442"/>
      <c r="M106" s="442"/>
      <c r="N106" s="442"/>
      <c r="O106" s="442"/>
      <c r="P106" s="442"/>
      <c r="Q106" s="442"/>
      <c r="R106" s="442"/>
      <c r="S106" s="673"/>
      <c r="T106" s="673"/>
      <c r="U106" s="673">
        <f>U104+U107</f>
        <v>114.62885299999998</v>
      </c>
      <c r="V106" s="673">
        <f>V104+V107</f>
        <v>8</v>
      </c>
      <c r="W106" s="657">
        <f t="shared" ref="W106:AF106" si="37">W104+W107</f>
        <v>11</v>
      </c>
      <c r="X106" s="657">
        <f t="shared" si="37"/>
        <v>8</v>
      </c>
      <c r="Y106" s="657">
        <f>Y104+Y107</f>
        <v>49.168489999999998</v>
      </c>
      <c r="Z106" s="657">
        <f t="shared" si="37"/>
        <v>8</v>
      </c>
      <c r="AA106" s="657">
        <f t="shared" si="37"/>
        <v>8</v>
      </c>
      <c r="AB106" s="657">
        <f t="shared" si="37"/>
        <v>8</v>
      </c>
      <c r="AC106" s="657">
        <f t="shared" si="37"/>
        <v>36.909029799999999</v>
      </c>
      <c r="AD106" s="657">
        <f t="shared" si="37"/>
        <v>9</v>
      </c>
      <c r="AE106" s="657">
        <f t="shared" si="37"/>
        <v>10</v>
      </c>
      <c r="AF106" s="657">
        <f t="shared" si="37"/>
        <v>11</v>
      </c>
      <c r="AG106" s="209"/>
    </row>
    <row r="107" spans="2:33" ht="17.5" customHeight="1" x14ac:dyDescent="0.35">
      <c r="B107" s="410" t="s">
        <v>1804</v>
      </c>
      <c r="C107" s="235"/>
      <c r="D107" s="701"/>
      <c r="E107" s="442"/>
      <c r="F107" s="442"/>
      <c r="G107" s="442"/>
      <c r="H107" s="442"/>
      <c r="I107" s="442"/>
      <c r="J107" s="442"/>
      <c r="K107" s="442"/>
      <c r="L107" s="442"/>
      <c r="M107" s="442"/>
      <c r="N107" s="442"/>
      <c r="O107" s="442"/>
      <c r="P107" s="442"/>
      <c r="Q107" s="442"/>
      <c r="R107" s="442"/>
      <c r="S107" s="673"/>
      <c r="T107" s="673"/>
      <c r="U107" s="673">
        <v>8</v>
      </c>
      <c r="V107" s="673">
        <v>8</v>
      </c>
      <c r="W107" s="657">
        <v>11</v>
      </c>
      <c r="X107" s="657">
        <v>8</v>
      </c>
      <c r="Y107" s="657">
        <v>8</v>
      </c>
      <c r="Z107" s="657">
        <v>8</v>
      </c>
      <c r="AA107" s="657">
        <v>8</v>
      </c>
      <c r="AB107" s="657">
        <v>8</v>
      </c>
      <c r="AC107" s="657">
        <v>8</v>
      </c>
      <c r="AD107" s="657">
        <v>9</v>
      </c>
      <c r="AE107" s="657">
        <v>10</v>
      </c>
      <c r="AF107" s="657">
        <v>11</v>
      </c>
      <c r="AG107" s="209"/>
    </row>
    <row r="108" spans="2:33" ht="39" customHeight="1" x14ac:dyDescent="0.35">
      <c r="B108" s="410" t="s">
        <v>1805</v>
      </c>
      <c r="C108" s="235"/>
      <c r="D108" s="701"/>
      <c r="E108" s="442"/>
      <c r="F108" s="442"/>
      <c r="G108" s="442"/>
      <c r="H108" s="442"/>
      <c r="I108" s="662"/>
      <c r="J108" s="662"/>
      <c r="K108" s="662"/>
      <c r="L108" s="662"/>
      <c r="M108" s="662"/>
      <c r="N108" s="662"/>
      <c r="O108" s="662"/>
      <c r="P108" s="662"/>
      <c r="Q108" s="662"/>
      <c r="R108" s="662"/>
      <c r="S108" s="699"/>
      <c r="T108" s="699"/>
      <c r="U108" s="675">
        <v>8.6999999999999994E-2</v>
      </c>
      <c r="V108" s="663">
        <v>0</v>
      </c>
      <c r="W108" s="700">
        <v>0</v>
      </c>
      <c r="X108" s="700">
        <v>0</v>
      </c>
      <c r="Y108" s="700">
        <v>0.03</v>
      </c>
      <c r="Z108" s="700">
        <v>0</v>
      </c>
      <c r="AA108" s="700">
        <v>0</v>
      </c>
      <c r="AB108" s="700">
        <v>0</v>
      </c>
      <c r="AC108" s="700">
        <v>0.02</v>
      </c>
      <c r="AD108" s="700">
        <v>0</v>
      </c>
      <c r="AE108" s="700">
        <v>0</v>
      </c>
      <c r="AF108" s="700">
        <v>0</v>
      </c>
      <c r="AG108" s="209"/>
    </row>
    <row r="109" spans="2:33" ht="49.75" customHeight="1" x14ac:dyDescent="0.35">
      <c r="B109" s="474" t="s">
        <v>1427</v>
      </c>
      <c r="C109" s="235"/>
      <c r="D109" s="701">
        <f t="shared" ref="D109:T109" si="38">D100-D101</f>
        <v>0</v>
      </c>
      <c r="E109" s="442">
        <f t="shared" si="38"/>
        <v>0</v>
      </c>
      <c r="F109" s="442">
        <f t="shared" si="38"/>
        <v>0</v>
      </c>
      <c r="G109" s="442">
        <f t="shared" si="38"/>
        <v>0</v>
      </c>
      <c r="H109" s="442">
        <f t="shared" si="38"/>
        <v>0</v>
      </c>
      <c r="I109" s="442">
        <f t="shared" si="38"/>
        <v>-6.9120000000000346</v>
      </c>
      <c r="J109" s="442">
        <f t="shared" si="38"/>
        <v>-37.9549999999997</v>
      </c>
      <c r="K109" s="442">
        <f t="shared" si="38"/>
        <v>85.725999999999658</v>
      </c>
      <c r="L109" s="442">
        <f t="shared" si="38"/>
        <v>18.405999999999722</v>
      </c>
      <c r="M109" s="442">
        <f t="shared" si="38"/>
        <v>20.282000000000153</v>
      </c>
      <c r="N109" s="442">
        <f t="shared" si="38"/>
        <v>-8.5988400000003367</v>
      </c>
      <c r="O109" s="442">
        <f t="shared" si="38"/>
        <v>-12.537493333333487</v>
      </c>
      <c r="P109" s="442">
        <f t="shared" si="38"/>
        <v>-32.38033333333351</v>
      </c>
      <c r="Q109" s="442">
        <f t="shared" si="38"/>
        <v>72.734879999999521</v>
      </c>
      <c r="R109" s="442">
        <f t="shared" si="38"/>
        <v>75.236879999999019</v>
      </c>
      <c r="S109" s="673">
        <f t="shared" si="38"/>
        <v>65.424879999999348</v>
      </c>
      <c r="T109" s="673">
        <f t="shared" si="38"/>
        <v>112.01587999999924</v>
      </c>
      <c r="U109" s="673">
        <f>U100-U101</f>
        <v>77.109026999999287</v>
      </c>
      <c r="V109" s="673">
        <f>V100-V101</f>
        <v>91.266026999999212</v>
      </c>
      <c r="W109" s="657">
        <f t="shared" ref="W109:AF109" si="39">V109</f>
        <v>91.266026999999212</v>
      </c>
      <c r="X109" s="657">
        <f t="shared" si="39"/>
        <v>91.266026999999212</v>
      </c>
      <c r="Y109" s="657">
        <f t="shared" si="39"/>
        <v>91.266026999999212</v>
      </c>
      <c r="Z109" s="657">
        <f t="shared" si="39"/>
        <v>91.266026999999212</v>
      </c>
      <c r="AA109" s="657">
        <f t="shared" si="39"/>
        <v>91.266026999999212</v>
      </c>
      <c r="AB109" s="657">
        <f t="shared" si="39"/>
        <v>91.266026999999212</v>
      </c>
      <c r="AC109" s="657">
        <f t="shared" si="39"/>
        <v>91.266026999999212</v>
      </c>
      <c r="AD109" s="657">
        <f t="shared" si="39"/>
        <v>91.266026999999212</v>
      </c>
      <c r="AE109" s="657">
        <f t="shared" si="39"/>
        <v>91.266026999999212</v>
      </c>
      <c r="AF109" s="657">
        <f t="shared" si="39"/>
        <v>91.266026999999212</v>
      </c>
      <c r="AG109" s="209"/>
    </row>
    <row r="110" spans="2:33" ht="29.5" customHeight="1" x14ac:dyDescent="0.35">
      <c r="B110" s="271"/>
      <c r="C110" s="235"/>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spans="2:33" ht="16.75" customHeight="1" x14ac:dyDescent="0.35">
      <c r="B111" s="235"/>
      <c r="C111" s="235"/>
      <c r="S111" s="490"/>
      <c r="T111" s="490"/>
      <c r="U111" s="235"/>
      <c r="V111" s="235"/>
      <c r="W111" s="235"/>
      <c r="X111" s="235"/>
      <c r="Y111" s="235"/>
      <c r="Z111" s="235"/>
      <c r="AA111" s="235"/>
      <c r="AB111" s="235"/>
      <c r="AC111" s="235"/>
    </row>
    <row r="112" spans="2:33" ht="16.75" customHeight="1" x14ac:dyDescent="0.35">
      <c r="B112" s="235"/>
      <c r="C112" s="235"/>
      <c r="S112" s="224"/>
      <c r="T112" s="224"/>
      <c r="U112" s="235"/>
      <c r="V112" s="235"/>
      <c r="W112" s="235"/>
      <c r="X112" s="235"/>
      <c r="Y112" s="235"/>
      <c r="Z112" s="235"/>
      <c r="AA112" s="235"/>
      <c r="AB112" s="235"/>
      <c r="AC112" s="235"/>
    </row>
    <row r="113" spans="2:30" ht="16.75" customHeight="1" x14ac:dyDescent="0.35">
      <c r="B113" s="235"/>
      <c r="C113" s="235"/>
      <c r="S113" s="224"/>
      <c r="T113" s="224"/>
      <c r="U113" s="235"/>
      <c r="V113" s="235"/>
      <c r="W113" s="235"/>
      <c r="X113" s="235"/>
      <c r="Y113" s="235"/>
      <c r="Z113" s="235"/>
      <c r="AA113" s="235"/>
      <c r="AB113" s="235"/>
      <c r="AC113" s="235"/>
    </row>
    <row r="114" spans="2:30" ht="16.75" customHeight="1" x14ac:dyDescent="0.35">
      <c r="B114" s="235"/>
      <c r="C114" s="235"/>
      <c r="S114" s="224"/>
      <c r="T114" s="224"/>
      <c r="U114" s="442"/>
      <c r="V114" s="442"/>
      <c r="W114" s="442"/>
      <c r="X114" s="442"/>
      <c r="Y114" s="442"/>
      <c r="Z114" s="442"/>
      <c r="AA114" s="442"/>
      <c r="AB114" s="442"/>
      <c r="AC114" s="442"/>
      <c r="AD114" s="515"/>
    </row>
    <row r="115" spans="2:30" ht="16.75" customHeight="1" x14ac:dyDescent="0.35">
      <c r="B115" s="220"/>
      <c r="C115" s="235"/>
      <c r="S115" s="224"/>
      <c r="T115" s="224"/>
      <c r="U115" s="224"/>
      <c r="V115" s="224"/>
      <c r="W115" s="224"/>
      <c r="X115" s="224"/>
      <c r="Y115" s="224"/>
      <c r="Z115" s="224"/>
      <c r="AA115" s="224"/>
      <c r="AB115" s="224"/>
      <c r="AC115" s="224"/>
      <c r="AD115" s="515"/>
    </row>
    <row r="116" spans="2:30" ht="16.75" customHeight="1" x14ac:dyDescent="0.35">
      <c r="B116" s="220"/>
      <c r="C116" s="235"/>
      <c r="S116" s="224"/>
      <c r="T116" s="224"/>
      <c r="U116" s="224"/>
      <c r="V116" s="224"/>
      <c r="W116" s="224"/>
      <c r="X116" s="224"/>
      <c r="Y116" s="224"/>
      <c r="Z116" s="224"/>
      <c r="AA116" s="224"/>
      <c r="AB116" s="224"/>
      <c r="AC116" s="224"/>
      <c r="AD116" s="515"/>
    </row>
    <row r="117" spans="2:30" ht="16.75" customHeight="1" x14ac:dyDescent="0.35">
      <c r="B117" s="220"/>
      <c r="C117" s="235"/>
      <c r="S117" s="224"/>
      <c r="T117" s="224"/>
      <c r="U117" s="224"/>
      <c r="V117" s="224"/>
      <c r="W117" s="224"/>
      <c r="X117" s="224"/>
      <c r="Y117" s="224"/>
      <c r="Z117" s="224"/>
      <c r="AA117" s="224"/>
      <c r="AB117" s="224"/>
      <c r="AC117" s="224"/>
      <c r="AD117" s="515"/>
    </row>
    <row r="118" spans="2:30" ht="16.75" customHeight="1" x14ac:dyDescent="0.35">
      <c r="B118" s="235"/>
      <c r="C118" s="235"/>
      <c r="S118" s="235"/>
      <c r="T118" s="235"/>
      <c r="U118" s="442"/>
      <c r="V118" s="442"/>
      <c r="W118" s="442"/>
      <c r="X118" s="442"/>
      <c r="Y118" s="442"/>
      <c r="Z118" s="442"/>
      <c r="AA118" s="442"/>
      <c r="AB118" s="442"/>
      <c r="AC118" s="442"/>
      <c r="AD118" s="515"/>
    </row>
    <row r="119" spans="2:30" ht="16.75" customHeight="1" x14ac:dyDescent="0.35">
      <c r="B119" s="220"/>
      <c r="C119" s="235"/>
      <c r="S119" s="235"/>
      <c r="T119" s="235"/>
      <c r="U119" s="442"/>
      <c r="V119" s="442"/>
      <c r="W119" s="442"/>
      <c r="X119" s="442"/>
      <c r="Y119" s="442"/>
      <c r="Z119" s="442"/>
      <c r="AA119" s="442"/>
      <c r="AB119" s="442"/>
      <c r="AC119" s="442"/>
      <c r="AD119" s="515"/>
    </row>
    <row r="120" spans="2:30" ht="16.75" customHeight="1" x14ac:dyDescent="0.35">
      <c r="B120" s="220"/>
      <c r="C120" s="235"/>
      <c r="S120" s="235"/>
      <c r="T120" s="235"/>
      <c r="U120" s="224"/>
      <c r="V120" s="224"/>
      <c r="W120" s="224"/>
      <c r="X120" s="224"/>
      <c r="Y120" s="224"/>
      <c r="Z120" s="224"/>
      <c r="AA120" s="224"/>
      <c r="AB120" s="224"/>
      <c r="AC120" s="224"/>
      <c r="AD120" s="515"/>
    </row>
    <row r="121" spans="2:30" ht="16.75" customHeight="1" x14ac:dyDescent="0.35">
      <c r="B121" s="220"/>
      <c r="C121" s="235"/>
      <c r="S121" s="235"/>
      <c r="T121" s="235"/>
      <c r="U121" s="676"/>
      <c r="V121" s="676"/>
      <c r="W121" s="676"/>
      <c r="X121" s="676"/>
      <c r="Y121" s="676"/>
      <c r="Z121" s="676"/>
      <c r="AA121" s="676"/>
      <c r="AB121" s="676"/>
      <c r="AC121" s="676"/>
      <c r="AD121" s="515"/>
    </row>
    <row r="122" spans="2:30" ht="16.75" customHeight="1" x14ac:dyDescent="0.35">
      <c r="B122" s="235"/>
      <c r="C122" s="235"/>
      <c r="S122" s="224"/>
      <c r="T122" s="224"/>
      <c r="U122" s="224"/>
      <c r="V122" s="224"/>
      <c r="W122" s="224"/>
      <c r="X122" s="224"/>
      <c r="Y122" s="224"/>
      <c r="Z122" s="224"/>
      <c r="AA122" s="224"/>
      <c r="AB122" s="224"/>
      <c r="AC122" s="224"/>
      <c r="AD122" s="515"/>
    </row>
    <row r="123" spans="2:30" ht="22.5" customHeight="1" x14ac:dyDescent="0.35">
      <c r="B123" s="271"/>
      <c r="C123" s="235"/>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spans="2:30" ht="22.5" customHeight="1" x14ac:dyDescent="0.35">
      <c r="B124" s="271"/>
      <c r="C124" s="235"/>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spans="2:30" ht="38.5" customHeight="1" x14ac:dyDescent="0.35">
      <c r="B125" s="483"/>
      <c r="C125" s="724">
        <v>2022</v>
      </c>
      <c r="D125" s="725">
        <v>2023</v>
      </c>
      <c r="E125" s="725">
        <v>2024</v>
      </c>
      <c r="F125" s="726">
        <v>2025</v>
      </c>
      <c r="G125" s="224">
        <v>2026</v>
      </c>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spans="2:30" ht="38.5" customHeight="1" x14ac:dyDescent="0.35">
      <c r="B126" s="522" t="s">
        <v>1798</v>
      </c>
      <c r="C126" s="256">
        <v>1212.4870000000001</v>
      </c>
      <c r="D126" s="256">
        <v>1344.7529999999999</v>
      </c>
      <c r="E126" s="256">
        <v>1456.7</v>
      </c>
      <c r="F126" s="256">
        <v>1553.5309999999999</v>
      </c>
      <c r="G126" s="256">
        <v>1643.9870000000001</v>
      </c>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spans="2:30" ht="69" customHeight="1" x14ac:dyDescent="0.35">
      <c r="B127" s="271"/>
      <c r="C127" s="235"/>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spans="2:30" x14ac:dyDescent="0.35">
      <c r="B128" s="72" t="s">
        <v>1426</v>
      </c>
      <c r="D128" s="235"/>
      <c r="E128" s="235"/>
      <c r="F128" s="235"/>
      <c r="G128" s="235"/>
      <c r="H128" s="235"/>
      <c r="I128" s="235"/>
      <c r="J128" s="235"/>
      <c r="K128" s="235"/>
      <c r="L128" s="235"/>
      <c r="M128" s="224"/>
      <c r="N128" s="224"/>
      <c r="O128" s="224"/>
      <c r="P128" s="235"/>
    </row>
    <row r="129" spans="2:18" x14ac:dyDescent="0.35">
      <c r="B129" s="557" t="s">
        <v>806</v>
      </c>
      <c r="C129" s="429"/>
      <c r="D129" s="713">
        <v>2021</v>
      </c>
      <c r="E129" s="713">
        <v>2022</v>
      </c>
      <c r="F129" s="713">
        <v>2023</v>
      </c>
      <c r="G129" s="714">
        <v>2024</v>
      </c>
      <c r="R129" s="515"/>
    </row>
    <row r="130" spans="2:18" x14ac:dyDescent="0.35">
      <c r="B130" s="617" t="s">
        <v>807</v>
      </c>
      <c r="C130" s="719"/>
      <c r="D130" s="708">
        <v>3605.8330000000001</v>
      </c>
      <c r="E130" s="708">
        <v>2900</v>
      </c>
      <c r="F130" s="708">
        <f>E130*1.02</f>
        <v>2958</v>
      </c>
      <c r="G130" s="709">
        <f>F130*1.06</f>
        <v>3135.48</v>
      </c>
    </row>
    <row r="131" spans="2:18" x14ac:dyDescent="0.35">
      <c r="B131" s="617" t="s">
        <v>810</v>
      </c>
      <c r="C131" s="710"/>
      <c r="D131" s="704">
        <f>AVERAGE(Medicare!L10:O10)</f>
        <v>862.99999999999989</v>
      </c>
      <c r="E131" s="704">
        <f>AVERAGE(Medicare!P10:S10)</f>
        <v>921</v>
      </c>
      <c r="F131" s="704">
        <f>AVERAGE(Medicare!T10:W10)</f>
        <v>990.32499999999993</v>
      </c>
      <c r="G131" s="717">
        <f>AVERAGE(Medicare!X10:AA10)</f>
        <v>1060.45</v>
      </c>
    </row>
    <row r="132" spans="2:18" ht="13.4" customHeight="1" x14ac:dyDescent="0.35">
      <c r="B132" s="617" t="s">
        <v>808</v>
      </c>
      <c r="C132" s="710"/>
      <c r="D132" s="704">
        <f>D130-D131</f>
        <v>2742.8330000000001</v>
      </c>
      <c r="E132" s="704">
        <f t="shared" ref="E132:G132" si="40">E130-E131</f>
        <v>1979</v>
      </c>
      <c r="F132" s="704">
        <f t="shared" si="40"/>
        <v>1967.6750000000002</v>
      </c>
      <c r="G132" s="717">
        <f t="shared" si="40"/>
        <v>2075.0299999999997</v>
      </c>
    </row>
    <row r="133" spans="2:18" x14ac:dyDescent="0.35">
      <c r="B133" s="617" t="s">
        <v>811</v>
      </c>
      <c r="C133" s="710"/>
      <c r="D133" s="704">
        <f>AVERAGE(L12:O12)</f>
        <v>3637.2999999999997</v>
      </c>
      <c r="E133" s="704">
        <f>AVERAGE(P12:S12)</f>
        <v>2967.5250000000001</v>
      </c>
      <c r="F133" s="704">
        <f>AVERAGE(T12:W12)</f>
        <v>3086.4962499999997</v>
      </c>
      <c r="G133" s="717">
        <f>AVERAGE(X12:AA12)</f>
        <v>3320.0816585250004</v>
      </c>
    </row>
    <row r="134" spans="2:18" x14ac:dyDescent="0.35">
      <c r="B134" s="617" t="s">
        <v>810</v>
      </c>
      <c r="C134" s="710"/>
      <c r="D134" s="704">
        <f>AVERAGE(Medicare!L10:O10)</f>
        <v>862.99999999999989</v>
      </c>
      <c r="E134" s="704">
        <f>AVERAGE(Medicare!P10:S10)</f>
        <v>921</v>
      </c>
      <c r="F134" s="704">
        <f>AVERAGE(Medicare!T10:W10)</f>
        <v>990.32499999999993</v>
      </c>
      <c r="G134" s="717">
        <f>AVERAGE(Medicare!X10:AA10)</f>
        <v>1060.45</v>
      </c>
    </row>
    <row r="135" spans="2:18" x14ac:dyDescent="0.35">
      <c r="B135" s="617" t="s">
        <v>530</v>
      </c>
      <c r="C135" s="710"/>
      <c r="D135" s="704">
        <f>AVERAGE(L39:O39)</f>
        <v>1585.7822500000004</v>
      </c>
      <c r="E135" s="704">
        <f>AVERAGE(P39:S39)</f>
        <v>1670.9233400000005</v>
      </c>
      <c r="F135" s="704">
        <f>AVERAGE(T39:W39)</f>
        <v>1795.6717597500008</v>
      </c>
      <c r="G135" s="717">
        <f>AVERAGE(X39:AA39)</f>
        <v>1881.1116315250006</v>
      </c>
    </row>
    <row r="136" spans="2:18" ht="27.65" customHeight="1" x14ac:dyDescent="0.35">
      <c r="B136" s="711" t="s">
        <v>809</v>
      </c>
      <c r="C136" s="547"/>
      <c r="D136" s="609"/>
      <c r="E136" s="715">
        <v>1.157</v>
      </c>
      <c r="F136" s="715">
        <v>1.0109999999999999</v>
      </c>
      <c r="G136" s="718">
        <v>1.0529999999999999</v>
      </c>
    </row>
    <row r="137" spans="2:18" x14ac:dyDescent="0.35">
      <c r="B137" s="235" t="s">
        <v>812</v>
      </c>
      <c r="D137" s="716">
        <f>D133-D130</f>
        <v>31.466999999999643</v>
      </c>
      <c r="E137" s="716">
        <f>E133-E130</f>
        <v>67.525000000000091</v>
      </c>
      <c r="F137" s="716">
        <f>F133-F130</f>
        <v>128.49624999999969</v>
      </c>
      <c r="G137" s="716">
        <f t="shared" ref="G137" si="41">G133-G130</f>
        <v>184.6016585250004</v>
      </c>
    </row>
    <row r="139" spans="2:18" x14ac:dyDescent="0.35">
      <c r="B139" t="s">
        <v>807</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J21" sqref="J21"/>
    </sheetView>
  </sheetViews>
  <sheetFormatPr defaultColWidth="10.90625" defaultRowHeight="14.5" x14ac:dyDescent="0.35"/>
  <sheetData>
    <row r="1" spans="13:27" x14ac:dyDescent="0.35">
      <c r="M1" s="72" t="s">
        <v>1854</v>
      </c>
      <c r="S1" s="72" t="s">
        <v>1855</v>
      </c>
      <c r="Z1" t="s">
        <v>1886</v>
      </c>
      <c r="AA1" t="s">
        <v>1887</v>
      </c>
    </row>
    <row r="2" spans="13:27" x14ac:dyDescent="0.35">
      <c r="M2" t="s">
        <v>1856</v>
      </c>
      <c r="Q2">
        <v>2952.3</v>
      </c>
      <c r="S2" t="s">
        <v>1856</v>
      </c>
      <c r="X2">
        <v>2952.3</v>
      </c>
      <c r="Z2">
        <v>2917.6753774795288</v>
      </c>
      <c r="AA2" s="656">
        <v>2928.3</v>
      </c>
    </row>
    <row r="3" spans="13:27" x14ac:dyDescent="0.35">
      <c r="M3" t="s">
        <v>1857</v>
      </c>
      <c r="P3" t="s">
        <v>1858</v>
      </c>
      <c r="Q3">
        <v>23.1</v>
      </c>
      <c r="S3" t="s">
        <v>1857</v>
      </c>
      <c r="W3" t="s">
        <v>1858</v>
      </c>
      <c r="X3">
        <v>23.1</v>
      </c>
      <c r="Z3">
        <v>22.62857142857143</v>
      </c>
      <c r="AA3">
        <v>22.62857142857143</v>
      </c>
    </row>
    <row r="4" spans="13:27" x14ac:dyDescent="0.35">
      <c r="M4" t="s">
        <v>55</v>
      </c>
      <c r="P4" t="s">
        <v>1858</v>
      </c>
      <c r="Q4">
        <v>967.3</v>
      </c>
      <c r="S4" t="s">
        <v>55</v>
      </c>
      <c r="W4" t="s">
        <v>1858</v>
      </c>
      <c r="X4">
        <v>967.3</v>
      </c>
      <c r="Z4">
        <v>944.50347271762462</v>
      </c>
      <c r="AA4">
        <v>946.3</v>
      </c>
    </row>
    <row r="5" spans="13:27" x14ac:dyDescent="0.35">
      <c r="M5" t="s">
        <v>56</v>
      </c>
      <c r="P5" t="s">
        <v>1858</v>
      </c>
      <c r="Q5">
        <v>0</v>
      </c>
      <c r="S5" t="s">
        <v>56</v>
      </c>
      <c r="W5" t="s">
        <v>1858</v>
      </c>
      <c r="X5">
        <v>0</v>
      </c>
      <c r="Z5">
        <v>0</v>
      </c>
      <c r="AA5">
        <v>0</v>
      </c>
    </row>
    <row r="6" spans="13:27" x14ac:dyDescent="0.35">
      <c r="M6" t="s">
        <v>1859</v>
      </c>
      <c r="P6" t="s">
        <v>1858</v>
      </c>
      <c r="Q6">
        <v>0</v>
      </c>
      <c r="S6" t="s">
        <v>1859</v>
      </c>
      <c r="W6" t="s">
        <v>1858</v>
      </c>
      <c r="X6">
        <v>0</v>
      </c>
      <c r="Z6">
        <v>0</v>
      </c>
      <c r="AA6">
        <v>0</v>
      </c>
    </row>
    <row r="7" spans="13:27" x14ac:dyDescent="0.35">
      <c r="Q7">
        <f>Q2-SUM(Q3:Q6)</f>
        <v>1961.9</v>
      </c>
      <c r="X7">
        <f>X2-SUM(X3:X6)</f>
        <v>1961.9</v>
      </c>
      <c r="Z7">
        <f>Z2-SUM(Z3:Z6)</f>
        <v>1950.5433333333328</v>
      </c>
      <c r="AA7">
        <f>AA2-SUM(AA3:AA6)</f>
        <v>1959.3714285714289</v>
      </c>
    </row>
    <row r="8" spans="13:27" x14ac:dyDescent="0.35">
      <c r="S8" t="s">
        <v>1860</v>
      </c>
      <c r="W8" t="s">
        <v>1858</v>
      </c>
      <c r="X8">
        <v>34</v>
      </c>
    </row>
    <row r="9" spans="13:27" x14ac:dyDescent="0.35">
      <c r="S9" t="s">
        <v>1860</v>
      </c>
      <c r="W9" t="s">
        <v>1861</v>
      </c>
      <c r="X9">
        <v>34</v>
      </c>
    </row>
    <row r="10" spans="13:27" x14ac:dyDescent="0.35">
      <c r="S10" t="s">
        <v>1862</v>
      </c>
      <c r="W10" t="s">
        <v>1858</v>
      </c>
      <c r="X10">
        <v>37.700000000000003</v>
      </c>
    </row>
    <row r="11" spans="13:27" x14ac:dyDescent="0.35">
      <c r="S11" t="s">
        <v>1862</v>
      </c>
      <c r="W11" t="s">
        <v>1861</v>
      </c>
      <c r="X11">
        <v>37.700000000000003</v>
      </c>
    </row>
    <row r="12" spans="13:27" x14ac:dyDescent="0.35">
      <c r="S12" t="s">
        <v>468</v>
      </c>
      <c r="W12" t="s">
        <v>1858</v>
      </c>
      <c r="X12">
        <v>0</v>
      </c>
    </row>
    <row r="13" spans="13:27" x14ac:dyDescent="0.35">
      <c r="S13" t="s">
        <v>468</v>
      </c>
      <c r="W13" t="s">
        <v>1861</v>
      </c>
      <c r="X13">
        <v>0</v>
      </c>
    </row>
    <row r="14" spans="13:27" x14ac:dyDescent="0.35">
      <c r="S14" t="s">
        <v>1864</v>
      </c>
      <c r="W14" t="s">
        <v>1858</v>
      </c>
      <c r="X14">
        <v>21.9</v>
      </c>
    </row>
    <row r="15" spans="13:27" x14ac:dyDescent="0.35">
      <c r="S15" t="s">
        <v>1864</v>
      </c>
      <c r="W15" t="s">
        <v>1861</v>
      </c>
      <c r="X15">
        <f>X8-X9+X10-X11+X12-X13+X14</f>
        <v>21.9</v>
      </c>
      <c r="Z15">
        <v>21.9</v>
      </c>
      <c r="AA15">
        <v>21.89</v>
      </c>
    </row>
    <row r="16" spans="13:27" x14ac:dyDescent="0.35">
      <c r="X16">
        <f>X7-X8+X9-X10+X11-X12+X13-X14+X15</f>
        <v>1961.9</v>
      </c>
    </row>
    <row r="17" spans="13:27" x14ac:dyDescent="0.35">
      <c r="S17" t="s">
        <v>1863</v>
      </c>
      <c r="W17" t="s">
        <v>1858</v>
      </c>
      <c r="X17">
        <v>12</v>
      </c>
      <c r="Z17">
        <v>12</v>
      </c>
      <c r="AA17">
        <v>12</v>
      </c>
    </row>
    <row r="18" spans="13:27" x14ac:dyDescent="0.35">
      <c r="S18" t="s">
        <v>218</v>
      </c>
      <c r="W18" t="s">
        <v>1858</v>
      </c>
      <c r="X18">
        <v>1.4</v>
      </c>
      <c r="Z18">
        <v>1.4</v>
      </c>
      <c r="AA18">
        <v>1.4</v>
      </c>
    </row>
    <row r="19" spans="13:27" x14ac:dyDescent="0.35">
      <c r="X19">
        <f>X16-X17-X18</f>
        <v>1948.5</v>
      </c>
      <c r="Z19">
        <f>Z7-Z17-Z18+Z15</f>
        <v>1959.0433333333328</v>
      </c>
      <c r="AA19">
        <f>AA7-AA17-AA18+AA15</f>
        <v>1967.8614285714289</v>
      </c>
    </row>
    <row r="21" spans="13:27" x14ac:dyDescent="0.35">
      <c r="M21" s="72" t="s">
        <v>1865</v>
      </c>
    </row>
    <row r="22" spans="13:27" x14ac:dyDescent="0.35">
      <c r="M22" s="742" t="s">
        <v>123</v>
      </c>
      <c r="N22" s="499"/>
      <c r="O22" s="499"/>
      <c r="P22" s="499"/>
      <c r="Q22" s="499"/>
      <c r="R22" s="499"/>
      <c r="S22" s="499"/>
      <c r="T22" s="499"/>
      <c r="U22" s="499"/>
      <c r="V22" s="499"/>
      <c r="W22" s="741"/>
    </row>
    <row r="23" spans="13:27" x14ac:dyDescent="0.35">
      <c r="M23" s="743" t="s">
        <v>1874</v>
      </c>
      <c r="W23" s="225"/>
    </row>
    <row r="24" spans="13:27" x14ac:dyDescent="0.35">
      <c r="M24" s="743" t="s">
        <v>1873</v>
      </c>
      <c r="N24" s="112"/>
      <c r="O24" s="112"/>
      <c r="P24" s="112"/>
      <c r="Q24" s="112"/>
      <c r="R24" s="112"/>
      <c r="S24" s="112"/>
      <c r="T24" s="112"/>
      <c r="U24" s="112"/>
      <c r="V24" s="112"/>
      <c r="W24" s="744"/>
      <c r="X24" s="112"/>
      <c r="Y24" s="112"/>
    </row>
    <row r="25" spans="13:27" x14ac:dyDescent="0.35">
      <c r="M25" s="41" t="s">
        <v>203</v>
      </c>
      <c r="W25" s="225"/>
    </row>
    <row r="26" spans="13:27" x14ac:dyDescent="0.35">
      <c r="M26" s="41" t="s">
        <v>205</v>
      </c>
      <c r="W26" s="225"/>
    </row>
    <row r="27" spans="13:27" x14ac:dyDescent="0.35">
      <c r="M27" s="41" t="s">
        <v>56</v>
      </c>
      <c r="W27" s="225"/>
    </row>
    <row r="28" spans="13:27" x14ac:dyDescent="0.35">
      <c r="M28" s="41" t="s">
        <v>214</v>
      </c>
      <c r="W28" s="225"/>
    </row>
    <row r="29" spans="13:27" x14ac:dyDescent="0.35">
      <c r="M29" s="41" t="s">
        <v>1866</v>
      </c>
      <c r="W29" s="225"/>
    </row>
    <row r="30" spans="13:27" x14ac:dyDescent="0.35">
      <c r="M30" s="745" t="s">
        <v>1867</v>
      </c>
      <c r="N30" s="35"/>
      <c r="O30" s="35"/>
      <c r="P30" s="35"/>
      <c r="Q30" s="35"/>
      <c r="R30" s="35"/>
      <c r="S30" s="35"/>
      <c r="T30" s="35"/>
      <c r="U30" s="35"/>
      <c r="V30" s="35"/>
      <c r="W30" s="226"/>
      <c r="X30" t="s">
        <v>1868</v>
      </c>
    </row>
    <row r="31" spans="13:27" x14ac:dyDescent="0.35">
      <c r="M31" s="746" t="s">
        <v>1863</v>
      </c>
      <c r="N31" s="499"/>
      <c r="O31" s="499"/>
      <c r="P31" s="499"/>
      <c r="Q31" s="499"/>
      <c r="R31" s="499"/>
      <c r="S31" s="499"/>
      <c r="T31" s="499"/>
      <c r="U31" s="499"/>
      <c r="V31" s="499"/>
      <c r="W31" s="741"/>
    </row>
    <row r="32" spans="13:27" x14ac:dyDescent="0.35">
      <c r="M32" s="745" t="s">
        <v>218</v>
      </c>
      <c r="N32" s="35"/>
      <c r="O32" s="35"/>
      <c r="P32" s="35"/>
      <c r="Q32" s="35"/>
      <c r="R32" s="35"/>
      <c r="S32" s="35"/>
      <c r="T32" s="35"/>
      <c r="U32" s="35"/>
      <c r="V32" s="35"/>
      <c r="W32" s="226"/>
      <c r="X32" t="s">
        <v>1869</v>
      </c>
    </row>
    <row r="33" spans="13:24" x14ac:dyDescent="0.35">
      <c r="M33" s="746" t="s">
        <v>135</v>
      </c>
      <c r="N33" s="499"/>
      <c r="O33" s="499"/>
      <c r="P33" s="499"/>
      <c r="Q33" s="499"/>
      <c r="R33" s="499"/>
      <c r="S33" s="499"/>
      <c r="T33" s="499"/>
      <c r="U33" s="499"/>
      <c r="V33" s="499"/>
      <c r="W33" s="741"/>
    </row>
    <row r="34" spans="13:24" x14ac:dyDescent="0.35">
      <c r="M34" s="41" t="s">
        <v>136</v>
      </c>
      <c r="W34" s="225"/>
    </row>
    <row r="35" spans="13:24" x14ac:dyDescent="0.35">
      <c r="M35" s="41" t="s">
        <v>1870</v>
      </c>
      <c r="W35" s="225"/>
    </row>
    <row r="36" spans="13:24" x14ac:dyDescent="0.35">
      <c r="M36" s="41" t="s">
        <v>129</v>
      </c>
      <c r="W36" s="225"/>
    </row>
    <row r="37" spans="13:24" x14ac:dyDescent="0.35">
      <c r="M37" s="745" t="s">
        <v>1871</v>
      </c>
      <c r="N37" s="35"/>
      <c r="O37" s="35"/>
      <c r="P37" s="35"/>
      <c r="Q37" s="35"/>
      <c r="R37" s="35"/>
      <c r="S37" s="35"/>
      <c r="T37" s="35"/>
      <c r="U37" s="35"/>
      <c r="V37" s="35"/>
      <c r="W37" s="226"/>
      <c r="X37" t="s">
        <v>1872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K1" zoomScale="85" zoomScaleNormal="85" workbookViewId="0">
      <selection activeCell="P17" sqref="P17"/>
    </sheetView>
  </sheetViews>
  <sheetFormatPr defaultColWidth="10.90625" defaultRowHeight="14.5" x14ac:dyDescent="0.35"/>
  <sheetData>
    <row r="1" spans="2:40" x14ac:dyDescent="0.35">
      <c r="B1" s="1269" t="s">
        <v>1905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ht="14.25" customHeight="1" x14ac:dyDescent="0.35">
      <c r="B2" s="1335" t="s">
        <v>1906</v>
      </c>
      <c r="C2" s="1335"/>
      <c r="D2" s="1335"/>
      <c r="E2" s="1335"/>
      <c r="F2" s="1335"/>
      <c r="G2" s="1335"/>
      <c r="H2" s="1335"/>
      <c r="I2" s="1335"/>
      <c r="J2" s="1335"/>
      <c r="K2" s="1335"/>
      <c r="L2" s="1335"/>
      <c r="M2" s="1335"/>
      <c r="N2" s="1335"/>
      <c r="O2" s="1335"/>
      <c r="P2" s="1335"/>
      <c r="Q2" s="1335"/>
      <c r="R2" s="1335"/>
      <c r="S2" s="587"/>
      <c r="T2" s="1354"/>
      <c r="U2" s="1354"/>
      <c r="V2" s="1354"/>
      <c r="W2" s="1354"/>
      <c r="X2" s="1354"/>
      <c r="Y2" s="1354"/>
      <c r="Z2" s="1354"/>
      <c r="AA2" s="1354"/>
      <c r="AB2" s="1354"/>
      <c r="AC2" s="1354"/>
    </row>
    <row r="3" spans="2:40" x14ac:dyDescent="0.35">
      <c r="B3" s="1335"/>
      <c r="C3" s="1335"/>
      <c r="D3" s="1335"/>
      <c r="E3" s="1335"/>
      <c r="F3" s="1335"/>
      <c r="G3" s="1335"/>
      <c r="H3" s="1335"/>
      <c r="I3" s="1335"/>
      <c r="J3" s="1335"/>
      <c r="K3" s="1335"/>
      <c r="L3" s="1335"/>
      <c r="M3" s="1335"/>
      <c r="N3" s="1335"/>
      <c r="O3" s="1335"/>
      <c r="P3" s="1335"/>
      <c r="Q3" s="1335"/>
      <c r="R3" s="1335"/>
      <c r="S3" s="587"/>
      <c r="T3" s="1354"/>
      <c r="U3" s="1354"/>
      <c r="V3" s="1354"/>
      <c r="W3" s="1354"/>
      <c r="X3" s="1354"/>
      <c r="Y3" s="1354"/>
      <c r="Z3" s="1354"/>
      <c r="AA3" s="1354"/>
      <c r="AB3" s="1354"/>
      <c r="AC3" s="1354"/>
    </row>
    <row r="4" spans="2:40" ht="21" customHeight="1" x14ac:dyDescent="0.35">
      <c r="B4" s="1335"/>
      <c r="C4" s="1335"/>
      <c r="D4" s="1335"/>
      <c r="E4" s="1335"/>
      <c r="F4" s="1335"/>
      <c r="G4" s="1335"/>
      <c r="H4" s="1335"/>
      <c r="I4" s="1335"/>
      <c r="J4" s="1335"/>
      <c r="K4" s="1335"/>
      <c r="L4" s="1335"/>
      <c r="M4" s="1335"/>
      <c r="N4" s="1335"/>
      <c r="O4" s="1335"/>
      <c r="P4" s="1335"/>
      <c r="Q4" s="1335"/>
      <c r="R4" s="1335"/>
      <c r="S4" s="587"/>
      <c r="T4" s="1354"/>
      <c r="U4" s="1354"/>
      <c r="V4" s="1354"/>
      <c r="W4" s="1354"/>
      <c r="X4" s="1354"/>
      <c r="Y4" s="1354"/>
      <c r="Z4" s="1354"/>
      <c r="AA4" s="1354"/>
      <c r="AB4" s="1354"/>
      <c r="AC4" s="1354"/>
    </row>
    <row r="6" spans="2:40" x14ac:dyDescent="0.35">
      <c r="B6" s="512" t="s">
        <v>332</v>
      </c>
    </row>
    <row r="7" spans="2:40" ht="14.9" customHeight="1" x14ac:dyDescent="0.35">
      <c r="B7" s="1274" t="s">
        <v>1876</v>
      </c>
      <c r="C7" s="1275"/>
      <c r="D7" s="1278" t="s">
        <v>279</v>
      </c>
      <c r="E7" s="1328"/>
      <c r="F7" s="1328"/>
      <c r="G7" s="1328"/>
      <c r="H7" s="1328"/>
      <c r="I7" s="1328"/>
      <c r="J7" s="1328"/>
      <c r="K7" s="1328"/>
      <c r="L7" s="1328"/>
      <c r="M7" s="1328"/>
      <c r="N7" s="1328"/>
      <c r="O7" s="1328"/>
      <c r="P7" s="1328"/>
      <c r="Q7" s="1328"/>
      <c r="R7" s="1328"/>
      <c r="S7" s="1328"/>
      <c r="T7" s="1328"/>
      <c r="U7" s="1327"/>
      <c r="V7" s="1277"/>
      <c r="W7" s="1355" t="s">
        <v>280</v>
      </c>
      <c r="X7" s="1356"/>
      <c r="Y7" s="1356"/>
      <c r="Z7" s="1356"/>
      <c r="AA7" s="1356"/>
      <c r="AB7" s="1356"/>
      <c r="AC7" s="1356"/>
      <c r="AD7" s="1356"/>
      <c r="AE7" s="1356"/>
      <c r="AF7" s="1356"/>
      <c r="AG7" s="1356"/>
      <c r="AH7" s="1356"/>
      <c r="AI7" s="1356"/>
      <c r="AJ7" s="1356"/>
    </row>
    <row r="8" spans="2:40" x14ac:dyDescent="0.35">
      <c r="B8" s="1276"/>
      <c r="C8" s="1277"/>
      <c r="D8" s="282">
        <v>2018</v>
      </c>
      <c r="E8" s="1293">
        <v>2019</v>
      </c>
      <c r="F8" s="1294"/>
      <c r="G8" s="1294"/>
      <c r="H8" s="1295"/>
      <c r="I8" s="1293">
        <v>2020</v>
      </c>
      <c r="J8" s="1294"/>
      <c r="K8" s="1294"/>
      <c r="L8" s="1294"/>
      <c r="M8" s="1293">
        <v>2021</v>
      </c>
      <c r="N8" s="1294"/>
      <c r="O8" s="1294"/>
      <c r="P8" s="1301"/>
      <c r="Q8" s="1293">
        <v>2022</v>
      </c>
      <c r="R8" s="1301"/>
      <c r="S8" s="1301"/>
      <c r="T8" s="1301"/>
      <c r="U8" s="437"/>
      <c r="V8" s="288">
        <v>2023</v>
      </c>
      <c r="W8" s="324"/>
      <c r="X8" s="321"/>
      <c r="Y8" s="1281">
        <v>2024</v>
      </c>
      <c r="Z8" s="1286"/>
      <c r="AA8" s="1286"/>
      <c r="AB8" s="1285"/>
      <c r="AC8" s="1280">
        <v>2025</v>
      </c>
      <c r="AD8" s="1286"/>
      <c r="AE8" s="1286"/>
      <c r="AF8" s="1285"/>
      <c r="AG8" s="1280">
        <v>2026</v>
      </c>
      <c r="AH8" s="1286"/>
      <c r="AI8" s="1286"/>
      <c r="AJ8" s="1285"/>
    </row>
    <row r="9" spans="2:40" x14ac:dyDescent="0.35">
      <c r="B9" s="1278"/>
      <c r="C9" s="1279"/>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5" t="s">
        <v>281</v>
      </c>
      <c r="U9" s="273" t="s">
        <v>282</v>
      </c>
      <c r="V9" s="274" t="s">
        <v>283</v>
      </c>
      <c r="W9" s="260" t="s">
        <v>238</v>
      </c>
      <c r="X9" s="287" t="s">
        <v>281</v>
      </c>
      <c r="Y9" s="260" t="s">
        <v>282</v>
      </c>
      <c r="Z9" s="257" t="s">
        <v>283</v>
      </c>
      <c r="AA9" s="260" t="s">
        <v>238</v>
      </c>
      <c r="AB9" s="260" t="s">
        <v>281</v>
      </c>
      <c r="AC9" s="259" t="s">
        <v>282</v>
      </c>
      <c r="AD9" s="257" t="s">
        <v>283</v>
      </c>
      <c r="AE9" s="260" t="s">
        <v>238</v>
      </c>
      <c r="AF9" s="260" t="s">
        <v>281</v>
      </c>
      <c r="AG9" s="259" t="s">
        <v>282</v>
      </c>
      <c r="AH9" s="257" t="s">
        <v>283</v>
      </c>
      <c r="AI9" s="260" t="s">
        <v>238</v>
      </c>
      <c r="AJ9" s="287" t="s">
        <v>281</v>
      </c>
    </row>
    <row r="10" spans="2:40" x14ac:dyDescent="0.35">
      <c r="S10" s="757" t="s">
        <v>184</v>
      </c>
      <c r="T10" s="757" t="s">
        <v>185</v>
      </c>
      <c r="U10" s="757" t="s">
        <v>186</v>
      </c>
      <c r="V10" s="757" t="s">
        <v>187</v>
      </c>
      <c r="W10" s="757" t="s">
        <v>188</v>
      </c>
      <c r="X10" s="757" t="s">
        <v>189</v>
      </c>
      <c r="Y10" s="757" t="s">
        <v>190</v>
      </c>
      <c r="Z10" s="757" t="s">
        <v>191</v>
      </c>
      <c r="AA10" s="757" t="s">
        <v>175</v>
      </c>
      <c r="AB10" s="757" t="s">
        <v>176</v>
      </c>
      <c r="AC10" s="757" t="s">
        <v>177</v>
      </c>
      <c r="AD10" s="757" t="s">
        <v>763</v>
      </c>
      <c r="AE10" s="757" t="s">
        <v>764</v>
      </c>
      <c r="AF10" s="757" t="s">
        <v>765</v>
      </c>
      <c r="AG10" s="757" t="s">
        <v>1152</v>
      </c>
      <c r="AH10" s="757" t="s">
        <v>1153</v>
      </c>
      <c r="AI10" s="757" t="s">
        <v>1154</v>
      </c>
      <c r="AJ10" s="757" t="s">
        <v>1155</v>
      </c>
    </row>
    <row r="11" spans="2:40" x14ac:dyDescent="0.35">
      <c r="S11" s="755"/>
      <c r="T11" s="755"/>
      <c r="U11" s="755"/>
      <c r="V11" s="755"/>
      <c r="W11" s="755"/>
      <c r="X11" s="755"/>
      <c r="Y11" s="755"/>
      <c r="Z11" s="755"/>
      <c r="AA11" s="755"/>
      <c r="AB11" s="755"/>
      <c r="AC11" s="755"/>
      <c r="AD11" s="755"/>
      <c r="AE11" s="755"/>
      <c r="AF11" s="755"/>
      <c r="AG11" s="755"/>
      <c r="AH11" s="755"/>
    </row>
    <row r="12" spans="2:40" x14ac:dyDescent="0.35">
      <c r="B12" s="755" t="s">
        <v>1849</v>
      </c>
      <c r="P12" t="s">
        <v>1849</v>
      </c>
      <c r="S12" s="99">
        <v>4.0506371546650453</v>
      </c>
      <c r="T12" s="99">
        <v>6.7510619244417409</v>
      </c>
      <c r="U12" s="99">
        <v>25.428999915397224</v>
      </c>
      <c r="V12" s="99">
        <v>38.481052969317929</v>
      </c>
      <c r="W12" s="99">
        <v>51.308070625757232</v>
      </c>
      <c r="X12" s="99">
        <v>56.236345830599703</v>
      </c>
      <c r="Y12" s="99">
        <v>63.685017487233758</v>
      </c>
      <c r="Z12" s="99">
        <v>69.310902424268548</v>
      </c>
      <c r="AA12" s="99">
        <v>64.357873325703125</v>
      </c>
      <c r="AB12" s="99">
        <v>57.18149450002155</v>
      </c>
      <c r="AC12" s="99">
        <v>59.094295378613374</v>
      </c>
      <c r="AD12" s="99">
        <v>70.233547553942245</v>
      </c>
      <c r="AE12" s="99">
        <v>81.462813888263668</v>
      </c>
      <c r="AF12" s="99">
        <v>86.188557235372897</v>
      </c>
      <c r="AG12" s="99">
        <v>105.31656602129117</v>
      </c>
      <c r="AH12" s="99">
        <v>120.73149074876648</v>
      </c>
      <c r="AI12" s="99">
        <v>126.01869741259176</v>
      </c>
      <c r="AJ12" s="99">
        <v>123.55455981017052</v>
      </c>
      <c r="AK12" s="99">
        <v>112.20152400723433</v>
      </c>
      <c r="AL12" s="99">
        <v>93.984908581115704</v>
      </c>
      <c r="AM12" s="99">
        <v>72.945224093593026</v>
      </c>
      <c r="AN12" s="99">
        <v>47.054901613358936</v>
      </c>
    </row>
    <row r="13" spans="2:40" x14ac:dyDescent="0.35">
      <c r="B13" s="755" t="s">
        <v>1850</v>
      </c>
      <c r="P13" t="s">
        <v>1850</v>
      </c>
      <c r="S13" s="208">
        <f>Deflators!S66</f>
        <v>1.1700921610724198</v>
      </c>
      <c r="T13" s="208">
        <f>Deflators!T66</f>
        <v>1.1816953797963978</v>
      </c>
      <c r="U13" s="208">
        <f>Deflators!U66</f>
        <v>1.1931632087271602</v>
      </c>
      <c r="V13" s="208">
        <f>Deflators!V66</f>
        <v>1.201768659356208</v>
      </c>
      <c r="W13" s="208">
        <f>Deflators!W66</f>
        <v>1.2097758632810751</v>
      </c>
      <c r="X13" s="208">
        <f>Deflators!X66</f>
        <v>1.2147338005500146</v>
      </c>
      <c r="Y13" s="208">
        <f>Deflators!Y66</f>
        <v>1.2250061487428185</v>
      </c>
      <c r="Z13" s="208">
        <f>Deflators!Z66</f>
        <v>1.2326880562148892</v>
      </c>
      <c r="AA13" s="208">
        <f>Deflators!AA66</f>
        <v>1.2372845576913525</v>
      </c>
      <c r="AB13" s="208">
        <f>Deflators!AB66</f>
        <v>1.2447937543552396</v>
      </c>
      <c r="AC13" s="208">
        <f>Deflators!AC66</f>
        <v>1.2519082564303945</v>
      </c>
      <c r="AD13" s="208">
        <f>Deflators!AD66</f>
        <v>1.2585786405872741</v>
      </c>
      <c r="AE13" s="208">
        <f>Deflators!AE66</f>
        <v>1.2654057203904239</v>
      </c>
      <c r="AF13" s="208">
        <f>Deflators!AF66</f>
        <v>1.27231230577623</v>
      </c>
      <c r="AG13" s="208">
        <f>Deflators!AG66</f>
        <v>1.2790868658623309</v>
      </c>
      <c r="AH13" s="756">
        <f>Deflators!AH66</f>
        <v>1.2855539483713756</v>
      </c>
      <c r="AI13" s="756">
        <f>Deflators!AI66</f>
        <v>1.292033226806468</v>
      </c>
      <c r="AJ13" s="756">
        <f>Deflators!AJ66</f>
        <v>1.2985763342395193</v>
      </c>
    </row>
    <row r="14" spans="2:40" x14ac:dyDescent="0.35">
      <c r="B14" s="755" t="s">
        <v>1851</v>
      </c>
      <c r="P14" t="s">
        <v>1851</v>
      </c>
      <c r="S14">
        <f>S12*S13</f>
        <v>4.7396187820222604</v>
      </c>
      <c r="T14">
        <f t="shared" ref="T14:AI14" si="0">T12*T13</f>
        <v>7.9776986848321831</v>
      </c>
      <c r="U14">
        <f t="shared" si="0"/>
        <v>30.340947133778037</v>
      </c>
      <c r="V14">
        <f t="shared" si="0"/>
        <v>46.245323437552436</v>
      </c>
      <c r="W14">
        <f t="shared" si="0"/>
        <v>62.071265434561823</v>
      </c>
      <c r="X14">
        <f t="shared" si="0"/>
        <v>68.312190099849346</v>
      </c>
      <c r="Y14">
        <f t="shared" si="0"/>
        <v>78.014538004655279</v>
      </c>
      <c r="Z14">
        <f t="shared" si="0"/>
        <v>85.438721583871441</v>
      </c>
      <c r="AA14">
        <f t="shared" si="0"/>
        <v>79.629002831748679</v>
      </c>
      <c r="AB14">
        <f t="shared" si="0"/>
        <v>71.179167218325318</v>
      </c>
      <c r="AC14">
        <f t="shared" si="0"/>
        <v>73.980636292422588</v>
      </c>
      <c r="AD14">
        <f t="shared" si="0"/>
        <v>88.394442804062294</v>
      </c>
      <c r="AE14">
        <f t="shared" si="0"/>
        <v>103.08351069330931</v>
      </c>
      <c r="AF14">
        <f t="shared" si="0"/>
        <v>109.65876198766387</v>
      </c>
      <c r="AG14">
        <f>AG12*AG13</f>
        <v>134.70903635555658</v>
      </c>
      <c r="AH14" s="502">
        <f t="shared" si="0"/>
        <v>155.20684462483894</v>
      </c>
      <c r="AI14" s="502">
        <f t="shared" si="0"/>
        <v>162.82034425593883</v>
      </c>
      <c r="AJ14" s="502">
        <f>AJ12*AJ13</f>
        <v>160.44502735686868</v>
      </c>
    </row>
    <row r="15" spans="2:40" x14ac:dyDescent="0.35">
      <c r="S15" s="99"/>
      <c r="T15" s="99"/>
      <c r="U15" s="99"/>
      <c r="V15" s="99"/>
      <c r="W15" s="99"/>
      <c r="X15" s="99"/>
      <c r="Y15" s="99"/>
      <c r="Z15" s="99"/>
      <c r="AA15" s="99"/>
      <c r="AB15" s="99"/>
      <c r="AC15" s="99"/>
      <c r="AD15" s="99"/>
      <c r="AE15" s="99"/>
      <c r="AF15" s="99"/>
      <c r="AG15" s="99"/>
      <c r="AH15" s="99"/>
      <c r="AI15" s="99"/>
      <c r="AJ15" s="99"/>
      <c r="AK15" s="99"/>
      <c r="AL15" s="99"/>
      <c r="AM15" s="99"/>
      <c r="AN15" s="99"/>
    </row>
    <row r="16" spans="2:40" x14ac:dyDescent="0.35">
      <c r="S16" s="99">
        <v>4.0506371546650453</v>
      </c>
      <c r="T16" s="99">
        <v>6.7510619244417409</v>
      </c>
      <c r="U16" s="99">
        <v>25.428999915397224</v>
      </c>
      <c r="V16" s="99">
        <v>38.481052969317929</v>
      </c>
      <c r="W16" s="99">
        <v>51.308070625757232</v>
      </c>
      <c r="X16" s="99">
        <v>56.236345830599703</v>
      </c>
      <c r="Y16" s="99">
        <v>63.685017487233758</v>
      </c>
      <c r="Z16" s="99">
        <v>69.310902424268548</v>
      </c>
      <c r="AA16" s="99">
        <v>64.357873325703125</v>
      </c>
      <c r="AB16" s="99">
        <v>57.18149450002155</v>
      </c>
      <c r="AC16" s="99">
        <v>59.094295378613374</v>
      </c>
      <c r="AD16" s="99">
        <v>70.233547553942245</v>
      </c>
      <c r="AE16" s="99">
        <v>81.462813888263668</v>
      </c>
      <c r="AF16" s="99">
        <v>86.188557235372897</v>
      </c>
      <c r="AG16" s="99">
        <v>105.31656602129117</v>
      </c>
      <c r="AH16" s="99">
        <v>120.73149074876648</v>
      </c>
      <c r="AI16" s="99">
        <v>126.01869741259176</v>
      </c>
      <c r="AJ16" s="99">
        <v>123.55455981017052</v>
      </c>
      <c r="AK16" s="99">
        <v>112.20152400723433</v>
      </c>
      <c r="AL16" s="99">
        <v>93.984908581115704</v>
      </c>
      <c r="AM16" s="99">
        <v>72.945224093593026</v>
      </c>
      <c r="AN16" s="99">
        <v>47.054901613358936</v>
      </c>
    </row>
    <row r="18" spans="2:34" x14ac:dyDescent="0.35">
      <c r="P18" t="s">
        <v>1954</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502">
        <f>AG18</f>
        <v>118.525001293339</v>
      </c>
    </row>
    <row r="19" spans="2:34" x14ac:dyDescent="0.35">
      <c r="S19" s="99"/>
    </row>
    <row r="20" spans="2:34" x14ac:dyDescent="0.35">
      <c r="S20" s="99"/>
    </row>
    <row r="21" spans="2:34" x14ac:dyDescent="0.35">
      <c r="S21" s="99"/>
    </row>
    <row r="22" spans="2:34" x14ac:dyDescent="0.35">
      <c r="S22" s="99"/>
    </row>
    <row r="23" spans="2:34" x14ac:dyDescent="0.35">
      <c r="B23" s="622"/>
      <c r="C23" s="622"/>
      <c r="D23" s="622"/>
      <c r="E23" s="622"/>
      <c r="H23" s="622"/>
      <c r="I23" s="622"/>
      <c r="J23" s="622"/>
      <c r="K23" t="s">
        <v>1933</v>
      </c>
      <c r="S23" s="99"/>
    </row>
    <row r="24" spans="2:34" ht="29.15" customHeight="1" x14ac:dyDescent="0.35">
      <c r="B24" s="622"/>
      <c r="C24" s="721" t="s">
        <v>1934</v>
      </c>
      <c r="D24" s="622"/>
      <c r="E24" s="622"/>
      <c r="H24" s="622"/>
      <c r="I24" s="622"/>
      <c r="J24" s="622"/>
      <c r="K24" t="s">
        <v>1935</v>
      </c>
      <c r="S24" s="99"/>
    </row>
    <row r="25" spans="2:34" ht="29.15" customHeight="1" x14ac:dyDescent="0.35">
      <c r="B25" s="622"/>
      <c r="C25" s="721" t="s">
        <v>1936</v>
      </c>
      <c r="D25" s="1368" t="s">
        <v>1937</v>
      </c>
      <c r="E25" s="1368"/>
      <c r="F25" s="1368"/>
      <c r="G25" s="622"/>
      <c r="H25" s="622"/>
      <c r="I25" s="622"/>
      <c r="J25" s="622"/>
      <c r="S25" s="99"/>
    </row>
    <row r="26" spans="2:34" ht="72.650000000000006" customHeight="1" x14ac:dyDescent="0.35">
      <c r="B26" s="748">
        <v>44774</v>
      </c>
      <c r="C26" s="622">
        <v>9</v>
      </c>
      <c r="D26" s="622"/>
      <c r="E26" s="622"/>
      <c r="H26" s="622"/>
      <c r="I26" s="622"/>
      <c r="J26" s="721" t="s">
        <v>1938</v>
      </c>
      <c r="K26" s="14" t="s">
        <v>1939</v>
      </c>
      <c r="L26" s="14" t="s">
        <v>1940</v>
      </c>
      <c r="M26" s="14" t="s">
        <v>1941</v>
      </c>
      <c r="N26" s="721" t="s">
        <v>1942</v>
      </c>
      <c r="S26" s="99"/>
    </row>
    <row r="27" spans="2:34" x14ac:dyDescent="0.35">
      <c r="B27" s="748">
        <f>B26+31</f>
        <v>44805</v>
      </c>
      <c r="C27" s="622">
        <v>9</v>
      </c>
      <c r="D27" s="622">
        <v>2022</v>
      </c>
      <c r="E27" s="622" t="s">
        <v>330</v>
      </c>
      <c r="F27">
        <f>SUM(C26:C27)/3</f>
        <v>6</v>
      </c>
      <c r="H27" s="622">
        <v>2022</v>
      </c>
      <c r="I27" s="622" t="s">
        <v>330</v>
      </c>
      <c r="J27" s="99">
        <v>6</v>
      </c>
      <c r="K27" s="99"/>
      <c r="L27" s="99"/>
      <c r="M27" s="99">
        <f>K27+J27</f>
        <v>6</v>
      </c>
      <c r="N27" s="99">
        <f>M27*F$81</f>
        <v>4.0506371546650453</v>
      </c>
      <c r="S27" s="99"/>
    </row>
    <row r="28" spans="2:34" x14ac:dyDescent="0.35">
      <c r="B28" s="748">
        <f t="shared" ref="B28:B57" si="1">B27+31</f>
        <v>44836</v>
      </c>
      <c r="C28" s="622">
        <v>10</v>
      </c>
      <c r="D28" s="622"/>
      <c r="E28" s="622"/>
      <c r="H28" s="622">
        <v>2022</v>
      </c>
      <c r="I28" s="622" t="s">
        <v>774</v>
      </c>
      <c r="J28" s="99">
        <v>10</v>
      </c>
      <c r="K28" s="99"/>
      <c r="L28" s="99"/>
      <c r="M28" s="99">
        <f t="shared" ref="M28:M48" si="2">K28+J28</f>
        <v>10</v>
      </c>
      <c r="N28" s="99">
        <f t="shared" ref="N28:N48" si="3">M28*F$81</f>
        <v>6.7510619244417409</v>
      </c>
      <c r="S28" s="99"/>
    </row>
    <row r="29" spans="2:34" x14ac:dyDescent="0.35">
      <c r="B29" s="748">
        <f t="shared" si="1"/>
        <v>44867</v>
      </c>
      <c r="C29" s="622">
        <v>10</v>
      </c>
      <c r="D29" s="622"/>
      <c r="E29" s="622"/>
      <c r="H29" s="622">
        <v>2023</v>
      </c>
      <c r="I29" s="622" t="s">
        <v>240</v>
      </c>
      <c r="J29" s="99">
        <v>37.666666666666664</v>
      </c>
      <c r="K29" s="99"/>
      <c r="L29" s="99"/>
      <c r="M29" s="99">
        <f t="shared" si="2"/>
        <v>37.666666666666664</v>
      </c>
      <c r="N29" s="99">
        <f t="shared" si="3"/>
        <v>25.428999915397224</v>
      </c>
      <c r="S29" s="99"/>
    </row>
    <row r="30" spans="2:34" x14ac:dyDescent="0.35">
      <c r="B30" s="748">
        <f t="shared" si="1"/>
        <v>44898</v>
      </c>
      <c r="C30" s="622">
        <v>10</v>
      </c>
      <c r="D30" s="622">
        <v>2022</v>
      </c>
      <c r="E30" s="622" t="s">
        <v>774</v>
      </c>
      <c r="F30">
        <f>AVERAGE(C28:C30)</f>
        <v>10</v>
      </c>
      <c r="H30" s="622">
        <v>2023</v>
      </c>
      <c r="I30" s="622" t="s">
        <v>241</v>
      </c>
      <c r="J30" s="99">
        <v>57</v>
      </c>
      <c r="K30" s="99"/>
      <c r="L30" s="99"/>
      <c r="M30" s="99">
        <f t="shared" si="2"/>
        <v>57</v>
      </c>
      <c r="N30" s="99">
        <f t="shared" si="3"/>
        <v>38.481052969317929</v>
      </c>
      <c r="S30" s="99"/>
    </row>
    <row r="31" spans="2:34" x14ac:dyDescent="0.35">
      <c r="B31" s="748">
        <f t="shared" si="1"/>
        <v>44929</v>
      </c>
      <c r="C31" s="622">
        <v>34</v>
      </c>
      <c r="D31" s="622"/>
      <c r="E31" s="622"/>
      <c r="H31" s="622">
        <v>2023</v>
      </c>
      <c r="I31" s="622" t="s">
        <v>330</v>
      </c>
      <c r="J31" s="99">
        <v>76.666666666666671</v>
      </c>
      <c r="K31" s="99"/>
      <c r="L31" s="99"/>
      <c r="M31" s="99">
        <v>76</v>
      </c>
      <c r="N31" s="99">
        <f t="shared" si="3"/>
        <v>51.308070625757232</v>
      </c>
      <c r="S31" s="99"/>
    </row>
    <row r="32" spans="2:34" x14ac:dyDescent="0.35">
      <c r="B32" s="748">
        <f t="shared" si="1"/>
        <v>44960</v>
      </c>
      <c r="C32" s="622">
        <v>35</v>
      </c>
      <c r="D32" s="622"/>
      <c r="E32" s="622"/>
      <c r="H32" s="622">
        <v>2023</v>
      </c>
      <c r="I32" s="622" t="s">
        <v>774</v>
      </c>
      <c r="J32" s="99">
        <v>84</v>
      </c>
      <c r="K32" s="99"/>
      <c r="L32" s="99"/>
      <c r="M32" s="99">
        <v>83.3</v>
      </c>
      <c r="N32" s="99">
        <f t="shared" si="3"/>
        <v>56.236345830599703</v>
      </c>
      <c r="S32" s="99"/>
    </row>
    <row r="33" spans="2:19" x14ac:dyDescent="0.35">
      <c r="B33" s="748">
        <f t="shared" si="1"/>
        <v>44991</v>
      </c>
      <c r="C33" s="622">
        <v>44</v>
      </c>
      <c r="D33" s="622">
        <v>2023</v>
      </c>
      <c r="E33" s="622" t="s">
        <v>240</v>
      </c>
      <c r="F33">
        <f>AVERAGE(C31:C33)</f>
        <v>37.666666666666664</v>
      </c>
      <c r="H33" s="622">
        <v>2024</v>
      </c>
      <c r="I33" s="622" t="s">
        <v>240</v>
      </c>
      <c r="J33" s="99">
        <v>94.333333333333329</v>
      </c>
      <c r="K33" s="99"/>
      <c r="L33" s="99"/>
      <c r="M33" s="99">
        <f t="shared" si="2"/>
        <v>94.333333333333329</v>
      </c>
      <c r="N33" s="99">
        <f t="shared" si="3"/>
        <v>63.685017487233758</v>
      </c>
      <c r="O33" t="s">
        <v>1953</v>
      </c>
      <c r="S33" s="99"/>
    </row>
    <row r="34" spans="2:19" x14ac:dyDescent="0.35">
      <c r="B34" s="748">
        <f t="shared" si="1"/>
        <v>45022</v>
      </c>
      <c r="C34" s="622">
        <v>49</v>
      </c>
      <c r="D34" s="622"/>
      <c r="E34" s="622"/>
      <c r="H34" s="622">
        <v>2024</v>
      </c>
      <c r="I34" s="622" t="s">
        <v>241</v>
      </c>
      <c r="J34" s="99">
        <v>102.66666666666667</v>
      </c>
      <c r="K34" s="99"/>
      <c r="L34" s="99"/>
      <c r="M34" s="99">
        <f t="shared" si="2"/>
        <v>102.66666666666667</v>
      </c>
      <c r="N34" s="99">
        <f t="shared" si="3"/>
        <v>69.310902424268548</v>
      </c>
      <c r="S34" s="99"/>
    </row>
    <row r="35" spans="2:19" x14ac:dyDescent="0.35">
      <c r="B35" s="748">
        <f t="shared" si="1"/>
        <v>45053</v>
      </c>
      <c r="C35" s="622">
        <v>58</v>
      </c>
      <c r="D35" s="622"/>
      <c r="E35" s="622"/>
      <c r="H35" s="622">
        <v>2024</v>
      </c>
      <c r="I35" s="622" t="s">
        <v>330</v>
      </c>
      <c r="J35" s="99">
        <v>92.33</v>
      </c>
      <c r="K35" s="99">
        <f>(+J27)*0.5</f>
        <v>3</v>
      </c>
      <c r="L35" s="99">
        <f>K35</f>
        <v>3</v>
      </c>
      <c r="M35" s="99">
        <f t="shared" si="2"/>
        <v>95.33</v>
      </c>
      <c r="N35" s="99">
        <f t="shared" si="3"/>
        <v>64.357873325703125</v>
      </c>
      <c r="S35" s="99"/>
    </row>
    <row r="36" spans="2:19" x14ac:dyDescent="0.35">
      <c r="B36" s="748">
        <f t="shared" si="1"/>
        <v>45084</v>
      </c>
      <c r="C36" s="622">
        <v>64</v>
      </c>
      <c r="D36" s="622">
        <v>2023</v>
      </c>
      <c r="E36" s="622" t="s">
        <v>241</v>
      </c>
      <c r="F36">
        <f>AVERAGE(C34:C36)</f>
        <v>57</v>
      </c>
      <c r="H36" s="622">
        <v>2024</v>
      </c>
      <c r="I36" s="622" t="s">
        <v>774</v>
      </c>
      <c r="J36" s="99">
        <v>76.7</v>
      </c>
      <c r="K36" s="99">
        <f>(J27+J28)*0.5</f>
        <v>8</v>
      </c>
      <c r="L36" s="99">
        <f>K36</f>
        <v>8</v>
      </c>
      <c r="M36" s="99">
        <f t="shared" si="2"/>
        <v>84.7</v>
      </c>
      <c r="N36" s="99">
        <f t="shared" si="3"/>
        <v>57.18149450002155</v>
      </c>
      <c r="S36" s="99"/>
    </row>
    <row r="37" spans="2:19" x14ac:dyDescent="0.35">
      <c r="B37" s="748">
        <f t="shared" si="1"/>
        <v>45115</v>
      </c>
      <c r="C37" s="622">
        <v>72</v>
      </c>
      <c r="D37" s="622"/>
      <c r="E37" s="622"/>
      <c r="H37" s="622">
        <v>2025</v>
      </c>
      <c r="I37" s="622" t="s">
        <v>240</v>
      </c>
      <c r="J37" s="99">
        <v>60.7</v>
      </c>
      <c r="K37" s="99">
        <f>(J27+J28+J29)*0.5</f>
        <v>26.833333333333332</v>
      </c>
      <c r="L37" s="99">
        <f>K37-10</f>
        <v>16.833333333333332</v>
      </c>
      <c r="M37" s="99">
        <f t="shared" si="2"/>
        <v>87.533333333333331</v>
      </c>
      <c r="N37" s="99">
        <f t="shared" si="3"/>
        <v>59.094295378613374</v>
      </c>
    </row>
    <row r="38" spans="2:19" x14ac:dyDescent="0.35">
      <c r="B38" s="748">
        <f t="shared" si="1"/>
        <v>45146</v>
      </c>
      <c r="C38" s="622">
        <v>76</v>
      </c>
      <c r="D38" s="622"/>
      <c r="E38" s="622"/>
      <c r="H38" s="622">
        <v>2025</v>
      </c>
      <c r="I38" s="622" t="s">
        <v>241</v>
      </c>
      <c r="J38" s="99">
        <v>48.7</v>
      </c>
      <c r="K38" s="99">
        <f t="shared" ref="K38:K50" si="4">(J27+J28+J29+J30)*0.5</f>
        <v>55.333333333333329</v>
      </c>
      <c r="L38" s="99">
        <f>K38-15</f>
        <v>40.333333333333329</v>
      </c>
      <c r="M38" s="99">
        <f t="shared" si="2"/>
        <v>104.03333333333333</v>
      </c>
      <c r="N38" s="99">
        <f t="shared" si="3"/>
        <v>70.233547553942245</v>
      </c>
    </row>
    <row r="39" spans="2:19" x14ac:dyDescent="0.35">
      <c r="B39" s="748">
        <f t="shared" si="1"/>
        <v>45177</v>
      </c>
      <c r="C39" s="622">
        <v>80</v>
      </c>
      <c r="D39" s="622">
        <v>2023</v>
      </c>
      <c r="E39" s="622" t="s">
        <v>330</v>
      </c>
      <c r="F39">
        <f>AVERAGE(C37:C39)</f>
        <v>76</v>
      </c>
      <c r="H39" s="622">
        <v>2025</v>
      </c>
      <c r="I39" s="622" t="s">
        <v>330</v>
      </c>
      <c r="J39" s="99">
        <v>30</v>
      </c>
      <c r="K39" s="99">
        <f t="shared" si="4"/>
        <v>90.666666666666657</v>
      </c>
      <c r="L39" s="99">
        <f>K39</f>
        <v>90.666666666666657</v>
      </c>
      <c r="M39" s="99">
        <f t="shared" si="2"/>
        <v>120.66666666666666</v>
      </c>
      <c r="N39" s="99">
        <f t="shared" si="3"/>
        <v>81.462813888263668</v>
      </c>
    </row>
    <row r="40" spans="2:19" x14ac:dyDescent="0.35">
      <c r="B40" s="748">
        <f t="shared" si="1"/>
        <v>45208</v>
      </c>
      <c r="C40" s="622">
        <v>82</v>
      </c>
      <c r="D40" s="622"/>
      <c r="E40" s="622"/>
      <c r="H40" s="622">
        <v>2025</v>
      </c>
      <c r="I40" s="622" t="s">
        <v>774</v>
      </c>
      <c r="J40" s="99">
        <v>0</v>
      </c>
      <c r="K40" s="99">
        <f t="shared" si="4"/>
        <v>127.66666666666666</v>
      </c>
      <c r="L40" s="99">
        <f>K40+15</f>
        <v>142.66666666666666</v>
      </c>
      <c r="M40" s="99">
        <f t="shared" si="2"/>
        <v>127.66666666666666</v>
      </c>
      <c r="N40" s="99">
        <f t="shared" si="3"/>
        <v>86.188557235372897</v>
      </c>
    </row>
    <row r="41" spans="2:19" x14ac:dyDescent="0.35">
      <c r="B41" s="748">
        <f t="shared" si="1"/>
        <v>45239</v>
      </c>
      <c r="C41" s="622">
        <v>82</v>
      </c>
      <c r="D41" s="622"/>
      <c r="E41" s="622"/>
      <c r="H41" s="622">
        <v>2026</v>
      </c>
      <c r="I41" s="622" t="s">
        <v>240</v>
      </c>
      <c r="J41" s="99">
        <v>0</v>
      </c>
      <c r="K41" s="99">
        <f t="shared" si="4"/>
        <v>156</v>
      </c>
      <c r="L41" s="99">
        <f>K41+10</f>
        <v>166</v>
      </c>
      <c r="M41" s="99">
        <f t="shared" si="2"/>
        <v>156</v>
      </c>
      <c r="N41" s="99">
        <f t="shared" si="3"/>
        <v>105.31656602129117</v>
      </c>
    </row>
    <row r="42" spans="2:19" x14ac:dyDescent="0.35">
      <c r="B42" s="748">
        <f t="shared" si="1"/>
        <v>45270</v>
      </c>
      <c r="C42" s="622">
        <v>86</v>
      </c>
      <c r="D42" s="622">
        <v>2023</v>
      </c>
      <c r="E42" s="622" t="s">
        <v>774</v>
      </c>
      <c r="F42">
        <f>AVERAGE(C40:C42)</f>
        <v>83.333333333333329</v>
      </c>
      <c r="H42" s="622">
        <v>2027</v>
      </c>
      <c r="I42" s="622" t="s">
        <v>241</v>
      </c>
      <c r="J42" s="99">
        <v>0</v>
      </c>
      <c r="K42" s="99">
        <f t="shared" si="4"/>
        <v>178.83333333333334</v>
      </c>
      <c r="L42" s="99">
        <f>K42</f>
        <v>178.83333333333334</v>
      </c>
      <c r="M42" s="99">
        <f t="shared" si="2"/>
        <v>178.83333333333334</v>
      </c>
      <c r="N42" s="99">
        <f t="shared" si="3"/>
        <v>120.73149074876648</v>
      </c>
    </row>
    <row r="43" spans="2:19" x14ac:dyDescent="0.35">
      <c r="B43" s="748">
        <f t="shared" si="1"/>
        <v>45301</v>
      </c>
      <c r="C43" s="622">
        <v>90</v>
      </c>
      <c r="D43" s="622"/>
      <c r="E43" s="622"/>
      <c r="H43" s="622">
        <v>2027</v>
      </c>
      <c r="I43" s="622" t="s">
        <v>330</v>
      </c>
      <c r="J43" s="99"/>
      <c r="K43" s="99">
        <f t="shared" si="4"/>
        <v>186.66499999999999</v>
      </c>
      <c r="L43" s="99">
        <f t="shared" ref="L43:L51" si="5">K43</f>
        <v>186.66499999999999</v>
      </c>
      <c r="M43" s="99">
        <f t="shared" si="2"/>
        <v>186.66499999999999</v>
      </c>
      <c r="N43" s="99">
        <f t="shared" si="3"/>
        <v>126.01869741259176</v>
      </c>
    </row>
    <row r="44" spans="2:19" x14ac:dyDescent="0.35">
      <c r="B44" s="748">
        <f t="shared" si="1"/>
        <v>45332</v>
      </c>
      <c r="C44" s="622">
        <v>95</v>
      </c>
      <c r="D44" s="622"/>
      <c r="E44" s="622"/>
      <c r="H44" s="622">
        <v>2027</v>
      </c>
      <c r="I44" s="622" t="s">
        <v>774</v>
      </c>
      <c r="J44" s="99"/>
      <c r="K44" s="99">
        <f t="shared" si="4"/>
        <v>183.01499999999999</v>
      </c>
      <c r="L44" s="99">
        <f t="shared" si="5"/>
        <v>183.01499999999999</v>
      </c>
      <c r="M44" s="99">
        <f t="shared" si="2"/>
        <v>183.01499999999999</v>
      </c>
      <c r="N44" s="99">
        <f t="shared" si="3"/>
        <v>123.55455981017052</v>
      </c>
    </row>
    <row r="45" spans="2:19" x14ac:dyDescent="0.35">
      <c r="B45" s="748">
        <f t="shared" si="1"/>
        <v>45363</v>
      </c>
      <c r="C45" s="622">
        <v>98</v>
      </c>
      <c r="D45" s="622">
        <v>2024</v>
      </c>
      <c r="E45" s="622" t="s">
        <v>240</v>
      </c>
      <c r="F45">
        <f>AVERAGE(C43:C45)</f>
        <v>94.333333333333329</v>
      </c>
      <c r="H45" s="622">
        <v>2028</v>
      </c>
      <c r="I45" s="622" t="s">
        <v>240</v>
      </c>
      <c r="J45" s="99"/>
      <c r="K45" s="99">
        <f t="shared" si="4"/>
        <v>166.19833333333332</v>
      </c>
      <c r="L45" s="99">
        <f t="shared" si="5"/>
        <v>166.19833333333332</v>
      </c>
      <c r="M45" s="99">
        <f t="shared" si="2"/>
        <v>166.19833333333332</v>
      </c>
      <c r="N45" s="99">
        <f t="shared" si="3"/>
        <v>112.20152400723433</v>
      </c>
    </row>
    <row r="46" spans="2:19" x14ac:dyDescent="0.35">
      <c r="B46" s="748">
        <f t="shared" si="1"/>
        <v>45394</v>
      </c>
      <c r="C46" s="622">
        <v>98</v>
      </c>
      <c r="D46" s="622"/>
      <c r="E46" s="622"/>
      <c r="H46" s="622">
        <v>2028</v>
      </c>
      <c r="I46" s="622" t="s">
        <v>241</v>
      </c>
      <c r="J46" s="99"/>
      <c r="K46" s="99">
        <f t="shared" si="4"/>
        <v>139.215</v>
      </c>
      <c r="L46" s="99">
        <f t="shared" si="5"/>
        <v>139.215</v>
      </c>
      <c r="M46" s="99">
        <f t="shared" si="2"/>
        <v>139.215</v>
      </c>
      <c r="N46" s="99">
        <f t="shared" si="3"/>
        <v>93.984908581115704</v>
      </c>
    </row>
    <row r="47" spans="2:19" x14ac:dyDescent="0.35">
      <c r="B47" s="748">
        <f t="shared" si="1"/>
        <v>45425</v>
      </c>
      <c r="C47" s="622">
        <v>104</v>
      </c>
      <c r="D47" s="622"/>
      <c r="E47" s="622"/>
      <c r="H47" s="622">
        <v>2028</v>
      </c>
      <c r="I47" s="622" t="s">
        <v>330</v>
      </c>
      <c r="J47" s="99"/>
      <c r="K47" s="99">
        <f t="shared" si="4"/>
        <v>108.05000000000001</v>
      </c>
      <c r="L47" s="99">
        <f t="shared" si="5"/>
        <v>108.05000000000001</v>
      </c>
      <c r="M47" s="99">
        <f t="shared" si="2"/>
        <v>108.05000000000001</v>
      </c>
      <c r="N47" s="99">
        <f t="shared" si="3"/>
        <v>72.945224093593026</v>
      </c>
    </row>
    <row r="48" spans="2:19" x14ac:dyDescent="0.35">
      <c r="B48" s="748">
        <f t="shared" si="1"/>
        <v>45456</v>
      </c>
      <c r="C48" s="622">
        <v>106</v>
      </c>
      <c r="D48" s="622">
        <v>2024</v>
      </c>
      <c r="E48" s="622" t="s">
        <v>241</v>
      </c>
      <c r="F48">
        <f>AVERAGE(C46:C48)</f>
        <v>102.66666666666667</v>
      </c>
      <c r="H48" s="622">
        <v>2028</v>
      </c>
      <c r="I48" s="622" t="s">
        <v>774</v>
      </c>
      <c r="J48" s="99"/>
      <c r="K48" s="99">
        <f t="shared" si="4"/>
        <v>69.7</v>
      </c>
      <c r="L48" s="99">
        <f t="shared" si="5"/>
        <v>69.7</v>
      </c>
      <c r="M48" s="99">
        <f t="shared" si="2"/>
        <v>69.7</v>
      </c>
      <c r="N48" s="99">
        <f t="shared" si="3"/>
        <v>47.054901613358936</v>
      </c>
    </row>
    <row r="49" spans="2:14" x14ac:dyDescent="0.35">
      <c r="B49" s="748">
        <f t="shared" si="1"/>
        <v>45487</v>
      </c>
      <c r="C49" s="622">
        <v>96</v>
      </c>
      <c r="D49" s="622"/>
      <c r="E49" s="622"/>
      <c r="H49" s="622" t="s">
        <v>322</v>
      </c>
      <c r="I49" s="622" t="s">
        <v>322</v>
      </c>
      <c r="J49" s="622"/>
      <c r="K49" s="99">
        <f t="shared" si="4"/>
        <v>39.35</v>
      </c>
      <c r="L49" s="99">
        <f t="shared" si="5"/>
        <v>39.35</v>
      </c>
      <c r="M49" s="99"/>
      <c r="N49" s="99"/>
    </row>
    <row r="50" spans="2:14" x14ac:dyDescent="0.35">
      <c r="B50" s="748">
        <f t="shared" si="1"/>
        <v>45518</v>
      </c>
      <c r="C50" s="622">
        <v>93</v>
      </c>
      <c r="D50" s="622"/>
      <c r="E50" s="622"/>
      <c r="H50" s="622" t="s">
        <v>322</v>
      </c>
      <c r="I50" s="622" t="s">
        <v>322</v>
      </c>
      <c r="J50" s="622"/>
      <c r="K50" s="99">
        <f t="shared" si="4"/>
        <v>15</v>
      </c>
      <c r="L50" s="99">
        <f t="shared" si="5"/>
        <v>15</v>
      </c>
      <c r="M50" s="99"/>
      <c r="N50" s="99"/>
    </row>
    <row r="51" spans="2:14" x14ac:dyDescent="0.35">
      <c r="B51" s="748">
        <f t="shared" si="1"/>
        <v>45549</v>
      </c>
      <c r="C51" s="622">
        <v>88</v>
      </c>
      <c r="D51" s="622">
        <v>2024</v>
      </c>
      <c r="E51" s="622" t="s">
        <v>330</v>
      </c>
      <c r="F51">
        <f>AVERAGE(C49:C51)</f>
        <v>92.333333333333329</v>
      </c>
      <c r="H51" s="622" t="s">
        <v>322</v>
      </c>
      <c r="I51" s="622" t="s">
        <v>322</v>
      </c>
      <c r="J51" s="622"/>
      <c r="K51" s="99">
        <f t="shared" ref="K51" si="6">J41+J42+J43</f>
        <v>0</v>
      </c>
      <c r="L51" s="99">
        <f t="shared" si="5"/>
        <v>0</v>
      </c>
      <c r="M51" s="99"/>
      <c r="N51" s="99"/>
    </row>
    <row r="52" spans="2:14" x14ac:dyDescent="0.35">
      <c r="B52" s="748">
        <f t="shared" si="1"/>
        <v>45580</v>
      </c>
      <c r="C52" s="622">
        <v>80</v>
      </c>
      <c r="D52" s="622"/>
      <c r="E52" s="622"/>
      <c r="H52" s="622" t="s">
        <v>322</v>
      </c>
      <c r="I52" s="622" t="s">
        <v>322</v>
      </c>
      <c r="J52" s="622">
        <f>SUM(J27:J51)</f>
        <v>776.76333333333343</v>
      </c>
      <c r="K52">
        <f>SUM(K27:K51)</f>
        <v>1553.5266666666664</v>
      </c>
      <c r="L52">
        <f>SUM(L27:L51)</f>
        <v>1553.5266666666664</v>
      </c>
    </row>
    <row r="53" spans="2:14" x14ac:dyDescent="0.35">
      <c r="B53" s="748">
        <f t="shared" si="1"/>
        <v>45611</v>
      </c>
      <c r="C53" s="622">
        <v>76</v>
      </c>
      <c r="D53" s="622"/>
      <c r="E53" s="622"/>
      <c r="H53" s="622"/>
      <c r="I53" s="622"/>
      <c r="J53" s="622"/>
    </row>
    <row r="54" spans="2:14" x14ac:dyDescent="0.35">
      <c r="B54" s="748">
        <f t="shared" si="1"/>
        <v>45642</v>
      </c>
      <c r="C54" s="622">
        <v>74</v>
      </c>
      <c r="D54" s="622">
        <v>2024</v>
      </c>
      <c r="E54" s="622" t="s">
        <v>774</v>
      </c>
      <c r="F54">
        <f>AVERAGE(C52:C54)</f>
        <v>76.666666666666671</v>
      </c>
      <c r="H54" s="622"/>
      <c r="I54" s="622"/>
      <c r="J54" s="622"/>
    </row>
    <row r="55" spans="2:14" x14ac:dyDescent="0.35">
      <c r="B55" s="748">
        <f t="shared" si="1"/>
        <v>45673</v>
      </c>
      <c r="C55" s="622">
        <v>66</v>
      </c>
      <c r="D55" s="622"/>
      <c r="E55" s="622"/>
      <c r="H55" s="622"/>
      <c r="I55" s="622"/>
      <c r="J55" s="622"/>
    </row>
    <row r="56" spans="2:14" x14ac:dyDescent="0.35">
      <c r="B56" s="748">
        <f t="shared" si="1"/>
        <v>45704</v>
      </c>
      <c r="C56" s="622">
        <v>58</v>
      </c>
      <c r="D56" s="622"/>
      <c r="E56" s="622"/>
      <c r="H56" s="622"/>
      <c r="I56" s="622"/>
      <c r="J56" s="622"/>
    </row>
    <row r="57" spans="2:14" x14ac:dyDescent="0.35">
      <c r="B57" s="748">
        <f t="shared" si="1"/>
        <v>45735</v>
      </c>
      <c r="C57" s="622">
        <v>58</v>
      </c>
      <c r="D57" s="622">
        <v>2025</v>
      </c>
      <c r="E57" s="622" t="s">
        <v>240</v>
      </c>
      <c r="F57">
        <f>AVERAGE(C55:C57)</f>
        <v>60.666666666666664</v>
      </c>
      <c r="H57" s="622"/>
      <c r="I57" s="622"/>
      <c r="J57" s="622"/>
    </row>
    <row r="58" spans="2:14" x14ac:dyDescent="0.35">
      <c r="B58" s="748"/>
      <c r="C58" s="749">
        <v>50</v>
      </c>
      <c r="D58" s="622"/>
      <c r="E58" s="622"/>
      <c r="H58" s="622"/>
      <c r="I58" s="622"/>
      <c r="J58" s="622"/>
    </row>
    <row r="59" spans="2:14" x14ac:dyDescent="0.35">
      <c r="B59" s="748"/>
      <c r="C59" s="749">
        <v>48</v>
      </c>
      <c r="D59" s="622"/>
      <c r="E59" s="622"/>
      <c r="H59" s="622"/>
      <c r="I59" s="622"/>
      <c r="J59" s="622"/>
    </row>
    <row r="60" spans="2:14" x14ac:dyDescent="0.35">
      <c r="B60" s="622"/>
      <c r="C60" s="749">
        <v>48</v>
      </c>
      <c r="D60" s="622">
        <v>2025</v>
      </c>
      <c r="E60" s="622" t="s">
        <v>241</v>
      </c>
      <c r="F60">
        <f>AVERAGE(C58:C60)</f>
        <v>48.666666666666664</v>
      </c>
      <c r="H60" s="622"/>
      <c r="I60" s="622"/>
      <c r="J60" s="622"/>
    </row>
    <row r="61" spans="2:14" x14ac:dyDescent="0.35">
      <c r="B61" s="622"/>
      <c r="C61" s="622">
        <v>40</v>
      </c>
      <c r="D61" s="622"/>
      <c r="E61" s="622"/>
      <c r="H61" s="622"/>
      <c r="I61" s="622"/>
      <c r="J61" s="622"/>
    </row>
    <row r="62" spans="2:14" x14ac:dyDescent="0.35">
      <c r="B62" s="622"/>
      <c r="C62" s="749">
        <v>30</v>
      </c>
      <c r="D62" s="622"/>
      <c r="E62" s="622"/>
      <c r="H62" s="622"/>
      <c r="I62" s="622"/>
      <c r="J62" s="622"/>
    </row>
    <row r="63" spans="2:14" x14ac:dyDescent="0.35">
      <c r="B63" s="622"/>
      <c r="C63" s="749">
        <v>20</v>
      </c>
      <c r="D63" s="622"/>
      <c r="E63" s="622"/>
      <c r="F63">
        <f>AVERAGE(C61:C63)</f>
        <v>30</v>
      </c>
      <c r="H63" s="622"/>
      <c r="I63" s="622"/>
      <c r="J63" s="622"/>
    </row>
    <row r="64" spans="2:14" x14ac:dyDescent="0.35">
      <c r="B64" s="622"/>
      <c r="C64" s="622"/>
      <c r="D64" s="622"/>
      <c r="E64" s="622"/>
      <c r="H64" s="622"/>
      <c r="I64" s="622"/>
      <c r="J64" s="622"/>
    </row>
    <row r="65" spans="2:10" x14ac:dyDescent="0.35">
      <c r="B65" s="622"/>
      <c r="C65" s="721"/>
      <c r="D65" s="750"/>
      <c r="E65" s="721"/>
      <c r="H65" s="622"/>
      <c r="I65" s="622"/>
      <c r="J65" s="622"/>
    </row>
    <row r="66" spans="2:10" x14ac:dyDescent="0.35">
      <c r="B66" s="622"/>
      <c r="C66" s="622"/>
      <c r="D66" s="622"/>
      <c r="E66" s="622"/>
      <c r="F66" t="e">
        <f>AVERAGE(C64:C66)</f>
        <v>#DIV/0!</v>
      </c>
      <c r="H66" s="622"/>
      <c r="I66" s="622"/>
      <c r="J66" s="622"/>
    </row>
    <row r="67" spans="2:10" x14ac:dyDescent="0.35">
      <c r="B67" s="622"/>
      <c r="C67" s="622"/>
      <c r="D67" s="747"/>
      <c r="E67" s="622"/>
      <c r="H67" s="622"/>
      <c r="I67" s="622"/>
      <c r="J67" s="622"/>
    </row>
    <row r="68" spans="2:10" x14ac:dyDescent="0.35">
      <c r="B68" s="622"/>
      <c r="C68" s="622"/>
      <c r="D68" s="747"/>
      <c r="E68" s="747"/>
      <c r="H68" s="622"/>
      <c r="I68" s="622"/>
      <c r="J68" s="622"/>
    </row>
    <row r="69" spans="2:10" x14ac:dyDescent="0.35">
      <c r="B69" s="751"/>
      <c r="C69" s="752"/>
      <c r="D69" s="753"/>
      <c r="E69" s="622"/>
      <c r="H69" s="622"/>
      <c r="I69" s="622"/>
      <c r="J69" s="622"/>
    </row>
    <row r="70" spans="2:10" x14ac:dyDescent="0.35">
      <c r="B70" s="747" t="s">
        <v>1943</v>
      </c>
      <c r="C70" s="747"/>
      <c r="D70" s="753"/>
      <c r="E70" s="622"/>
      <c r="H70" s="622"/>
      <c r="I70" s="622"/>
      <c r="J70" s="622"/>
    </row>
    <row r="71" spans="2:10" x14ac:dyDescent="0.35">
      <c r="B71" s="747" t="s">
        <v>1944</v>
      </c>
      <c r="C71" s="747"/>
      <c r="D71" s="753"/>
      <c r="E71" s="622"/>
      <c r="H71" s="622"/>
      <c r="I71" s="622"/>
      <c r="J71" s="622"/>
    </row>
    <row r="72" spans="2:10" x14ac:dyDescent="0.35">
      <c r="B72" s="747" t="s">
        <v>1945</v>
      </c>
      <c r="C72" s="747"/>
      <c r="D72" s="753"/>
      <c r="E72" s="622"/>
      <c r="H72" s="622"/>
      <c r="I72" s="622"/>
      <c r="J72" s="622"/>
    </row>
    <row r="73" spans="2:10" x14ac:dyDescent="0.35">
      <c r="B73" s="747" t="s">
        <v>1946</v>
      </c>
      <c r="C73" s="747"/>
      <c r="D73" s="753"/>
      <c r="E73" s="622"/>
      <c r="H73" s="622" t="s">
        <v>1947</v>
      </c>
      <c r="I73" s="622"/>
      <c r="J73" s="622"/>
    </row>
    <row r="74" spans="2:10" x14ac:dyDescent="0.35">
      <c r="B74" s="747" t="s">
        <v>1948</v>
      </c>
      <c r="C74" s="747"/>
      <c r="D74" s="753"/>
      <c r="E74" s="622"/>
      <c r="H74" s="622" t="s">
        <v>1949</v>
      </c>
      <c r="I74" s="622"/>
      <c r="J74" s="622"/>
    </row>
    <row r="75" spans="2:10" x14ac:dyDescent="0.35">
      <c r="B75" s="747" t="s">
        <v>1852</v>
      </c>
      <c r="C75" s="747"/>
      <c r="D75" s="622"/>
      <c r="E75" s="622"/>
      <c r="H75" s="622"/>
      <c r="I75" s="622"/>
      <c r="J75" s="622"/>
    </row>
    <row r="76" spans="2:10" x14ac:dyDescent="0.35">
      <c r="B76" s="622"/>
      <c r="C76" s="622"/>
      <c r="D76" s="622"/>
      <c r="E76" s="622"/>
      <c r="H76" s="622"/>
      <c r="I76" s="622"/>
      <c r="J76" s="622"/>
    </row>
    <row r="77" spans="2:10" x14ac:dyDescent="0.35">
      <c r="B77" s="747" t="s">
        <v>1950</v>
      </c>
      <c r="C77" s="747" t="s">
        <v>1951</v>
      </c>
      <c r="D77" s="622"/>
      <c r="E77" s="622"/>
      <c r="H77" s="622"/>
      <c r="I77" s="622"/>
      <c r="J77" s="622"/>
    </row>
    <row r="78" spans="2:10" x14ac:dyDescent="0.35">
      <c r="B78" s="622"/>
      <c r="C78" s="622"/>
      <c r="D78" s="622"/>
      <c r="E78" s="622"/>
      <c r="H78" s="622"/>
      <c r="I78" s="622"/>
      <c r="J78" s="622"/>
    </row>
    <row r="79" spans="2:10" x14ac:dyDescent="0.35">
      <c r="B79" s="747" t="s">
        <v>1952</v>
      </c>
      <c r="C79" s="747"/>
      <c r="D79" s="622"/>
      <c r="E79" s="622"/>
      <c r="H79" s="622"/>
      <c r="I79" s="622"/>
      <c r="J79" s="622"/>
    </row>
    <row r="80" spans="2:10" x14ac:dyDescent="0.35">
      <c r="B80" s="747" t="s">
        <v>1853</v>
      </c>
      <c r="C80" s="747" t="s">
        <v>1950</v>
      </c>
      <c r="D80" s="622"/>
      <c r="E80" s="622"/>
      <c r="H80" s="622"/>
      <c r="I80" s="622"/>
      <c r="J80" s="622"/>
    </row>
    <row r="81" spans="2:10" x14ac:dyDescent="0.35">
      <c r="B81" s="754">
        <v>42736</v>
      </c>
      <c r="C81" s="753">
        <v>234.95833333333334</v>
      </c>
      <c r="D81" s="622"/>
      <c r="E81" s="622"/>
      <c r="F81">
        <f>C81/C86</f>
        <v>0.67510619244417414</v>
      </c>
      <c r="H81" s="622"/>
      <c r="I81" s="622"/>
      <c r="J81" s="622"/>
    </row>
    <row r="82" spans="2:10" x14ac:dyDescent="0.35">
      <c r="B82" s="754">
        <v>43101</v>
      </c>
      <c r="C82" s="753">
        <v>247.02500000000001</v>
      </c>
      <c r="D82" s="622"/>
      <c r="E82" s="622"/>
      <c r="H82" s="622"/>
      <c r="I82" s="622"/>
      <c r="J82" s="622"/>
    </row>
    <row r="83" spans="2:10" x14ac:dyDescent="0.35">
      <c r="B83" s="754">
        <v>43466</v>
      </c>
      <c r="C83" s="753">
        <v>251.27500000000001</v>
      </c>
      <c r="D83" s="622"/>
      <c r="E83" s="622"/>
      <c r="H83" s="622"/>
      <c r="I83" s="622"/>
      <c r="J83" s="622"/>
    </row>
    <row r="84" spans="2:10" x14ac:dyDescent="0.35">
      <c r="B84" s="754">
        <v>43831</v>
      </c>
      <c r="C84" s="753">
        <v>256.94166666666666</v>
      </c>
      <c r="D84" s="622"/>
      <c r="E84" s="622"/>
      <c r="H84" s="622"/>
      <c r="I84" s="622"/>
      <c r="J84" s="622"/>
    </row>
    <row r="85" spans="2:10" x14ac:dyDescent="0.35">
      <c r="B85" s="754">
        <v>44197</v>
      </c>
      <c r="C85" s="753">
        <v>298.95841666666666</v>
      </c>
      <c r="D85" s="622"/>
      <c r="E85" s="622"/>
      <c r="H85" s="622"/>
      <c r="I85" s="622"/>
      <c r="J85" s="622"/>
    </row>
    <row r="86" spans="2:10" x14ac:dyDescent="0.35">
      <c r="B86" s="754">
        <v>44562</v>
      </c>
      <c r="C86" s="753">
        <v>348.03166666666669</v>
      </c>
      <c r="D86" s="622"/>
      <c r="E86" s="622"/>
      <c r="H86" s="622"/>
      <c r="I86" s="622"/>
      <c r="J86" s="622"/>
    </row>
    <row r="87" spans="2:10" x14ac:dyDescent="0.35">
      <c r="B87" s="754">
        <v>44927</v>
      </c>
      <c r="C87" s="753">
        <v>351.04091666666665</v>
      </c>
      <c r="D87" s="622"/>
      <c r="E87" s="622"/>
      <c r="H87" s="622"/>
      <c r="I87" s="622"/>
      <c r="J87" s="622"/>
    </row>
    <row r="88" spans="2:10" x14ac:dyDescent="0.35">
      <c r="B88" s="754">
        <v>45292</v>
      </c>
      <c r="C88" s="747">
        <v>0</v>
      </c>
      <c r="D88" s="622"/>
      <c r="E88" s="622"/>
      <c r="H88" s="622"/>
      <c r="I88" s="622"/>
      <c r="J88" s="622"/>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T149"/>
  <sheetViews>
    <sheetView topLeftCell="C1" zoomScaleNormal="100" workbookViewId="0">
      <pane xSplit="2" ySplit="3" topLeftCell="U4" activePane="bottomRight" state="frozen"/>
      <selection activeCell="C1" sqref="C1"/>
      <selection pane="topRight" activeCell="E1" sqref="E1"/>
      <selection pane="bottomLeft" activeCell="C4" sqref="C4"/>
      <selection pane="bottomRight" activeCell="AG11" sqref="AG11"/>
    </sheetView>
  </sheetViews>
  <sheetFormatPr defaultColWidth="10.90625" defaultRowHeight="14.5" x14ac:dyDescent="0.35"/>
  <cols>
    <col min="1" max="2" width="0" hidden="1" customWidth="1"/>
    <col min="4" max="4" width="45.1796875" customWidth="1"/>
    <col min="5" max="5" width="11.1796875" customWidth="1"/>
    <col min="11" max="11" width="15.453125" customWidth="1"/>
    <col min="12" max="12" width="15.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69" t="s">
        <v>58</v>
      </c>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4:57" ht="14.25" customHeight="1" x14ac:dyDescent="0.35">
      <c r="D2" s="1304" t="s">
        <v>907</v>
      </c>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4:57" ht="84.75" customHeight="1" x14ac:dyDescent="0.35">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4:57" x14ac:dyDescent="0.35">
      <c r="D4" s="852" t="s">
        <v>332</v>
      </c>
      <c r="W4" s="56"/>
    </row>
    <row r="5" spans="4:57" x14ac:dyDescent="0.35">
      <c r="D5" s="1274" t="s">
        <v>402</v>
      </c>
      <c r="E5" s="1275"/>
      <c r="F5" s="1373" t="s">
        <v>279</v>
      </c>
      <c r="G5" s="1374"/>
      <c r="H5" s="1374"/>
      <c r="I5" s="1374"/>
      <c r="J5" s="1374"/>
      <c r="K5" s="1374"/>
      <c r="L5" s="1374"/>
      <c r="M5" s="1374"/>
      <c r="N5" s="1374"/>
      <c r="O5" s="1374"/>
      <c r="P5" s="1374"/>
      <c r="Q5" s="1374"/>
      <c r="R5" s="1374"/>
      <c r="S5" s="1374"/>
      <c r="T5" s="1374"/>
      <c r="U5" s="1374"/>
      <c r="V5" s="1374"/>
      <c r="W5" s="1374"/>
      <c r="X5" s="1374"/>
      <c r="Y5" s="1374"/>
      <c r="Z5" s="1374"/>
      <c r="AA5" s="1374"/>
      <c r="AB5" s="1375"/>
      <c r="AC5" s="1302" t="s">
        <v>280</v>
      </c>
      <c r="AD5" s="1282"/>
      <c r="AE5" s="1282"/>
      <c r="AF5" s="1282"/>
      <c r="AG5" s="1282"/>
      <c r="AH5" s="1282"/>
      <c r="AI5" s="1282"/>
      <c r="AJ5" s="1282"/>
      <c r="AK5" s="1282"/>
      <c r="AL5" s="1282"/>
      <c r="AM5" s="1282"/>
      <c r="AN5" s="1283"/>
      <c r="AO5" s="770"/>
      <c r="AP5" s="770"/>
      <c r="AQ5" s="770"/>
      <c r="AR5" s="770"/>
      <c r="AS5" s="770"/>
      <c r="AT5" s="770"/>
      <c r="AU5" s="770"/>
      <c r="AV5" s="770"/>
      <c r="AW5" s="770"/>
      <c r="AX5" s="770"/>
      <c r="AY5" s="770"/>
      <c r="AZ5" s="770"/>
      <c r="BA5" s="770"/>
      <c r="BB5" s="770"/>
      <c r="BC5" s="770"/>
      <c r="BD5" s="770"/>
      <c r="BE5" s="770"/>
    </row>
    <row r="6" spans="4:57" x14ac:dyDescent="0.35">
      <c r="D6" s="1276"/>
      <c r="E6" s="1327"/>
      <c r="F6" s="1271">
        <v>2019</v>
      </c>
      <c r="G6" s="1272"/>
      <c r="H6" s="1333"/>
      <c r="I6" s="1272">
        <v>2020</v>
      </c>
      <c r="J6" s="1272"/>
      <c r="K6" s="1272"/>
      <c r="L6" s="1272"/>
      <c r="M6" s="1293">
        <v>2021</v>
      </c>
      <c r="N6" s="1294"/>
      <c r="O6" s="1294"/>
      <c r="P6" s="1294"/>
      <c r="Q6" s="1293">
        <v>2022</v>
      </c>
      <c r="R6" s="1301"/>
      <c r="S6" s="1301"/>
      <c r="T6" s="1295"/>
      <c r="U6" s="1293">
        <v>2023</v>
      </c>
      <c r="V6" s="1301"/>
      <c r="W6" s="1301"/>
      <c r="X6" s="1295"/>
      <c r="Y6" s="437"/>
      <c r="Z6" s="428"/>
      <c r="AA6" s="428">
        <v>2024</v>
      </c>
      <c r="AB6" s="295"/>
      <c r="AC6" s="1280">
        <v>2025</v>
      </c>
      <c r="AD6" s="1286"/>
      <c r="AE6" s="1286"/>
      <c r="AF6" s="1285"/>
      <c r="AG6" s="1280">
        <v>2026</v>
      </c>
      <c r="AH6" s="1286"/>
      <c r="AI6" s="1286"/>
      <c r="AJ6" s="1285"/>
      <c r="AK6" s="1280">
        <v>2027</v>
      </c>
      <c r="AL6" s="1286"/>
      <c r="AM6" s="1286"/>
      <c r="AN6" s="1285"/>
      <c r="AO6" s="771"/>
      <c r="AP6" s="771"/>
      <c r="AQ6" s="771"/>
      <c r="AR6" s="771"/>
      <c r="AS6" s="771"/>
      <c r="AT6" s="771"/>
      <c r="AU6" s="771"/>
      <c r="AV6" s="771"/>
      <c r="AW6" s="771"/>
      <c r="AX6" s="771"/>
      <c r="AY6" s="771"/>
      <c r="AZ6" s="771"/>
      <c r="BA6" s="771"/>
      <c r="BB6" s="771"/>
      <c r="BC6" s="771"/>
      <c r="BD6" s="771"/>
    </row>
    <row r="7" spans="4:57" x14ac:dyDescent="0.35">
      <c r="D7" s="1278"/>
      <c r="E7" s="1328"/>
      <c r="F7" s="214" t="s">
        <v>283</v>
      </c>
      <c r="G7" s="215" t="s">
        <v>238</v>
      </c>
      <c r="H7" s="218" t="s">
        <v>281</v>
      </c>
      <c r="I7" s="215" t="s">
        <v>282</v>
      </c>
      <c r="J7" s="215" t="s">
        <v>283</v>
      </c>
      <c r="K7" s="215" t="s">
        <v>238</v>
      </c>
      <c r="L7" s="215" t="s">
        <v>281</v>
      </c>
      <c r="M7" s="214" t="s">
        <v>282</v>
      </c>
      <c r="N7" s="215" t="s">
        <v>283</v>
      </c>
      <c r="O7" s="215" t="s">
        <v>238</v>
      </c>
      <c r="P7" s="215" t="s">
        <v>281</v>
      </c>
      <c r="Q7" s="214" t="s">
        <v>282</v>
      </c>
      <c r="R7" s="215" t="s">
        <v>283</v>
      </c>
      <c r="S7" s="215" t="s">
        <v>238</v>
      </c>
      <c r="T7" s="218" t="s">
        <v>281</v>
      </c>
      <c r="U7" s="215" t="s">
        <v>282</v>
      </c>
      <c r="V7" s="274" t="s">
        <v>283</v>
      </c>
      <c r="W7" s="215" t="s">
        <v>238</v>
      </c>
      <c r="X7" s="218" t="s">
        <v>281</v>
      </c>
      <c r="Y7" s="214" t="s">
        <v>282</v>
      </c>
      <c r="Z7" s="292" t="s">
        <v>283</v>
      </c>
      <c r="AA7" s="215" t="s">
        <v>238</v>
      </c>
      <c r="AB7" s="215" t="s">
        <v>281</v>
      </c>
      <c r="AC7" s="259" t="s">
        <v>282</v>
      </c>
      <c r="AD7" s="257" t="s">
        <v>283</v>
      </c>
      <c r="AE7" s="260" t="s">
        <v>238</v>
      </c>
      <c r="AF7" s="260" t="s">
        <v>281</v>
      </c>
      <c r="AG7" s="259" t="s">
        <v>282</v>
      </c>
      <c r="AH7" s="257" t="s">
        <v>283</v>
      </c>
      <c r="AI7" s="260" t="s">
        <v>238</v>
      </c>
      <c r="AJ7" s="287" t="s">
        <v>281</v>
      </c>
      <c r="AK7" s="259" t="s">
        <v>282</v>
      </c>
      <c r="AL7" s="257" t="s">
        <v>283</v>
      </c>
      <c r="AM7" s="260" t="s">
        <v>238</v>
      </c>
      <c r="AN7" s="287" t="s">
        <v>281</v>
      </c>
      <c r="AO7" s="908"/>
      <c r="AP7" s="908"/>
      <c r="AQ7" s="908"/>
      <c r="AR7" s="908"/>
      <c r="AS7" s="908"/>
      <c r="AT7" s="908"/>
      <c r="AU7" s="908"/>
      <c r="AV7" s="908"/>
      <c r="AW7" s="908"/>
      <c r="AX7" s="908"/>
      <c r="AY7" s="908"/>
      <c r="AZ7" s="908"/>
      <c r="BA7" s="908"/>
      <c r="BB7" s="908"/>
      <c r="BC7" s="908"/>
      <c r="BD7" s="908"/>
    </row>
    <row r="8" spans="4:57" x14ac:dyDescent="0.35">
      <c r="D8" s="867" t="s">
        <v>464</v>
      </c>
      <c r="E8" s="55"/>
      <c r="F8" s="861"/>
      <c r="G8" s="862"/>
      <c r="H8" s="862"/>
      <c r="I8" s="862"/>
      <c r="J8" s="862"/>
      <c r="K8" s="862"/>
      <c r="L8" s="862"/>
      <c r="M8" s="862"/>
      <c r="N8" s="862"/>
      <c r="O8" s="862"/>
      <c r="P8" s="862"/>
      <c r="Q8" s="862"/>
      <c r="R8" s="862"/>
      <c r="S8" s="862"/>
      <c r="T8" s="862"/>
      <c r="U8" s="907"/>
      <c r="V8" s="907"/>
      <c r="W8" s="907"/>
      <c r="X8" s="862"/>
      <c r="Y8" s="863"/>
      <c r="Z8" s="863"/>
      <c r="AA8" s="863"/>
      <c r="AB8" s="863"/>
      <c r="AC8" s="790"/>
      <c r="AD8" s="790"/>
      <c r="AE8" s="790"/>
      <c r="AF8" s="790"/>
      <c r="AG8" s="823"/>
      <c r="AH8" s="823"/>
      <c r="AI8" s="823"/>
      <c r="AJ8" s="823"/>
      <c r="AK8" s="823"/>
      <c r="AL8" s="823"/>
      <c r="AM8" s="823"/>
      <c r="AN8" s="823"/>
      <c r="AO8" s="676"/>
      <c r="AP8" s="676"/>
      <c r="AQ8" s="676"/>
      <c r="AR8" s="676"/>
      <c r="AS8" s="676"/>
      <c r="AT8" s="676"/>
      <c r="AU8" s="676"/>
      <c r="AV8" s="676"/>
      <c r="AW8" s="676"/>
      <c r="AX8" s="676"/>
      <c r="AY8" s="676"/>
      <c r="AZ8" s="676"/>
      <c r="BA8" s="676"/>
      <c r="BB8" s="676"/>
      <c r="BC8" s="676"/>
      <c r="BD8" s="676"/>
    </row>
    <row r="9" spans="4:57" ht="14.9" customHeight="1" x14ac:dyDescent="0.35">
      <c r="D9" s="485" t="s">
        <v>479</v>
      </c>
      <c r="E9" s="866"/>
      <c r="F9" s="814">
        <f t="shared" ref="F9:S9" si="0">SUM(F10:F14)</f>
        <v>3259.3999999999996</v>
      </c>
      <c r="G9" s="904">
        <f t="shared" si="0"/>
        <v>3286.9</v>
      </c>
      <c r="H9" s="904">
        <f t="shared" si="0"/>
        <v>3343.2000000000003</v>
      </c>
      <c r="I9" s="904">
        <f t="shared" si="0"/>
        <v>3392.5</v>
      </c>
      <c r="J9" s="904">
        <f t="shared" si="0"/>
        <v>3135.1000000000004</v>
      </c>
      <c r="K9" s="904">
        <f t="shared" si="0"/>
        <v>3318.9</v>
      </c>
      <c r="L9" s="904">
        <f t="shared" si="0"/>
        <v>3478.3</v>
      </c>
      <c r="M9" s="904">
        <f t="shared" si="0"/>
        <v>3638.1</v>
      </c>
      <c r="N9" s="904">
        <f t="shared" si="0"/>
        <v>3792.5</v>
      </c>
      <c r="O9" s="904">
        <f t="shared" si="0"/>
        <v>3916.4</v>
      </c>
      <c r="P9" s="904">
        <f t="shared" si="0"/>
        <v>4047.3</v>
      </c>
      <c r="Q9" s="904">
        <f t="shared" si="0"/>
        <v>4447.4000000000005</v>
      </c>
      <c r="R9" s="904">
        <f t="shared" si="0"/>
        <v>4479.2000000000007</v>
      </c>
      <c r="S9" s="904">
        <f t="shared" si="0"/>
        <v>4541.8</v>
      </c>
      <c r="T9" s="904">
        <f t="shared" ref="T9:AG9" si="1">SUM(T10,T12,T14)</f>
        <v>4515.6000000000004</v>
      </c>
      <c r="U9" s="904">
        <f t="shared" si="1"/>
        <v>4197.2</v>
      </c>
      <c r="V9" s="904">
        <f t="shared" si="1"/>
        <v>4212.5</v>
      </c>
      <c r="W9" s="904">
        <f t="shared" si="1"/>
        <v>4250.7</v>
      </c>
      <c r="X9" s="904">
        <f t="shared" si="1"/>
        <v>4287.7</v>
      </c>
      <c r="Y9" s="781">
        <f t="shared" si="1"/>
        <v>4397.3999999999996</v>
      </c>
      <c r="Z9" s="781">
        <f t="shared" si="1"/>
        <v>4417.2</v>
      </c>
      <c r="AA9" s="781">
        <f t="shared" si="1"/>
        <v>4465</v>
      </c>
      <c r="AB9" s="781">
        <f t="shared" si="1"/>
        <v>4526.3</v>
      </c>
      <c r="AC9" s="781">
        <f t="shared" si="1"/>
        <v>4599.0105611712625</v>
      </c>
      <c r="AD9" s="781">
        <f t="shared" si="1"/>
        <v>4622.1524984238076</v>
      </c>
      <c r="AE9" s="781">
        <f t="shared" si="1"/>
        <v>4645.5079910034628</v>
      </c>
      <c r="AF9" s="781">
        <f t="shared" si="1"/>
        <v>4669.0771571723008</v>
      </c>
      <c r="AG9" s="781">
        <f t="shared" si="1"/>
        <v>4788.2914768467372</v>
      </c>
      <c r="AH9" s="781">
        <f>SUM(AH10,AH12,AH14)</f>
        <v>4821.1492369319667</v>
      </c>
      <c r="AI9" s="781">
        <f>SUM(AI10,AI12,AI14)</f>
        <v>4854.3793911032208</v>
      </c>
      <c r="AJ9" s="781">
        <f>SUM(AJ10,AJ12,AJ14)</f>
        <v>4887.9843671003364</v>
      </c>
      <c r="AK9" s="781">
        <f>SUM(AK10,AK12,AK14)</f>
        <v>4900.0314317156408</v>
      </c>
      <c r="AL9" s="781">
        <f t="shared" ref="AL9:AN9" si="2">SUM(AL10,AL12,AL14)</f>
        <v>2237.042396997816</v>
      </c>
      <c r="AM9" s="781">
        <f t="shared" si="2"/>
        <v>2249.3952007556331</v>
      </c>
      <c r="AN9" s="781">
        <f t="shared" si="2"/>
        <v>2261.9008407253946</v>
      </c>
      <c r="AO9" s="894"/>
      <c r="AP9" s="894"/>
      <c r="AV9" s="773"/>
      <c r="AW9" s="773"/>
      <c r="AX9" s="773"/>
      <c r="AY9" s="773"/>
      <c r="AZ9" s="773"/>
      <c r="BA9" s="773"/>
      <c r="BB9" s="773"/>
      <c r="BC9" s="773"/>
      <c r="BD9" s="773"/>
    </row>
    <row r="10" spans="4:57" x14ac:dyDescent="0.35">
      <c r="D10" s="518" t="s">
        <v>480</v>
      </c>
      <c r="E10" s="39" t="s">
        <v>115</v>
      </c>
      <c r="F10" s="897">
        <f>'Haver Pivoted'!GQ27</f>
        <v>1686.7</v>
      </c>
      <c r="G10" s="830">
        <f>'Haver Pivoted'!GR27</f>
        <v>1699.8</v>
      </c>
      <c r="H10" s="830">
        <f>'Haver Pivoted'!GS27</f>
        <v>1736.2</v>
      </c>
      <c r="I10" s="830">
        <f>'Haver Pivoted'!GT27</f>
        <v>1755.2</v>
      </c>
      <c r="J10" s="830">
        <f>'Haver Pivoted'!GU27</f>
        <v>1622.1</v>
      </c>
      <c r="K10" s="830">
        <f>'Haver Pivoted'!GV27</f>
        <v>1736.6</v>
      </c>
      <c r="L10" s="830">
        <f>'Haver Pivoted'!GW27</f>
        <v>1849.4</v>
      </c>
      <c r="M10" s="830">
        <f>'Haver Pivoted'!GX27</f>
        <v>1988.7</v>
      </c>
      <c r="N10" s="830">
        <f>'Haver Pivoted'!GY27</f>
        <v>2089.5</v>
      </c>
      <c r="O10" s="830">
        <f>'Haver Pivoted'!GZ27</f>
        <v>2173.6</v>
      </c>
      <c r="P10" s="830">
        <f>'Haver Pivoted'!HA27</f>
        <v>2248</v>
      </c>
      <c r="Q10" s="830">
        <f>'Haver Pivoted'!HB27</f>
        <v>2597.4</v>
      </c>
      <c r="R10" s="830">
        <f>'Haver Pivoted'!HC27</f>
        <v>2604.3000000000002</v>
      </c>
      <c r="S10" s="830">
        <f>'Haver Pivoted'!HD27</f>
        <v>2628.3</v>
      </c>
      <c r="T10" s="780">
        <f>'Haver Pivoted'!HE27</f>
        <v>2595.6999999999998</v>
      </c>
      <c r="U10" s="780">
        <f>'Haver Pivoted'!HF27</f>
        <v>2256.3000000000002</v>
      </c>
      <c r="V10" s="780">
        <f>'Haver Pivoted'!HG27</f>
        <v>2246.8000000000002</v>
      </c>
      <c r="W10" s="780">
        <f>'Haver Pivoted'!HH27</f>
        <v>2260.5</v>
      </c>
      <c r="X10" s="780">
        <f>'Haver Pivoted'!HI27</f>
        <v>2282.1999999999998</v>
      </c>
      <c r="Y10" s="780">
        <f>'Haver Pivoted'!HJ27</f>
        <v>2356.1</v>
      </c>
      <c r="Z10" s="780">
        <f>'Haver Pivoted'!HK27</f>
        <v>2375.4</v>
      </c>
      <c r="AA10" s="780">
        <f>'Haver Pivoted'!HL27</f>
        <v>2400.1</v>
      </c>
      <c r="AB10" s="780">
        <f>'Haver Pivoted'!HM27</f>
        <v>2436.5</v>
      </c>
      <c r="AC10" s="903">
        <f>Y10*(1+$L36-0.02)+AC11</f>
        <v>2498.6213311610932</v>
      </c>
      <c r="AD10" s="782">
        <f>AC10*(1.02)^0.25+AD11</f>
        <v>2511.0218178549931</v>
      </c>
      <c r="AE10" s="782">
        <f>AD10*(1.02)^0.25+AE11</f>
        <v>2523.4838473158293</v>
      </c>
      <c r="AF10" s="782">
        <f>AE10*(1.02)^0.25+AF11</f>
        <v>2536.007724976143</v>
      </c>
      <c r="AG10" s="903">
        <f>AC10*(1+$M36-0.01)+AG11</f>
        <v>2635.7507512774041</v>
      </c>
      <c r="AH10" s="782">
        <f>AG10*(1.02)^0.25+AH11</f>
        <v>2648.8318019000144</v>
      </c>
      <c r="AI10" s="782">
        <f>AH10*(1.02)^0.25+AI11</f>
        <v>2661.9777728817703</v>
      </c>
      <c r="AJ10" s="782">
        <f>AI10*(1.02)^0.25+AJ11</f>
        <v>2675.188986417972</v>
      </c>
      <c r="AK10" s="815">
        <f>AJ10*(1+$N36)+AK11</f>
        <v>2675.188986417972</v>
      </c>
      <c r="AL10" s="816"/>
      <c r="AM10" s="816"/>
      <c r="AN10" s="816"/>
      <c r="AO10" s="894"/>
      <c r="AP10" s="894"/>
      <c r="AV10" s="676"/>
      <c r="AW10" s="676"/>
      <c r="AX10" s="676"/>
      <c r="AY10" s="676"/>
      <c r="AZ10" s="676"/>
      <c r="BA10" s="676"/>
      <c r="BB10" s="676"/>
      <c r="BC10" s="676"/>
      <c r="BD10" s="676"/>
    </row>
    <row r="11" spans="4:57" x14ac:dyDescent="0.35">
      <c r="D11" s="518" t="s">
        <v>1747</v>
      </c>
      <c r="E11" s="39"/>
      <c r="F11" s="865"/>
      <c r="G11" s="864"/>
      <c r="H11" s="864"/>
      <c r="I11" s="864"/>
      <c r="J11" s="864"/>
      <c r="K11" s="864"/>
      <c r="L11" s="864"/>
      <c r="M11" s="864"/>
      <c r="N11" s="864"/>
      <c r="O11" s="864"/>
      <c r="P11" s="864"/>
      <c r="Q11" s="864"/>
      <c r="R11" s="864"/>
      <c r="S11" s="905"/>
      <c r="T11" s="905">
        <v>46</v>
      </c>
      <c r="U11" s="905">
        <v>-5</v>
      </c>
      <c r="V11" s="905">
        <v>12</v>
      </c>
      <c r="W11" s="905">
        <v>67</v>
      </c>
      <c r="X11" s="905">
        <v>7</v>
      </c>
      <c r="Y11" s="860">
        <v>-205</v>
      </c>
      <c r="Z11" s="860">
        <v>47</v>
      </c>
      <c r="AA11" s="860">
        <v>17</v>
      </c>
      <c r="AB11" s="860">
        <v>10</v>
      </c>
      <c r="AC11" s="860">
        <v>0</v>
      </c>
      <c r="AD11" s="860">
        <v>0</v>
      </c>
      <c r="AE11" s="860">
        <v>0</v>
      </c>
      <c r="AF11" s="860">
        <v>0</v>
      </c>
      <c r="AG11" s="860">
        <v>0</v>
      </c>
      <c r="AH11" s="860">
        <v>0</v>
      </c>
      <c r="AI11" s="860">
        <v>0</v>
      </c>
      <c r="AJ11" s="860">
        <v>0</v>
      </c>
      <c r="AK11" s="860">
        <v>0</v>
      </c>
      <c r="AL11" s="860">
        <v>0</v>
      </c>
      <c r="AM11" s="860">
        <v>0</v>
      </c>
      <c r="AN11" s="860">
        <v>0</v>
      </c>
      <c r="AO11" s="894"/>
      <c r="AP11" s="894"/>
      <c r="AV11" s="676"/>
      <c r="AW11" s="676"/>
      <c r="AX11" s="676"/>
      <c r="AY11" s="676"/>
      <c r="AZ11" s="676"/>
      <c r="BA11" s="676"/>
      <c r="BB11" s="676"/>
      <c r="BC11" s="676"/>
      <c r="BD11" s="676"/>
    </row>
    <row r="12" spans="4:57" x14ac:dyDescent="0.35">
      <c r="D12" s="518" t="s">
        <v>481</v>
      </c>
      <c r="E12" s="36" t="s">
        <v>121</v>
      </c>
      <c r="F12" s="897">
        <f>'Haver Pivoted'!GQ30</f>
        <v>1403.5</v>
      </c>
      <c r="G12" s="830">
        <f>'Haver Pivoted'!GR30</f>
        <v>1410.3</v>
      </c>
      <c r="H12" s="830">
        <f>'Haver Pivoted'!GS30</f>
        <v>1428.2</v>
      </c>
      <c r="I12" s="830">
        <f>'Haver Pivoted'!GT30</f>
        <v>1453.2</v>
      </c>
      <c r="J12" s="830">
        <f>'Haver Pivoted'!GU30</f>
        <v>1383.7</v>
      </c>
      <c r="K12" s="830">
        <f>'Haver Pivoted'!GV30</f>
        <v>1433</v>
      </c>
      <c r="L12" s="830">
        <f>'Haver Pivoted'!GW30</f>
        <v>1470.2</v>
      </c>
      <c r="M12" s="830">
        <f>'Haver Pivoted'!GX30</f>
        <v>1487.2</v>
      </c>
      <c r="N12" s="830">
        <f>'Haver Pivoted'!GY30</f>
        <v>1522.5</v>
      </c>
      <c r="O12" s="830">
        <f>'Haver Pivoted'!GZ30</f>
        <v>1559</v>
      </c>
      <c r="P12" s="830">
        <f>'Haver Pivoted'!HA30</f>
        <v>1603.5</v>
      </c>
      <c r="Q12" s="830">
        <f>'Haver Pivoted'!HB30</f>
        <v>1642.9</v>
      </c>
      <c r="R12" s="830">
        <f>'Haver Pivoted'!HC30</f>
        <v>1665.9</v>
      </c>
      <c r="S12" s="830">
        <f>'Haver Pivoted'!HD30</f>
        <v>1713.2</v>
      </c>
      <c r="T12" s="780">
        <f>'Haver Pivoted'!HE30</f>
        <v>1729.9</v>
      </c>
      <c r="U12" s="780">
        <f>'Haver Pivoted'!HF30</f>
        <v>1761.2</v>
      </c>
      <c r="V12" s="780">
        <f>'Haver Pivoted'!HG30</f>
        <v>1789.9</v>
      </c>
      <c r="W12" s="780">
        <f>'Haver Pivoted'!HH30</f>
        <v>1818</v>
      </c>
      <c r="X12" s="780">
        <f>'Haver Pivoted'!HI30</f>
        <v>1836.2</v>
      </c>
      <c r="Y12" s="780">
        <f>'Haver Pivoted'!HJ30</f>
        <v>1864.1</v>
      </c>
      <c r="Z12" s="780">
        <f>'Haver Pivoted'!HK30</f>
        <v>1869.4</v>
      </c>
      <c r="AA12" s="780">
        <f>'Haver Pivoted'!HL30</f>
        <v>1883.5</v>
      </c>
      <c r="AB12" s="780">
        <f>'Haver Pivoted'!HM30</f>
        <v>1907.2</v>
      </c>
      <c r="AC12" s="903">
        <f>AB12*(1+$L38)^0.25+AC13</f>
        <v>1920.9167750662034</v>
      </c>
      <c r="AD12" s="782">
        <f t="shared" ref="AD12:AN12" si="3">AC12*(1+$L38)^0.25+AD13</f>
        <v>1934.7322025643575</v>
      </c>
      <c r="AE12" s="782">
        <f t="shared" si="3"/>
        <v>1948.6469920127192</v>
      </c>
      <c r="AF12" s="782">
        <f t="shared" si="3"/>
        <v>1962.6618580324719</v>
      </c>
      <c r="AG12" s="903">
        <f>AF12*(1+$M38)^0.25+AG13</f>
        <v>1985.0518664444546</v>
      </c>
      <c r="AH12" s="782">
        <f>AG12*(1+$M38)^0.25+AH13</f>
        <v>2007.6972996381628</v>
      </c>
      <c r="AI12" s="782">
        <f>AH12*(1+$M38)^0.25+AI13</f>
        <v>2030.6010714945523</v>
      </c>
      <c r="AJ12" s="782">
        <f>AI12*(1+$M38)^0.25+AJ13</f>
        <v>2053.7661291360769</v>
      </c>
      <c r="AK12" s="903">
        <f t="shared" si="3"/>
        <v>2068.5370226092032</v>
      </c>
      <c r="AL12" s="782">
        <f t="shared" si="3"/>
        <v>2083.4141498403505</v>
      </c>
      <c r="AM12" s="782">
        <f t="shared" si="3"/>
        <v>2098.3982748734384</v>
      </c>
      <c r="AN12" s="782">
        <f t="shared" si="3"/>
        <v>2113.4901672474671</v>
      </c>
      <c r="AO12" s="894"/>
      <c r="AP12" s="894"/>
      <c r="AV12" s="676"/>
      <c r="AW12" s="676"/>
      <c r="AX12" s="676"/>
      <c r="AY12" s="676"/>
      <c r="AZ12" s="676"/>
      <c r="BA12" s="676"/>
      <c r="BB12" s="676"/>
      <c r="BC12" s="676"/>
      <c r="BD12" s="676"/>
    </row>
    <row r="13" spans="4:57" x14ac:dyDescent="0.35">
      <c r="D13" s="518" t="s">
        <v>1730</v>
      </c>
      <c r="E13" s="36"/>
      <c r="F13" s="865"/>
      <c r="G13" s="864"/>
      <c r="H13" s="864"/>
      <c r="I13" s="864"/>
      <c r="J13" s="864"/>
      <c r="K13" s="864"/>
      <c r="L13" s="864"/>
      <c r="M13" s="864"/>
      <c r="N13" s="864"/>
      <c r="O13" s="864"/>
      <c r="P13" s="864"/>
      <c r="Q13" s="864"/>
      <c r="R13" s="864"/>
      <c r="S13" s="864"/>
      <c r="T13" s="905"/>
      <c r="U13" s="905">
        <v>8</v>
      </c>
      <c r="V13" s="905">
        <v>-10</v>
      </c>
      <c r="W13" s="905">
        <v>-5</v>
      </c>
      <c r="X13" s="905">
        <v>-6</v>
      </c>
      <c r="Y13" s="860">
        <v>21</v>
      </c>
      <c r="Z13" s="860">
        <v>5</v>
      </c>
      <c r="AA13" s="860">
        <v>-10</v>
      </c>
      <c r="AB13" s="860"/>
      <c r="AC13" s="860"/>
      <c r="AD13" s="860"/>
      <c r="AE13" s="860"/>
      <c r="AF13" s="860"/>
      <c r="AG13" s="860"/>
      <c r="AH13" s="782"/>
      <c r="AI13" s="782"/>
      <c r="AJ13" s="782"/>
      <c r="AK13" s="782"/>
      <c r="AL13" s="782"/>
      <c r="AM13" s="782"/>
      <c r="AN13" s="782"/>
      <c r="AO13" s="894"/>
      <c r="AP13" s="894"/>
      <c r="AV13" s="676"/>
      <c r="AW13" s="676"/>
      <c r="AX13" s="676"/>
      <c r="AY13" s="676"/>
      <c r="AZ13" s="676"/>
      <c r="BA13" s="676"/>
      <c r="BB13" s="676"/>
      <c r="BC13" s="676"/>
      <c r="BD13" s="676"/>
    </row>
    <row r="14" spans="4:57" x14ac:dyDescent="0.35">
      <c r="D14" s="518" t="s">
        <v>482</v>
      </c>
      <c r="E14" s="39" t="s">
        <v>117</v>
      </c>
      <c r="F14" s="897">
        <f>'Haver Pivoted'!GQ28</f>
        <v>169.2</v>
      </c>
      <c r="G14" s="830">
        <f>'Haver Pivoted'!GR28</f>
        <v>176.8</v>
      </c>
      <c r="H14" s="830">
        <f>'Haver Pivoted'!GS28</f>
        <v>178.8</v>
      </c>
      <c r="I14" s="830">
        <f>'Haver Pivoted'!GT28</f>
        <v>184.1</v>
      </c>
      <c r="J14" s="830">
        <f>'Haver Pivoted'!GU28</f>
        <v>129.30000000000001</v>
      </c>
      <c r="K14" s="830">
        <f>'Haver Pivoted'!GV28</f>
        <v>149.30000000000001</v>
      </c>
      <c r="L14" s="830">
        <f>'Haver Pivoted'!GW28</f>
        <v>158.69999999999999</v>
      </c>
      <c r="M14" s="830">
        <f>'Haver Pivoted'!GX28</f>
        <v>162.19999999999999</v>
      </c>
      <c r="N14" s="830">
        <f>'Haver Pivoted'!GY28</f>
        <v>180.5</v>
      </c>
      <c r="O14" s="830">
        <f>'Haver Pivoted'!GZ28</f>
        <v>183.8</v>
      </c>
      <c r="P14" s="830">
        <f>'Haver Pivoted'!HA28</f>
        <v>195.8</v>
      </c>
      <c r="Q14" s="830">
        <f>'Haver Pivoted'!HB28</f>
        <v>207.1</v>
      </c>
      <c r="R14" s="830">
        <f>'Haver Pivoted'!HC28</f>
        <v>209</v>
      </c>
      <c r="S14" s="830">
        <f>'Haver Pivoted'!HD28</f>
        <v>200.3</v>
      </c>
      <c r="T14" s="780">
        <f>'Haver Pivoted'!HE28</f>
        <v>190</v>
      </c>
      <c r="U14" s="780">
        <f>'Haver Pivoted'!HF28</f>
        <v>179.7</v>
      </c>
      <c r="V14" s="780">
        <f>'Haver Pivoted'!HG28</f>
        <v>175.8</v>
      </c>
      <c r="W14" s="780">
        <f>'Haver Pivoted'!HH28</f>
        <v>172.2</v>
      </c>
      <c r="X14" s="780">
        <f>'Haver Pivoted'!HI28</f>
        <v>169.3</v>
      </c>
      <c r="Y14" s="780">
        <f>'Haver Pivoted'!HJ28</f>
        <v>177.2</v>
      </c>
      <c r="Z14" s="780">
        <f>'Haver Pivoted'!HK28</f>
        <v>172.4</v>
      </c>
      <c r="AA14" s="780">
        <f>'Haver Pivoted'!HL28</f>
        <v>181.4</v>
      </c>
      <c r="AB14" s="780">
        <f>'Haver Pivoted'!HM28</f>
        <v>182.6</v>
      </c>
      <c r="AC14" s="782">
        <f t="shared" ref="AC14:AN14" si="4">AB14*(1+$L39)^0.25</f>
        <v>179.47245494396608</v>
      </c>
      <c r="AD14" s="782">
        <f t="shared" si="4"/>
        <v>176.3984780044575</v>
      </c>
      <c r="AE14" s="782">
        <f t="shared" si="4"/>
        <v>173.37715167491345</v>
      </c>
      <c r="AF14" s="782">
        <f t="shared" si="4"/>
        <v>170.40757416368609</v>
      </c>
      <c r="AG14" s="782">
        <f t="shared" si="4"/>
        <v>167.48885912487796</v>
      </c>
      <c r="AH14" s="782">
        <f t="shared" si="4"/>
        <v>164.62013539378941</v>
      </c>
      <c r="AI14" s="782">
        <f t="shared" si="4"/>
        <v>161.80054672689741</v>
      </c>
      <c r="AJ14" s="782">
        <f t="shared" si="4"/>
        <v>159.02925154628792</v>
      </c>
      <c r="AK14" s="782">
        <f t="shared" si="4"/>
        <v>156.30542268846557</v>
      </c>
      <c r="AL14" s="782">
        <f t="shared" si="4"/>
        <v>153.62824715746558</v>
      </c>
      <c r="AM14" s="782">
        <f t="shared" si="4"/>
        <v>150.99692588219457</v>
      </c>
      <c r="AN14" s="782">
        <f t="shared" si="4"/>
        <v>148.41067347792747</v>
      </c>
      <c r="AO14" s="894"/>
      <c r="AP14" s="894"/>
      <c r="AV14" s="676"/>
      <c r="AW14" s="676"/>
      <c r="AX14" s="676"/>
      <c r="AY14" s="676"/>
      <c r="AZ14" s="676"/>
      <c r="BA14" s="676"/>
      <c r="BB14" s="676"/>
      <c r="BC14" s="676"/>
      <c r="BD14" s="676"/>
    </row>
    <row r="15" spans="4:57" x14ac:dyDescent="0.35">
      <c r="D15" s="766" t="s">
        <v>1425</v>
      </c>
      <c r="E15" s="767"/>
      <c r="F15" s="865"/>
      <c r="G15" s="864"/>
      <c r="H15" s="864"/>
      <c r="I15" s="864"/>
      <c r="J15" s="864"/>
      <c r="K15" s="864"/>
      <c r="L15" s="864"/>
      <c r="M15" s="864"/>
      <c r="N15" s="864"/>
      <c r="O15" s="864"/>
      <c r="P15" s="864"/>
      <c r="Q15" s="864"/>
      <c r="R15" s="864"/>
      <c r="S15" s="905"/>
      <c r="T15" s="905"/>
      <c r="U15" s="905">
        <v>0</v>
      </c>
      <c r="V15" s="905">
        <v>0</v>
      </c>
      <c r="W15" s="905">
        <v>0</v>
      </c>
      <c r="X15" s="905">
        <v>0</v>
      </c>
      <c r="Y15" s="860">
        <v>0</v>
      </c>
      <c r="Z15" s="860">
        <v>0</v>
      </c>
      <c r="AA15" s="860">
        <v>0</v>
      </c>
      <c r="AB15" s="860">
        <v>0</v>
      </c>
      <c r="AC15" s="860">
        <v>0</v>
      </c>
      <c r="AD15" s="860">
        <v>0</v>
      </c>
      <c r="AE15" s="860">
        <v>0</v>
      </c>
      <c r="AF15" s="860">
        <v>0</v>
      </c>
      <c r="AG15" s="860">
        <v>0</v>
      </c>
      <c r="AH15" s="860">
        <v>0</v>
      </c>
      <c r="AI15" s="860">
        <v>0</v>
      </c>
      <c r="AJ15" s="860">
        <v>0</v>
      </c>
      <c r="AK15" s="860">
        <v>0</v>
      </c>
      <c r="AL15" s="860">
        <v>0</v>
      </c>
      <c r="AM15" s="860">
        <v>0</v>
      </c>
      <c r="AN15" s="860">
        <v>0</v>
      </c>
      <c r="AO15" s="894"/>
      <c r="AP15" s="894"/>
      <c r="AV15" s="676"/>
      <c r="AW15" s="676"/>
      <c r="AX15" s="676"/>
      <c r="AY15" s="676"/>
      <c r="AZ15" s="676"/>
      <c r="BA15" s="676"/>
      <c r="BB15" s="676"/>
      <c r="BC15" s="676"/>
      <c r="BD15" s="676"/>
    </row>
    <row r="16" spans="4:57" ht="14.9" customHeight="1" x14ac:dyDescent="0.35">
      <c r="D16" s="417" t="s">
        <v>1875</v>
      </c>
      <c r="E16" s="763" t="s">
        <v>119</v>
      </c>
      <c r="F16" s="853">
        <f>'Haver Pivoted'!GQ29</f>
        <v>205.6</v>
      </c>
      <c r="G16" s="906">
        <f>'Haver Pivoted'!GR29</f>
        <v>206.9</v>
      </c>
      <c r="H16" s="906">
        <f>'Haver Pivoted'!GS29</f>
        <v>231.9</v>
      </c>
      <c r="I16" s="906">
        <f>'Haver Pivoted'!GT29</f>
        <v>191.5</v>
      </c>
      <c r="J16" s="906">
        <f>'Haver Pivoted'!GU29</f>
        <v>199.6</v>
      </c>
      <c r="K16" s="906">
        <f>'Haver Pivoted'!GV29</f>
        <v>258.60000000000002</v>
      </c>
      <c r="L16" s="906">
        <f>'Haver Pivoted'!GW29</f>
        <v>251.2</v>
      </c>
      <c r="M16" s="906">
        <f>'Haver Pivoted'!GX29</f>
        <v>289.89999999999998</v>
      </c>
      <c r="N16" s="906">
        <f>'Haver Pivoted'!GY29</f>
        <v>343.9</v>
      </c>
      <c r="O16" s="906">
        <f>'Haver Pivoted'!GZ29</f>
        <v>344.5</v>
      </c>
      <c r="P16" s="906">
        <f>'Haver Pivoted'!HA29</f>
        <v>357.9</v>
      </c>
      <c r="Q16" s="906">
        <f>'Haver Pivoted'!HB29</f>
        <v>379.6</v>
      </c>
      <c r="R16" s="906">
        <f>'Haver Pivoted'!HC29</f>
        <v>417.1</v>
      </c>
      <c r="S16" s="906">
        <f>'Haver Pivoted'!HD29</f>
        <v>402.2</v>
      </c>
      <c r="T16" s="902">
        <f>'Haver Pivoted'!HE29</f>
        <v>406.9</v>
      </c>
      <c r="U16" s="902">
        <f>'Haver Pivoted'!HF29</f>
        <v>434.3</v>
      </c>
      <c r="V16" s="902">
        <f>'Haver Pivoted'!HG29</f>
        <v>429.4</v>
      </c>
      <c r="W16" s="902">
        <f>'Haver Pivoted'!HH29</f>
        <v>451.9</v>
      </c>
      <c r="X16" s="902">
        <f>'Haver Pivoted'!HI29</f>
        <v>464.8</v>
      </c>
      <c r="Y16" s="902">
        <f>'Haver Pivoted'!HJ29</f>
        <v>459.9</v>
      </c>
      <c r="Z16" s="902">
        <f>'Haver Pivoted'!HK29</f>
        <v>493.4</v>
      </c>
      <c r="AA16" s="902">
        <f>'Haver Pivoted'!HL29</f>
        <v>493.1</v>
      </c>
      <c r="AB16" s="782">
        <f>AA16*(1+$L40)^0.25</f>
        <v>509.33275515835334</v>
      </c>
      <c r="AC16" s="782">
        <f>AB16*(1+$L40)^0.25</f>
        <v>526.09988942851157</v>
      </c>
      <c r="AD16" s="782">
        <f>AC16*(1+$L40)^0.25</f>
        <v>543.41899446588684</v>
      </c>
      <c r="AE16" s="782">
        <f>AD16*(1+$L40)^0.25</f>
        <v>561.30824103973248</v>
      </c>
      <c r="AF16" s="782">
        <f t="shared" ref="AF16:AN16" si="5">AE16*(1+$M40)^0.25</f>
        <v>557.83998786013478</v>
      </c>
      <c r="AG16" s="782">
        <f t="shared" si="5"/>
        <v>554.39316458168287</v>
      </c>
      <c r="AH16" s="782">
        <f t="shared" si="5"/>
        <v>550.96763879170692</v>
      </c>
      <c r="AI16" s="782">
        <f t="shared" si="5"/>
        <v>547.56327889569843</v>
      </c>
      <c r="AJ16" s="782">
        <f t="shared" si="5"/>
        <v>544.17995411225468</v>
      </c>
      <c r="AK16" s="782">
        <f t="shared" si="5"/>
        <v>540.81753446805499</v>
      </c>
      <c r="AL16" s="782">
        <f t="shared" si="5"/>
        <v>537.47589079286752</v>
      </c>
      <c r="AM16" s="782">
        <f t="shared" si="5"/>
        <v>534.15489471458704</v>
      </c>
      <c r="AN16" s="782">
        <f t="shared" si="5"/>
        <v>530.85441865430346</v>
      </c>
      <c r="AO16" s="894"/>
      <c r="AP16" s="894"/>
      <c r="AV16" s="773"/>
      <c r="AW16" s="773"/>
      <c r="AX16" s="773"/>
      <c r="AY16" s="773"/>
      <c r="AZ16" s="773"/>
      <c r="BA16" s="773"/>
      <c r="BB16" s="773"/>
      <c r="BC16" s="773"/>
      <c r="BD16" s="773"/>
    </row>
    <row r="17" spans="4:56" ht="14.9" customHeight="1" x14ac:dyDescent="0.35">
      <c r="D17" s="417"/>
      <c r="E17" s="763"/>
      <c r="F17" s="853"/>
      <c r="G17" s="906"/>
      <c r="H17" s="906"/>
      <c r="I17" s="906"/>
      <c r="J17" s="906"/>
      <c r="K17" s="906"/>
      <c r="L17" s="906"/>
      <c r="M17" s="906"/>
      <c r="N17" s="906"/>
      <c r="O17" s="906"/>
      <c r="P17" s="906"/>
      <c r="Q17" s="906"/>
      <c r="R17" s="906"/>
      <c r="S17" s="906"/>
      <c r="T17" s="906"/>
      <c r="U17" s="906"/>
      <c r="V17" s="906"/>
      <c r="W17" s="906"/>
      <c r="X17" s="778"/>
      <c r="Y17" s="778"/>
      <c r="Z17" s="778"/>
      <c r="AA17" s="778"/>
      <c r="AB17" s="778"/>
      <c r="AC17" s="778"/>
      <c r="AD17" s="778"/>
      <c r="AE17" s="778"/>
      <c r="AF17" s="778"/>
      <c r="AG17" s="778"/>
      <c r="AH17" s="778"/>
      <c r="AI17" s="778"/>
      <c r="AJ17" s="778"/>
      <c r="AK17" s="894"/>
      <c r="AL17" s="894"/>
      <c r="AM17" s="894"/>
      <c r="AN17" s="894"/>
      <c r="AO17" s="894"/>
      <c r="AP17" s="894"/>
      <c r="AV17" s="773"/>
      <c r="AW17" s="773"/>
      <c r="AX17" s="773"/>
      <c r="AY17" s="773"/>
      <c r="AZ17" s="773"/>
      <c r="BA17" s="773"/>
      <c r="BB17" s="773"/>
      <c r="BC17" s="773"/>
      <c r="BD17" s="773"/>
    </row>
    <row r="18" spans="4:56" x14ac:dyDescent="0.35">
      <c r="D18" s="859" t="s">
        <v>471</v>
      </c>
      <c r="E18" s="820"/>
      <c r="F18" s="796"/>
      <c r="G18" s="791"/>
      <c r="H18" s="791"/>
      <c r="I18" s="791"/>
      <c r="J18" s="791"/>
      <c r="K18" s="791"/>
      <c r="L18" s="791"/>
      <c r="M18" s="791"/>
      <c r="N18" s="791"/>
      <c r="O18" s="791"/>
      <c r="P18" s="791"/>
      <c r="Q18" s="791"/>
      <c r="R18" s="791"/>
      <c r="S18" s="791"/>
      <c r="T18" s="791"/>
      <c r="U18" s="862"/>
      <c r="V18" s="791"/>
      <c r="W18" s="791"/>
      <c r="X18" s="791"/>
      <c r="Y18" s="791"/>
      <c r="Z18" s="791"/>
      <c r="AA18" s="791"/>
      <c r="AB18" s="791"/>
      <c r="AC18" s="791"/>
      <c r="AF18" s="894"/>
      <c r="AG18" s="894"/>
      <c r="AH18" s="894"/>
      <c r="AI18" s="894"/>
      <c r="AJ18" s="894"/>
      <c r="AK18" s="894"/>
      <c r="AL18" s="894"/>
      <c r="AM18" s="894"/>
      <c r="AN18" s="894"/>
      <c r="AO18" s="894"/>
      <c r="AP18" s="894"/>
    </row>
    <row r="19" spans="4:56" ht="14.9" customHeight="1" x14ac:dyDescent="0.35">
      <c r="D19" s="772" t="s">
        <v>479</v>
      </c>
      <c r="E19" s="764"/>
      <c r="F19" s="853">
        <f t="shared" ref="F19:P19" si="6">SUM(F21:F24)</f>
        <v>1902.8</v>
      </c>
      <c r="G19" s="906">
        <f t="shared" si="6"/>
        <v>1893</v>
      </c>
      <c r="H19" s="906">
        <f t="shared" si="6"/>
        <v>1884.1999999999998</v>
      </c>
      <c r="I19" s="906">
        <f t="shared" si="6"/>
        <v>1885.8999999999999</v>
      </c>
      <c r="J19" s="906">
        <f t="shared" si="6"/>
        <v>1793.2</v>
      </c>
      <c r="K19" s="906">
        <f t="shared" si="6"/>
        <v>1921.7</v>
      </c>
      <c r="L19" s="906">
        <f t="shared" si="6"/>
        <v>1960.7</v>
      </c>
      <c r="M19" s="906">
        <f t="shared" si="6"/>
        <v>2016.5</v>
      </c>
      <c r="N19" s="906">
        <f t="shared" si="6"/>
        <v>2132.4</v>
      </c>
      <c r="O19" s="906">
        <f t="shared" si="6"/>
        <v>2137.3000000000002</v>
      </c>
      <c r="P19" s="906">
        <f t="shared" si="6"/>
        <v>2201.5</v>
      </c>
      <c r="Q19" s="906">
        <f>SUM(Q20:Q24)</f>
        <v>2285.4</v>
      </c>
      <c r="R19" s="906">
        <f t="shared" ref="R19:T19" si="7">SUM(R20:R24)</f>
        <v>2360.4</v>
      </c>
      <c r="S19" s="906">
        <f t="shared" si="7"/>
        <v>2287.5</v>
      </c>
      <c r="T19" s="906">
        <f t="shared" si="7"/>
        <v>2306.3000000000002</v>
      </c>
      <c r="U19" s="906">
        <f>SUM(U21:U24)</f>
        <v>2296.6</v>
      </c>
      <c r="V19" s="906">
        <f>SUM(V20:V24)</f>
        <v>2311.5</v>
      </c>
      <c r="W19" s="906">
        <f>SUM(W20,W21,W23,W24)</f>
        <v>2350.6999999999998</v>
      </c>
      <c r="X19" s="906">
        <f>SUM(X20,X21,X23,X24)</f>
        <v>2379.1999999999998</v>
      </c>
      <c r="Y19" s="784">
        <f>SUM(Y20,Y21,Y23,Y24)</f>
        <v>2395.3000000000002</v>
      </c>
      <c r="Z19" s="784">
        <f t="shared" ref="Z19:AF19" si="8">SUM(Z20,Z21,Z23,Z24)</f>
        <v>2439</v>
      </c>
      <c r="AA19" s="784">
        <f t="shared" si="8"/>
        <v>2477.5</v>
      </c>
      <c r="AB19" s="784">
        <f>SUM(AB20,AB21,AB23,AB24)</f>
        <v>2515.1</v>
      </c>
      <c r="AC19" s="784">
        <f t="shared" si="8"/>
        <v>2529.5589829253236</v>
      </c>
      <c r="AD19" s="784">
        <f t="shared" si="8"/>
        <v>2561.0084048096087</v>
      </c>
      <c r="AE19" s="784">
        <f t="shared" si="8"/>
        <v>2588.0171269112202</v>
      </c>
      <c r="AF19" s="784">
        <f t="shared" si="8"/>
        <v>2614.6227545214915</v>
      </c>
      <c r="AG19" s="784">
        <f>SUM(AG20,AG21,AG23,AG24)</f>
        <v>2639.0918076692415</v>
      </c>
      <c r="AH19" s="784">
        <f>SUM(AH20,AH21,AH23,AH24)</f>
        <v>2664.5448600858349</v>
      </c>
      <c r="AI19" s="784">
        <f>SUM(AI20,AI21,AI23,AI24)</f>
        <v>2687.7830381403919</v>
      </c>
      <c r="AJ19" s="784">
        <f>SUM(AJ20,AJ21,AJ23,AJ24)</f>
        <v>2712.9491476976059</v>
      </c>
      <c r="AK19" s="784">
        <f t="shared" ref="AK19:AN19" si="9">SUM(AK20,AK21,AK23,AK24)</f>
        <v>0</v>
      </c>
      <c r="AL19" s="784">
        <f t="shared" si="9"/>
        <v>0</v>
      </c>
      <c r="AM19" s="784">
        <f t="shared" si="9"/>
        <v>0</v>
      </c>
      <c r="AN19" s="784">
        <f t="shared" si="9"/>
        <v>0</v>
      </c>
      <c r="AO19" s="894"/>
      <c r="AP19" s="894"/>
    </row>
    <row r="20" spans="4:56" ht="42" customHeight="1" x14ac:dyDescent="0.35">
      <c r="D20" s="769" t="s">
        <v>825</v>
      </c>
      <c r="E20" s="764"/>
      <c r="F20" s="853"/>
      <c r="G20" s="906"/>
      <c r="H20" s="906"/>
      <c r="I20" s="906"/>
      <c r="J20" s="906"/>
      <c r="K20" s="906"/>
      <c r="L20" s="906"/>
      <c r="M20" s="906"/>
      <c r="N20" s="906"/>
      <c r="O20" s="906"/>
      <c r="P20" s="906"/>
      <c r="Q20" s="397"/>
      <c r="R20" s="397"/>
      <c r="S20" s="397"/>
      <c r="T20" s="397"/>
      <c r="U20" s="397">
        <v>0</v>
      </c>
      <c r="V20" s="397"/>
      <c r="W20" s="397"/>
      <c r="X20" s="397"/>
      <c r="Y20" s="347"/>
      <c r="Z20" s="347"/>
      <c r="AA20" s="347"/>
      <c r="AB20" s="347"/>
      <c r="AC20" s="347"/>
      <c r="AD20" s="347"/>
      <c r="AE20" s="347"/>
      <c r="AF20" s="347"/>
      <c r="AG20" s="347"/>
      <c r="AH20" s="347"/>
      <c r="AI20" s="347"/>
      <c r="AJ20" s="347"/>
      <c r="AK20" s="817"/>
      <c r="AL20" s="817"/>
      <c r="AM20" s="817"/>
      <c r="AN20" s="817"/>
      <c r="AO20" s="894"/>
      <c r="AP20" s="894"/>
    </row>
    <row r="21" spans="4:56" x14ac:dyDescent="0.35">
      <c r="D21" s="518" t="s">
        <v>484</v>
      </c>
      <c r="E21" s="36" t="s">
        <v>485</v>
      </c>
      <c r="F21" s="897">
        <f>'Haver Pivoted'!GQ33</f>
        <v>531</v>
      </c>
      <c r="G21" s="830">
        <f>'Haver Pivoted'!GR33</f>
        <v>495.6</v>
      </c>
      <c r="H21" s="830">
        <f>'Haver Pivoted'!GS33</f>
        <v>490.1</v>
      </c>
      <c r="I21" s="830">
        <f>'Haver Pivoted'!GT33</f>
        <v>492.5</v>
      </c>
      <c r="J21" s="830">
        <f>'Haver Pivoted'!GU33</f>
        <v>485.2</v>
      </c>
      <c r="K21" s="830">
        <f>'Haver Pivoted'!GV33</f>
        <v>511.6</v>
      </c>
      <c r="L21" s="830">
        <f>'Haver Pivoted'!GW33</f>
        <v>528.4</v>
      </c>
      <c r="M21" s="830">
        <f>'Haver Pivoted'!GX33</f>
        <v>559</v>
      </c>
      <c r="N21" s="830">
        <f>'Haver Pivoted'!GY33</f>
        <v>586.1</v>
      </c>
      <c r="O21" s="830">
        <f>'Haver Pivoted'!GZ33</f>
        <v>576.4</v>
      </c>
      <c r="P21" s="830">
        <f>'Haver Pivoted'!HA33</f>
        <v>599.1</v>
      </c>
      <c r="Q21" s="830">
        <f>'Haver Pivoted'!HB33</f>
        <v>656.7</v>
      </c>
      <c r="R21" s="830">
        <f>'Haver Pivoted'!HC33</f>
        <v>693.1</v>
      </c>
      <c r="S21" s="830">
        <f>'Haver Pivoted'!HD33</f>
        <v>596.6</v>
      </c>
      <c r="T21" s="780">
        <f>'Haver Pivoted'!HE33</f>
        <v>607.6</v>
      </c>
      <c r="U21" s="780">
        <f>'Haver Pivoted'!HF33</f>
        <v>578</v>
      </c>
      <c r="V21" s="780">
        <f>'Haver Pivoted'!HG33</f>
        <v>581.6</v>
      </c>
      <c r="W21" s="780">
        <f>'Haver Pivoted'!HH33</f>
        <v>605.5</v>
      </c>
      <c r="X21" s="780">
        <f>'Haver Pivoted'!HI33</f>
        <v>612.1</v>
      </c>
      <c r="Y21" s="780">
        <f>'Haver Pivoted'!HJ33</f>
        <v>609.5</v>
      </c>
      <c r="Z21" s="780">
        <f>'Haver Pivoted'!HK33</f>
        <v>630</v>
      </c>
      <c r="AA21" s="780">
        <f>'Haver Pivoted'!HL33</f>
        <v>655.5</v>
      </c>
      <c r="AB21" s="780">
        <f>'Haver Pivoted'!HM33</f>
        <v>664</v>
      </c>
      <c r="AC21" s="785">
        <f t="shared" ref="AC21:AJ21" si="10">$Y121*AC130*(AC103/$Y103)+AC20+AC22</f>
        <v>665.1118201964855</v>
      </c>
      <c r="AD21" s="785">
        <f t="shared" si="10"/>
        <v>674.68924815056187</v>
      </c>
      <c r="AE21" s="785">
        <f t="shared" si="10"/>
        <v>682.9355416775237</v>
      </c>
      <c r="AF21" s="785">
        <f t="shared" si="10"/>
        <v>691.42110240530837</v>
      </c>
      <c r="AG21" s="785">
        <f t="shared" si="10"/>
        <v>699.35398959879763</v>
      </c>
      <c r="AH21" s="785">
        <f t="shared" si="10"/>
        <v>706.97684041938908</v>
      </c>
      <c r="AI21" s="785">
        <f t="shared" si="10"/>
        <v>714.59295131883061</v>
      </c>
      <c r="AJ21" s="785">
        <f t="shared" si="10"/>
        <v>722.10796340102286</v>
      </c>
      <c r="AK21" s="817"/>
      <c r="AL21" s="817"/>
      <c r="AM21" s="817"/>
      <c r="AN21" s="817"/>
      <c r="AO21" s="894"/>
      <c r="AP21" s="894"/>
    </row>
    <row r="22" spans="4:56" x14ac:dyDescent="0.35">
      <c r="D22" s="518" t="s">
        <v>1883</v>
      </c>
      <c r="E22" s="36"/>
      <c r="F22" s="897"/>
      <c r="G22" s="830"/>
      <c r="H22" s="830"/>
      <c r="I22" s="830"/>
      <c r="J22" s="830"/>
      <c r="K22" s="830"/>
      <c r="L22" s="830"/>
      <c r="M22" s="830"/>
      <c r="N22" s="830"/>
      <c r="O22" s="830"/>
      <c r="P22" s="830"/>
      <c r="Q22" s="830"/>
      <c r="R22" s="830"/>
      <c r="S22" s="830"/>
      <c r="T22" s="830"/>
      <c r="U22" s="830"/>
      <c r="V22" s="830"/>
      <c r="W22" s="830">
        <v>20</v>
      </c>
      <c r="X22" s="830">
        <v>20</v>
      </c>
      <c r="Y22" s="785">
        <v>0</v>
      </c>
      <c r="Z22" s="785">
        <f>-24</f>
        <v>-24</v>
      </c>
      <c r="AA22" s="785">
        <f>-11</f>
        <v>-11</v>
      </c>
      <c r="AB22" s="785">
        <f>-11</f>
        <v>-11</v>
      </c>
      <c r="AC22" s="785">
        <f t="shared" ref="AC22:AJ22" si="11">-11</f>
        <v>-11</v>
      </c>
      <c r="AD22" s="785">
        <f t="shared" si="11"/>
        <v>-11</v>
      </c>
      <c r="AE22" s="785">
        <f t="shared" si="11"/>
        <v>-11</v>
      </c>
      <c r="AF22" s="785">
        <f t="shared" si="11"/>
        <v>-11</v>
      </c>
      <c r="AG22" s="785">
        <f>-11</f>
        <v>-11</v>
      </c>
      <c r="AH22" s="785">
        <f t="shared" si="11"/>
        <v>-11</v>
      </c>
      <c r="AI22" s="785">
        <f t="shared" si="11"/>
        <v>-11</v>
      </c>
      <c r="AJ22" s="785">
        <f t="shared" si="11"/>
        <v>-11</v>
      </c>
      <c r="AK22" s="817"/>
      <c r="AL22" s="817"/>
      <c r="AM22" s="817"/>
      <c r="AN22" s="817"/>
      <c r="AO22" s="894"/>
      <c r="AP22" s="894"/>
    </row>
    <row r="23" spans="4:56" x14ac:dyDescent="0.35">
      <c r="D23" s="518" t="s">
        <v>481</v>
      </c>
      <c r="E23" s="36" t="s">
        <v>486</v>
      </c>
      <c r="F23" s="897">
        <f>'Haver Pivoted'!GQ36</f>
        <v>20.8</v>
      </c>
      <c r="G23" s="830">
        <f>'Haver Pivoted'!GR36</f>
        <v>20.6</v>
      </c>
      <c r="H23" s="830">
        <f>'Haver Pivoted'!GS36</f>
        <v>20.5</v>
      </c>
      <c r="I23" s="830">
        <f>'Haver Pivoted'!GT36</f>
        <v>20.3</v>
      </c>
      <c r="J23" s="830">
        <f>'Haver Pivoted'!GU36</f>
        <v>19.3</v>
      </c>
      <c r="K23" s="830">
        <f>'Haver Pivoted'!GV36</f>
        <v>19.899999999999999</v>
      </c>
      <c r="L23" s="830">
        <f>'Haver Pivoted'!GW36</f>
        <v>20.6</v>
      </c>
      <c r="M23" s="830">
        <f>'Haver Pivoted'!GX36</f>
        <v>21.3</v>
      </c>
      <c r="N23" s="830">
        <f>'Haver Pivoted'!GY36</f>
        <v>22</v>
      </c>
      <c r="O23" s="830">
        <f>'Haver Pivoted'!GZ36</f>
        <v>22.6</v>
      </c>
      <c r="P23" s="830">
        <f>'Haver Pivoted'!HA36</f>
        <v>23.1</v>
      </c>
      <c r="Q23" s="830">
        <f>'Haver Pivoted'!HB36</f>
        <v>23.4</v>
      </c>
      <c r="R23" s="830">
        <f>'Haver Pivoted'!HC36</f>
        <v>23.1</v>
      </c>
      <c r="S23" s="830">
        <f>'Haver Pivoted'!HD36</f>
        <v>22.7</v>
      </c>
      <c r="T23" s="780">
        <f>'Haver Pivoted'!HE36</f>
        <v>21.8</v>
      </c>
      <c r="U23" s="780">
        <f>'Haver Pivoted'!HF36</f>
        <v>20.8</v>
      </c>
      <c r="V23" s="780">
        <f>'Haver Pivoted'!HG36</f>
        <v>20.5</v>
      </c>
      <c r="W23" s="780">
        <f>'Haver Pivoted'!HH36</f>
        <v>21.2</v>
      </c>
      <c r="X23" s="780">
        <f>'Haver Pivoted'!HI36</f>
        <v>22.8</v>
      </c>
      <c r="Y23" s="780">
        <f>'Haver Pivoted'!HJ36</f>
        <v>25</v>
      </c>
      <c r="Z23" s="780">
        <f>'Haver Pivoted'!HK36</f>
        <v>26.7</v>
      </c>
      <c r="AA23" s="780">
        <f>'Haver Pivoted'!HL36</f>
        <v>27.5</v>
      </c>
      <c r="AB23" s="780">
        <f>'Haver Pivoted'!HM36</f>
        <v>27.6</v>
      </c>
      <c r="AC23" s="785">
        <f t="shared" ref="AC23:AH23" si="12">$Y122*AC131*(AC104/$Y104)</f>
        <v>27.922419906108253</v>
      </c>
      <c r="AD23" s="785">
        <f t="shared" si="12"/>
        <v>28.27253402349827</v>
      </c>
      <c r="AE23" s="785">
        <f t="shared" si="12"/>
        <v>28.618498316664695</v>
      </c>
      <c r="AF23" s="785">
        <f t="shared" si="12"/>
        <v>28.9611864328125</v>
      </c>
      <c r="AG23" s="785">
        <f t="shared" si="12"/>
        <v>29.286183193059749</v>
      </c>
      <c r="AH23" s="785">
        <f t="shared" si="12"/>
        <v>29.600040951443688</v>
      </c>
      <c r="AI23" s="785">
        <f t="shared" ref="AI23:AJ23" si="13">$Y122*AI131*(AI104/$Y104)</f>
        <v>29.911059356411482</v>
      </c>
      <c r="AJ23" s="785">
        <f t="shared" si="13"/>
        <v>30.216835878149485</v>
      </c>
      <c r="AK23" s="817"/>
      <c r="AL23" s="817"/>
      <c r="AM23" s="817"/>
      <c r="AN23" s="817"/>
      <c r="AO23" s="894"/>
      <c r="AP23" s="894"/>
    </row>
    <row r="24" spans="4:56" x14ac:dyDescent="0.35">
      <c r="D24" s="518" t="s">
        <v>482</v>
      </c>
      <c r="E24" s="36" t="s">
        <v>487</v>
      </c>
      <c r="F24" s="897">
        <f>'Haver Pivoted'!GQ34</f>
        <v>1351</v>
      </c>
      <c r="G24" s="830">
        <f>'Haver Pivoted'!GR34</f>
        <v>1376.8</v>
      </c>
      <c r="H24" s="830">
        <f>'Haver Pivoted'!GS34</f>
        <v>1373.6</v>
      </c>
      <c r="I24" s="830">
        <f>'Haver Pivoted'!GT34</f>
        <v>1373.1</v>
      </c>
      <c r="J24" s="830">
        <f>'Haver Pivoted'!GU34</f>
        <v>1288.7</v>
      </c>
      <c r="K24" s="830">
        <f>'Haver Pivoted'!GV34</f>
        <v>1390.2</v>
      </c>
      <c r="L24" s="830">
        <f>'Haver Pivoted'!GW34</f>
        <v>1411.7</v>
      </c>
      <c r="M24" s="830">
        <f>'Haver Pivoted'!GX34</f>
        <v>1436.2</v>
      </c>
      <c r="N24" s="830">
        <f>'Haver Pivoted'!GY34</f>
        <v>1524.3</v>
      </c>
      <c r="O24" s="830">
        <f>'Haver Pivoted'!GZ34</f>
        <v>1538.3</v>
      </c>
      <c r="P24" s="830">
        <f>'Haver Pivoted'!HA34</f>
        <v>1579.3</v>
      </c>
      <c r="Q24" s="830">
        <f>'Haver Pivoted'!HB34</f>
        <v>1605.3</v>
      </c>
      <c r="R24" s="830">
        <f>'Haver Pivoted'!HC34</f>
        <v>1644.2</v>
      </c>
      <c r="S24" s="830">
        <f>'Haver Pivoted'!HD34</f>
        <v>1668.2</v>
      </c>
      <c r="T24" s="780">
        <f>'Haver Pivoted'!HE34</f>
        <v>1676.9</v>
      </c>
      <c r="U24" s="780">
        <f>'Haver Pivoted'!HF34</f>
        <v>1697.8</v>
      </c>
      <c r="V24" s="780">
        <f>'Haver Pivoted'!HG34</f>
        <v>1709.4</v>
      </c>
      <c r="W24" s="780">
        <f>'Haver Pivoted'!HH34</f>
        <v>1724</v>
      </c>
      <c r="X24" s="780">
        <f>'Haver Pivoted'!HI34</f>
        <v>1744.3</v>
      </c>
      <c r="Y24" s="780">
        <f>'Haver Pivoted'!HJ34</f>
        <v>1760.8</v>
      </c>
      <c r="Z24" s="780">
        <f>'Haver Pivoted'!HK34</f>
        <v>1782.3</v>
      </c>
      <c r="AA24" s="780">
        <f>'Haver Pivoted'!HL34</f>
        <v>1794.5</v>
      </c>
      <c r="AB24" s="780">
        <f>'Haver Pivoted'!HM34</f>
        <v>1823.5</v>
      </c>
      <c r="AC24" s="785">
        <f t="shared" ref="AC24:AH24" si="14">$Y127*AC132*(AC106/$Y106)</f>
        <v>1836.5247428227299</v>
      </c>
      <c r="AD24" s="785">
        <f t="shared" si="14"/>
        <v>1858.0466226355486</v>
      </c>
      <c r="AE24" s="785">
        <f t="shared" si="14"/>
        <v>1876.4630869170317</v>
      </c>
      <c r="AF24" s="785">
        <f t="shared" si="14"/>
        <v>1894.2404656833705</v>
      </c>
      <c r="AG24" s="785">
        <f t="shared" si="14"/>
        <v>1910.4516348773839</v>
      </c>
      <c r="AH24" s="785">
        <f t="shared" si="14"/>
        <v>1927.9679787150021</v>
      </c>
      <c r="AI24" s="785">
        <f t="shared" ref="AI24:AJ24" si="15">$Y127*AI132*(AI106/$Y106)</f>
        <v>1943.27902746515</v>
      </c>
      <c r="AJ24" s="785">
        <f t="shared" si="15"/>
        <v>1960.6243484184336</v>
      </c>
      <c r="AK24" s="817"/>
      <c r="AL24" s="817"/>
      <c r="AM24" s="817"/>
      <c r="AN24" s="817"/>
      <c r="AO24" s="894"/>
      <c r="AP24" s="894"/>
    </row>
    <row r="25" spans="4:56" ht="14.9" customHeight="1" x14ac:dyDescent="0.35">
      <c r="D25" s="774" t="s">
        <v>483</v>
      </c>
      <c r="E25" s="797" t="s">
        <v>488</v>
      </c>
      <c r="F25" s="854">
        <f>'Haver Pivoted'!GQ35</f>
        <v>76.8</v>
      </c>
      <c r="G25" s="868">
        <f>'Haver Pivoted'!GR35</f>
        <v>74.099999999999994</v>
      </c>
      <c r="H25" s="868">
        <f>'Haver Pivoted'!GS35</f>
        <v>70.3</v>
      </c>
      <c r="I25" s="868">
        <f>'Haver Pivoted'!GT35</f>
        <v>64.5</v>
      </c>
      <c r="J25" s="868">
        <f>'Haver Pivoted'!GU35</f>
        <v>66.400000000000006</v>
      </c>
      <c r="K25" s="868">
        <f>'Haver Pivoted'!GV35</f>
        <v>81.5</v>
      </c>
      <c r="L25" s="868">
        <f>'Haver Pivoted'!GW35</f>
        <v>82.4</v>
      </c>
      <c r="M25" s="868">
        <f>'Haver Pivoted'!GX35</f>
        <v>83.1</v>
      </c>
      <c r="N25" s="868">
        <f>'Haver Pivoted'!GY35</f>
        <v>93.7</v>
      </c>
      <c r="O25" s="868">
        <f>'Haver Pivoted'!GZ35</f>
        <v>119.3</v>
      </c>
      <c r="P25" s="868">
        <f>'Haver Pivoted'!HA35</f>
        <v>168.1</v>
      </c>
      <c r="Q25" s="868">
        <f>'Haver Pivoted'!HB35</f>
        <v>170.8</v>
      </c>
      <c r="R25" s="868">
        <f>'Haver Pivoted'!HC35</f>
        <v>157.6</v>
      </c>
      <c r="S25" s="868">
        <f>'Haver Pivoted'!HD35</f>
        <v>159.1</v>
      </c>
      <c r="T25" s="870">
        <f>'Haver Pivoted'!HE35</f>
        <v>162.19999999999999</v>
      </c>
      <c r="U25" s="783">
        <f>'Haver Pivoted'!HF35</f>
        <v>158.69999999999999</v>
      </c>
      <c r="V25" s="783">
        <f>'Haver Pivoted'!HG35</f>
        <v>162.4</v>
      </c>
      <c r="W25" s="783">
        <f>'Haver Pivoted'!HH35</f>
        <v>165.9</v>
      </c>
      <c r="X25" s="783">
        <f>'Haver Pivoted'!HI35</f>
        <v>166.9</v>
      </c>
      <c r="Y25" s="783">
        <f>'Haver Pivoted'!HJ35</f>
        <v>170.4</v>
      </c>
      <c r="Z25" s="783">
        <f>'Haver Pivoted'!HK35</f>
        <v>164</v>
      </c>
      <c r="AA25" s="783">
        <f>'Haver Pivoted'!HL35</f>
        <v>162.6</v>
      </c>
      <c r="AB25" s="869">
        <f>$Y128*AB133*(AB107/$Y107)</f>
        <v>163.32474965084836</v>
      </c>
      <c r="AC25" s="869">
        <f t="shared" ref="AC25:AJ25" si="16">$Y128*AC133*(AC107/$Y107)</f>
        <v>163.75959944135735</v>
      </c>
      <c r="AD25" s="869">
        <f t="shared" si="16"/>
        <v>163.69195614061152</v>
      </c>
      <c r="AE25" s="869">
        <f t="shared" si="16"/>
        <v>163.83207440644219</v>
      </c>
      <c r="AF25" s="869">
        <f t="shared" si="16"/>
        <v>163.74993611267939</v>
      </c>
      <c r="AG25" s="869">
        <f t="shared" si="16"/>
        <v>163.94803435057793</v>
      </c>
      <c r="AH25" s="869">
        <f t="shared" si="16"/>
        <v>164.27175586129019</v>
      </c>
      <c r="AI25" s="869">
        <f t="shared" si="16"/>
        <v>164.10747927376457</v>
      </c>
      <c r="AJ25" s="869">
        <f t="shared" si="16"/>
        <v>164.30557751166313</v>
      </c>
      <c r="AK25" s="817"/>
      <c r="AL25" s="817"/>
      <c r="AM25" s="817"/>
      <c r="AN25" s="817"/>
      <c r="AO25" s="894"/>
      <c r="AP25" s="894"/>
    </row>
    <row r="26" spans="4:56" ht="14.9" customHeight="1" x14ac:dyDescent="0.35">
      <c r="D26" s="822" t="s">
        <v>1885</v>
      </c>
      <c r="E26" s="764"/>
      <c r="F26" s="490">
        <f t="shared" ref="F26:AJ26" si="17">F9+F19</f>
        <v>5162.2</v>
      </c>
      <c r="G26" s="490">
        <f t="shared" si="17"/>
        <v>5179.8999999999996</v>
      </c>
      <c r="H26" s="490">
        <f t="shared" si="17"/>
        <v>5227.3999999999996</v>
      </c>
      <c r="I26" s="490">
        <f t="shared" si="17"/>
        <v>5278.4</v>
      </c>
      <c r="J26" s="490">
        <f t="shared" si="17"/>
        <v>4928.3</v>
      </c>
      <c r="K26" s="490">
        <f t="shared" si="17"/>
        <v>5240.6000000000004</v>
      </c>
      <c r="L26" s="490">
        <f t="shared" si="17"/>
        <v>5439</v>
      </c>
      <c r="M26" s="490">
        <f t="shared" si="17"/>
        <v>5654.6</v>
      </c>
      <c r="N26" s="490">
        <f t="shared" si="17"/>
        <v>5924.9</v>
      </c>
      <c r="O26" s="490">
        <f t="shared" si="17"/>
        <v>6053.7000000000007</v>
      </c>
      <c r="P26" s="490">
        <f t="shared" si="17"/>
        <v>6248.8</v>
      </c>
      <c r="Q26" s="490">
        <f t="shared" si="17"/>
        <v>6732.8000000000011</v>
      </c>
      <c r="R26" s="490">
        <f t="shared" si="17"/>
        <v>6839.6</v>
      </c>
      <c r="S26" s="490">
        <f t="shared" si="17"/>
        <v>6829.3</v>
      </c>
      <c r="T26" s="490">
        <f t="shared" si="17"/>
        <v>6821.9000000000005</v>
      </c>
      <c r="U26" s="490">
        <f t="shared" si="17"/>
        <v>6493.7999999999993</v>
      </c>
      <c r="V26" s="490">
        <f t="shared" si="17"/>
        <v>6524</v>
      </c>
      <c r="W26" s="490">
        <f t="shared" si="17"/>
        <v>6601.4</v>
      </c>
      <c r="X26" s="490">
        <f t="shared" si="17"/>
        <v>6666.9</v>
      </c>
      <c r="Y26" s="656">
        <f t="shared" si="17"/>
        <v>6792.7</v>
      </c>
      <c r="Z26" s="656">
        <f t="shared" si="17"/>
        <v>6856.2</v>
      </c>
      <c r="AA26" s="656">
        <f t="shared" si="17"/>
        <v>6942.5</v>
      </c>
      <c r="AB26" s="656">
        <f t="shared" si="17"/>
        <v>7041.4</v>
      </c>
      <c r="AC26" s="656">
        <f t="shared" si="17"/>
        <v>7128.5695440965865</v>
      </c>
      <c r="AD26" s="656">
        <f t="shared" si="17"/>
        <v>7183.1609032334163</v>
      </c>
      <c r="AE26" s="656">
        <f t="shared" si="17"/>
        <v>7233.5251179146835</v>
      </c>
      <c r="AF26" s="656">
        <f t="shared" si="17"/>
        <v>7283.6999116937923</v>
      </c>
      <c r="AG26" s="656">
        <f t="shared" si="17"/>
        <v>7427.3832845159786</v>
      </c>
      <c r="AH26" s="656">
        <f t="shared" si="17"/>
        <v>7485.6940970178021</v>
      </c>
      <c r="AI26" s="656">
        <f t="shared" si="17"/>
        <v>7542.1624292436127</v>
      </c>
      <c r="AJ26" s="656">
        <f t="shared" si="17"/>
        <v>7600.9335147979418</v>
      </c>
      <c r="AK26" s="818"/>
      <c r="AL26" s="818"/>
      <c r="AM26" s="818"/>
      <c r="AN26" s="818"/>
    </row>
    <row r="27" spans="4:56" ht="14.9" customHeight="1" x14ac:dyDescent="0.35">
      <c r="D27" s="822" t="s">
        <v>1903</v>
      </c>
      <c r="E27" s="764"/>
      <c r="F27" s="490">
        <f t="shared" ref="F27:AG27" si="18">F10+F21</f>
        <v>2217.6999999999998</v>
      </c>
      <c r="G27" s="490">
        <f t="shared" si="18"/>
        <v>2195.4</v>
      </c>
      <c r="H27" s="490">
        <f t="shared" si="18"/>
        <v>2226.3000000000002</v>
      </c>
      <c r="I27" s="490">
        <f t="shared" si="18"/>
        <v>2247.6999999999998</v>
      </c>
      <c r="J27" s="490">
        <f t="shared" si="18"/>
        <v>2107.2999999999997</v>
      </c>
      <c r="K27" s="490">
        <f t="shared" si="18"/>
        <v>2248.1999999999998</v>
      </c>
      <c r="L27" s="490">
        <f t="shared" si="18"/>
        <v>2377.8000000000002</v>
      </c>
      <c r="M27" s="490">
        <f t="shared" si="18"/>
        <v>2547.6999999999998</v>
      </c>
      <c r="N27" s="490">
        <f t="shared" si="18"/>
        <v>2675.6</v>
      </c>
      <c r="O27" s="490">
        <f t="shared" si="18"/>
        <v>2750</v>
      </c>
      <c r="P27" s="490">
        <f t="shared" si="18"/>
        <v>2847.1</v>
      </c>
      <c r="Q27" s="490">
        <f t="shared" si="18"/>
        <v>3254.1000000000004</v>
      </c>
      <c r="R27" s="490">
        <f t="shared" si="18"/>
        <v>3297.4</v>
      </c>
      <c r="S27" s="490">
        <f t="shared" si="18"/>
        <v>3224.9</v>
      </c>
      <c r="T27" s="490">
        <f t="shared" si="18"/>
        <v>3203.2999999999997</v>
      </c>
      <c r="U27" s="490">
        <f t="shared" si="18"/>
        <v>2834.3</v>
      </c>
      <c r="V27" s="490">
        <f t="shared" si="18"/>
        <v>2828.4</v>
      </c>
      <c r="W27" s="490">
        <f t="shared" si="18"/>
        <v>2866</v>
      </c>
      <c r="X27" s="490">
        <f t="shared" si="18"/>
        <v>2894.2999999999997</v>
      </c>
      <c r="Y27" s="490">
        <f t="shared" si="18"/>
        <v>2965.6</v>
      </c>
      <c r="Z27" s="490">
        <f t="shared" si="18"/>
        <v>3005.4</v>
      </c>
      <c r="AA27" s="490">
        <f t="shared" si="18"/>
        <v>3055.6</v>
      </c>
      <c r="AB27" s="490">
        <f t="shared" si="18"/>
        <v>3100.5</v>
      </c>
      <c r="AC27" s="490">
        <f t="shared" si="18"/>
        <v>3163.7331513575787</v>
      </c>
      <c r="AD27" s="490">
        <f t="shared" si="18"/>
        <v>3185.711066005555</v>
      </c>
      <c r="AE27" s="490">
        <f t="shared" si="18"/>
        <v>3206.4193889933531</v>
      </c>
      <c r="AF27" s="490">
        <f t="shared" si="18"/>
        <v>3227.4288273814514</v>
      </c>
      <c r="AG27" s="490">
        <f t="shared" si="18"/>
        <v>3335.1047408762015</v>
      </c>
      <c r="AH27" s="490">
        <f t="shared" ref="AH27" si="19">AH10+AH21</f>
        <v>3355.8086423194036</v>
      </c>
      <c r="AI27" s="490">
        <f t="shared" ref="AI27:AJ27" si="20">AI10+AI21</f>
        <v>3376.570724200601</v>
      </c>
      <c r="AJ27" s="490">
        <f t="shared" si="20"/>
        <v>3397.296949818995</v>
      </c>
      <c r="AK27" s="818"/>
      <c r="AL27" s="818"/>
      <c r="AM27" s="818"/>
      <c r="AN27" s="818"/>
    </row>
    <row r="28" spans="4:56" ht="14.9" customHeight="1" x14ac:dyDescent="0.35">
      <c r="D28" s="822" t="s">
        <v>1904</v>
      </c>
      <c r="E28" s="764"/>
      <c r="F28" s="490">
        <f>F12+F23</f>
        <v>1424.3</v>
      </c>
      <c r="G28" s="490">
        <f t="shared" ref="G28:AG28" si="21">G12+G23</f>
        <v>1430.8999999999999</v>
      </c>
      <c r="H28" s="490">
        <f t="shared" si="21"/>
        <v>1448.7</v>
      </c>
      <c r="I28" s="490">
        <f t="shared" si="21"/>
        <v>1473.5</v>
      </c>
      <c r="J28" s="490">
        <f t="shared" si="21"/>
        <v>1403</v>
      </c>
      <c r="K28" s="490">
        <f t="shared" si="21"/>
        <v>1452.9</v>
      </c>
      <c r="L28" s="490">
        <f t="shared" si="21"/>
        <v>1490.8</v>
      </c>
      <c r="M28" s="490">
        <f t="shared" si="21"/>
        <v>1508.5</v>
      </c>
      <c r="N28" s="490">
        <f t="shared" si="21"/>
        <v>1544.5</v>
      </c>
      <c r="O28" s="490">
        <f t="shared" si="21"/>
        <v>1581.6</v>
      </c>
      <c r="P28" s="490">
        <f t="shared" si="21"/>
        <v>1626.6</v>
      </c>
      <c r="Q28" s="490">
        <f t="shared" si="21"/>
        <v>1666.3000000000002</v>
      </c>
      <c r="R28" s="490">
        <f t="shared" si="21"/>
        <v>1689</v>
      </c>
      <c r="S28" s="490">
        <f t="shared" si="21"/>
        <v>1735.9</v>
      </c>
      <c r="T28" s="490">
        <f t="shared" si="21"/>
        <v>1751.7</v>
      </c>
      <c r="U28" s="490">
        <f t="shared" si="21"/>
        <v>1782</v>
      </c>
      <c r="V28" s="490">
        <f t="shared" si="21"/>
        <v>1810.4</v>
      </c>
      <c r="W28" s="490">
        <f t="shared" si="21"/>
        <v>1839.2</v>
      </c>
      <c r="X28" s="490">
        <f t="shared" si="21"/>
        <v>1859</v>
      </c>
      <c r="Y28" s="490">
        <f t="shared" si="21"/>
        <v>1889.1</v>
      </c>
      <c r="Z28" s="490">
        <f t="shared" si="21"/>
        <v>1896.1000000000001</v>
      </c>
      <c r="AA28" s="490">
        <f t="shared" si="21"/>
        <v>1911</v>
      </c>
      <c r="AB28" s="490">
        <f t="shared" si="21"/>
        <v>1934.8</v>
      </c>
      <c r="AC28" s="490">
        <f t="shared" si="21"/>
        <v>1948.8391949723116</v>
      </c>
      <c r="AD28" s="490">
        <f t="shared" si="21"/>
        <v>1963.0047365878559</v>
      </c>
      <c r="AE28" s="490">
        <f t="shared" si="21"/>
        <v>1977.265490329384</v>
      </c>
      <c r="AF28" s="490">
        <f t="shared" si="21"/>
        <v>1991.6230444652845</v>
      </c>
      <c r="AG28" s="490">
        <f t="shared" si="21"/>
        <v>2014.3380496375144</v>
      </c>
      <c r="AH28" s="490">
        <f t="shared" ref="AH28" si="22">AH12+AH23</f>
        <v>2037.2973405896064</v>
      </c>
      <c r="AI28" s="490">
        <f t="shared" ref="AI28:AJ28" si="23">AI12+AI23</f>
        <v>2060.5121308509638</v>
      </c>
      <c r="AJ28" s="490">
        <f t="shared" si="23"/>
        <v>2083.9829650142265</v>
      </c>
      <c r="AK28" s="818"/>
      <c r="AL28" s="818"/>
      <c r="AM28" s="818"/>
      <c r="AN28" s="818"/>
    </row>
    <row r="29" spans="4:56" ht="14.25" customHeight="1" x14ac:dyDescent="0.35"/>
    <row r="30" spans="4:56" ht="14.9" customHeight="1" x14ac:dyDescent="0.35">
      <c r="D30" s="512"/>
      <c r="E30" s="317"/>
      <c r="F30" s="317"/>
      <c r="G30" s="317"/>
      <c r="H30" s="317"/>
      <c r="I30" s="317"/>
      <c r="J30" s="317"/>
      <c r="K30" s="317"/>
      <c r="L30" s="317"/>
      <c r="AI30" s="253"/>
      <c r="AJ30" s="253"/>
      <c r="AK30" s="253"/>
      <c r="AL30" s="253"/>
      <c r="AM30" s="253"/>
      <c r="AN30" s="253"/>
      <c r="AO30" s="253"/>
    </row>
    <row r="31" spans="4:56" ht="14.9" customHeight="1" x14ac:dyDescent="0.35">
      <c r="D31" s="1370" t="s">
        <v>913</v>
      </c>
      <c r="E31" s="1371"/>
      <c r="F31" s="1372"/>
      <c r="G31" s="312">
        <v>2020</v>
      </c>
      <c r="H31" s="313">
        <v>2021</v>
      </c>
      <c r="I31" s="312">
        <v>2022</v>
      </c>
      <c r="J31" s="799">
        <v>2023</v>
      </c>
      <c r="K31" s="799">
        <v>2024</v>
      </c>
      <c r="L31" s="800">
        <v>2025</v>
      </c>
      <c r="M31" s="800">
        <v>2026</v>
      </c>
      <c r="N31" s="800">
        <v>2027</v>
      </c>
      <c r="AI31" s="253"/>
      <c r="AJ31" s="253"/>
      <c r="AK31" s="253"/>
      <c r="AL31" s="253"/>
      <c r="AM31" s="253"/>
      <c r="AN31" s="253"/>
      <c r="AO31" s="253"/>
    </row>
    <row r="32" spans="4:56" ht="14.9" customHeight="1" x14ac:dyDescent="0.35">
      <c r="D32" s="768" t="s">
        <v>489</v>
      </c>
      <c r="E32" s="275"/>
      <c r="F32" s="306"/>
      <c r="G32" s="844">
        <f>AVERAGE(H10:K10)</f>
        <v>1712.5250000000001</v>
      </c>
      <c r="H32" s="458">
        <f>AVERAGE(L10:O10)</f>
        <v>2025.3000000000002</v>
      </c>
      <c r="I32" s="458">
        <f>AVERAGE(P10:S10)</f>
        <v>2519.5</v>
      </c>
      <c r="J32" s="458">
        <f t="shared" ref="J32:K32" si="24">I32*J56/I56</f>
        <v>2083.336548518414</v>
      </c>
      <c r="K32" s="458">
        <f t="shared" si="24"/>
        <v>2322.2412923680117</v>
      </c>
      <c r="L32" s="458">
        <f t="shared" ref="L32:M32" si="25">K32*L56/K56</f>
        <v>2509.1593240493971</v>
      </c>
      <c r="M32" s="458">
        <f t="shared" si="25"/>
        <v>2671.958683887096</v>
      </c>
      <c r="N32" s="741"/>
      <c r="O32" t="s">
        <v>1909</v>
      </c>
    </row>
    <row r="33" spans="3:36" ht="14.9" customHeight="1" x14ac:dyDescent="0.35">
      <c r="D33" s="792" t="s">
        <v>494</v>
      </c>
      <c r="E33" s="219"/>
      <c r="F33" s="219"/>
      <c r="G33" s="845">
        <f>AVERAGE(H12:K12)</f>
        <v>1424.5250000000001</v>
      </c>
      <c r="H33" s="232">
        <f>AVERAGE(L12:O12)</f>
        <v>1509.7249999999999</v>
      </c>
      <c r="I33" s="232">
        <f>AVERAGE(P12:S12)</f>
        <v>1656.375</v>
      </c>
      <c r="J33" s="232">
        <f t="shared" ref="J33:M34" si="26">I33*J58/I58</f>
        <v>1802.5599531117082</v>
      </c>
      <c r="K33" s="232">
        <f t="shared" si="26"/>
        <v>1908.0368684134958</v>
      </c>
      <c r="L33" s="232">
        <f t="shared" si="26"/>
        <v>1963.5230627909452</v>
      </c>
      <c r="M33" s="232">
        <f t="shared" si="26"/>
        <v>2054.6673099258119</v>
      </c>
      <c r="N33" s="804"/>
    </row>
    <row r="34" spans="3:36" ht="14.9" customHeight="1" x14ac:dyDescent="0.35">
      <c r="D34" s="792" t="s">
        <v>105</v>
      </c>
      <c r="E34" s="219"/>
      <c r="F34" s="219"/>
      <c r="G34" s="845">
        <f>AVERAGE(H14:K14)</f>
        <v>160.375</v>
      </c>
      <c r="H34" s="232">
        <f>AVERAGE(L14:O14)</f>
        <v>171.3</v>
      </c>
      <c r="I34" s="232">
        <f>AVERAGE(P14:S14)</f>
        <v>203.05</v>
      </c>
      <c r="J34" s="232">
        <f t="shared" si="26"/>
        <v>168.63950531914898</v>
      </c>
      <c r="K34" s="232">
        <f t="shared" si="26"/>
        <v>112.9368420212766</v>
      </c>
      <c r="L34" s="232">
        <f t="shared" si="26"/>
        <v>105.39591063829786</v>
      </c>
      <c r="M34" s="232">
        <f t="shared" si="26"/>
        <v>113.12153111702128</v>
      </c>
      <c r="N34" s="804"/>
    </row>
    <row r="35" spans="3:36" ht="14.9" customHeight="1" x14ac:dyDescent="0.35">
      <c r="D35" s="792" t="s">
        <v>257</v>
      </c>
      <c r="E35" s="219"/>
      <c r="F35" s="219"/>
      <c r="G35" s="845">
        <f>AVERAGE(H16:K16)</f>
        <v>220.4</v>
      </c>
      <c r="H35" s="232">
        <f>AVERAGE(L16:O16)</f>
        <v>307.375</v>
      </c>
      <c r="I35" s="232">
        <f>AVERAGE(P16:S16)</f>
        <v>389.2</v>
      </c>
      <c r="J35" s="232">
        <f>I35*J62/I62</f>
        <v>384.36050058018151</v>
      </c>
      <c r="K35" s="232">
        <f>J35*K62/J62</f>
        <v>485.38539448815737</v>
      </c>
      <c r="L35" s="232">
        <f>K35*L62/K62</f>
        <v>479.71870067574088</v>
      </c>
      <c r="M35" s="232">
        <f>L35*M62/L62</f>
        <v>453.58009071074002</v>
      </c>
      <c r="N35" s="804"/>
    </row>
    <row r="36" spans="3:36" ht="14.9" customHeight="1" x14ac:dyDescent="0.35">
      <c r="C36" s="56"/>
      <c r="D36" s="792" t="s">
        <v>909</v>
      </c>
      <c r="E36" s="56"/>
      <c r="F36" s="235"/>
      <c r="G36" s="548"/>
      <c r="H36" s="843">
        <f>H32/G32-1+0.021</f>
        <v>0.2036396694938761</v>
      </c>
      <c r="I36" s="843">
        <f>I32/H32-1.05</f>
        <v>0.1940132326075148</v>
      </c>
      <c r="J36" s="843">
        <f>J32/I32-1</f>
        <v>-0.17311508294565825</v>
      </c>
      <c r="K36" s="843">
        <f>K32/J32-1+K37</f>
        <v>0.16967410007254818</v>
      </c>
      <c r="L36" s="843">
        <f>L32/K32-1+L37</f>
        <v>8.0490357438603333E-2</v>
      </c>
      <c r="M36" s="843">
        <f>M32/L32-1+M37</f>
        <v>6.4882033706399111E-2</v>
      </c>
      <c r="N36" s="804"/>
      <c r="O36" t="s">
        <v>896</v>
      </c>
    </row>
    <row r="37" spans="3:36" ht="14.9" customHeight="1" x14ac:dyDescent="0.35">
      <c r="C37" s="56"/>
      <c r="D37" s="792" t="s">
        <v>1884</v>
      </c>
      <c r="E37" s="56"/>
      <c r="F37" s="235"/>
      <c r="G37" s="548"/>
      <c r="H37" s="843"/>
      <c r="I37" s="843"/>
      <c r="J37" s="843"/>
      <c r="K37" s="843">
        <v>5.5E-2</v>
      </c>
      <c r="L37" s="843"/>
      <c r="M37" s="843"/>
      <c r="N37" s="804"/>
    </row>
    <row r="38" spans="3:36" ht="14.9" customHeight="1" x14ac:dyDescent="0.35">
      <c r="C38" s="56"/>
      <c r="D38" s="792" t="s">
        <v>910</v>
      </c>
      <c r="E38" s="56"/>
      <c r="F38" s="235"/>
      <c r="G38" s="548"/>
      <c r="H38" s="843">
        <f>H33/G33-1.03</f>
        <v>2.9809410154261862E-2</v>
      </c>
      <c r="I38" s="843">
        <f>I33/H33-1.013</f>
        <v>8.413689579228012E-2</v>
      </c>
      <c r="J38" s="908">
        <f>J33/I33-1</f>
        <v>8.8255952372927826E-2</v>
      </c>
      <c r="K38" s="908">
        <f>K33/J33-1</f>
        <v>5.851506637529913E-2</v>
      </c>
      <c r="L38" s="908">
        <f>L33/K33-1</f>
        <v>2.9080252743536095E-2</v>
      </c>
      <c r="M38" s="908">
        <f>M33/L33-1</f>
        <v>4.6418730119377694E-2</v>
      </c>
      <c r="N38" s="804"/>
      <c r="O38" t="s">
        <v>897</v>
      </c>
    </row>
    <row r="39" spans="3:36" ht="14.9" customHeight="1" x14ac:dyDescent="0.35">
      <c r="C39" s="56"/>
      <c r="D39" s="792" t="s">
        <v>911</v>
      </c>
      <c r="E39" s="56"/>
      <c r="F39" s="235"/>
      <c r="G39" s="548"/>
      <c r="H39" s="843">
        <f>H34/G34-1</f>
        <v>6.8121590023382694E-2</v>
      </c>
      <c r="I39" s="843">
        <f>I34/H34-1.01</f>
        <v>0.17534734384121431</v>
      </c>
      <c r="J39" s="843">
        <f>J34/I34-1</f>
        <v>-0.16946808510638278</v>
      </c>
      <c r="K39" s="843">
        <f t="shared" ref="K39" si="27">K34/J34-1</f>
        <v>-0.3303061355194058</v>
      </c>
      <c r="L39" s="843">
        <f>L34/K34-1</f>
        <v>-6.677122582866335E-2</v>
      </c>
      <c r="M39" s="843">
        <f>M34/L34-1</f>
        <v>7.3300950975569767E-2</v>
      </c>
      <c r="N39" s="804"/>
    </row>
    <row r="40" spans="3:36" ht="14.9" customHeight="1" x14ac:dyDescent="0.35">
      <c r="C40" s="56"/>
      <c r="D40" s="909" t="s">
        <v>912</v>
      </c>
      <c r="E40" s="35"/>
      <c r="F40" s="356"/>
      <c r="G40" s="547"/>
      <c r="H40" s="910">
        <f>H35/G35-1</f>
        <v>0.39462341197822148</v>
      </c>
      <c r="I40" s="910">
        <f>I35/H35-1.103</f>
        <v>0.16320577470516473</v>
      </c>
      <c r="J40" s="910">
        <f>J35/I35-1</f>
        <v>-1.2434479495936457E-2</v>
      </c>
      <c r="K40" s="910">
        <f>K35/J35-1-0.15</f>
        <v>0.11283890710799263</v>
      </c>
      <c r="L40" s="910">
        <f>L35/K35-1+0.15</f>
        <v>0.13832537221604688</v>
      </c>
      <c r="M40" s="910">
        <f>M35/L35-1+0.03</f>
        <v>-2.4487369219047511E-2</v>
      </c>
      <c r="N40" s="226"/>
    </row>
    <row r="41" spans="3:36" ht="14.9" customHeight="1" x14ac:dyDescent="0.35">
      <c r="D41" s="765"/>
      <c r="E41" s="764"/>
      <c r="F41" s="776"/>
      <c r="G41" s="776"/>
      <c r="H41" s="906"/>
      <c r="I41" s="906"/>
      <c r="J41" s="906"/>
      <c r="K41" s="906"/>
      <c r="L41" s="906"/>
    </row>
    <row r="42" spans="3:36" ht="14.9" customHeight="1" x14ac:dyDescent="0.35">
      <c r="D42" s="765"/>
      <c r="E42" s="764"/>
      <c r="F42" s="776"/>
      <c r="G42" s="776"/>
      <c r="H42" s="906"/>
      <c r="I42" s="906"/>
      <c r="J42" s="906"/>
      <c r="K42" s="906"/>
      <c r="L42" s="906"/>
    </row>
    <row r="43" spans="3:36" ht="14.9" customHeight="1" x14ac:dyDescent="0.35">
      <c r="D43" s="765"/>
      <c r="E43" s="764"/>
      <c r="F43" s="1373" t="s">
        <v>279</v>
      </c>
      <c r="G43" s="1374"/>
      <c r="H43" s="1374"/>
      <c r="I43" s="1374"/>
      <c r="J43" s="1374"/>
      <c r="K43" s="1374"/>
      <c r="L43" s="1374"/>
      <c r="M43" s="1374"/>
      <c r="N43" s="1374"/>
      <c r="O43" s="1374"/>
      <c r="P43" s="1374"/>
      <c r="Q43" s="1374"/>
      <c r="R43" s="1374"/>
      <c r="S43" s="1374"/>
      <c r="T43" s="1374"/>
      <c r="U43" s="1374"/>
      <c r="V43" s="1375"/>
      <c r="W43" s="1302" t="s">
        <v>280</v>
      </c>
      <c r="X43" s="1282"/>
      <c r="Y43" s="1282"/>
      <c r="Z43" s="1282"/>
      <c r="AA43" s="1282"/>
      <c r="AB43" s="1282"/>
      <c r="AC43" s="1282"/>
      <c r="AD43" s="1282"/>
      <c r="AE43" s="1282"/>
      <c r="AF43" s="1282"/>
      <c r="AG43" s="1282"/>
      <c r="AH43" s="1283"/>
      <c r="AJ43" s="819" t="s">
        <v>1960</v>
      </c>
    </row>
    <row r="44" spans="3:36" ht="14.9" customHeight="1" x14ac:dyDescent="0.35">
      <c r="D44" s="765"/>
      <c r="E44" s="764"/>
      <c r="F44" s="1293">
        <v>2019</v>
      </c>
      <c r="G44" s="1301"/>
      <c r="H44" s="1295"/>
      <c r="I44" s="1301">
        <v>2020</v>
      </c>
      <c r="J44" s="1301"/>
      <c r="K44" s="1301"/>
      <c r="L44" s="1301"/>
      <c r="M44" s="1293">
        <v>2021</v>
      </c>
      <c r="N44" s="1301"/>
      <c r="O44" s="1301"/>
      <c r="P44" s="1301"/>
      <c r="Q44" s="1293">
        <v>2022</v>
      </c>
      <c r="R44" s="1301"/>
      <c r="S44" s="1301"/>
      <c r="T44" s="1295"/>
      <c r="U44" s="288"/>
      <c r="V44" s="288">
        <v>2023</v>
      </c>
      <c r="W44" s="281"/>
      <c r="X44" s="722"/>
      <c r="Y44" s="1313">
        <v>2024</v>
      </c>
      <c r="Z44" s="1314"/>
      <c r="AA44" s="1314"/>
      <c r="AB44" s="1369"/>
      <c r="AC44" s="1313">
        <v>2025</v>
      </c>
      <c r="AD44" s="1314"/>
      <c r="AE44" s="1314"/>
      <c r="AF44" s="1369"/>
      <c r="AG44" s="1280">
        <v>2026</v>
      </c>
      <c r="AH44" s="1286"/>
      <c r="AI44" s="1286"/>
      <c r="AJ44" s="1285"/>
    </row>
    <row r="45" spans="3:36" ht="14.9" customHeight="1" x14ac:dyDescent="0.35">
      <c r="D45" s="765"/>
      <c r="E45" s="764"/>
      <c r="F45" s="273" t="s">
        <v>283</v>
      </c>
      <c r="G45" s="274" t="s">
        <v>238</v>
      </c>
      <c r="H45" s="272" t="s">
        <v>281</v>
      </c>
      <c r="I45" s="274" t="s">
        <v>282</v>
      </c>
      <c r="J45" s="274" t="s">
        <v>283</v>
      </c>
      <c r="K45" s="274" t="s">
        <v>238</v>
      </c>
      <c r="L45" s="274" t="s">
        <v>281</v>
      </c>
      <c r="M45" s="273" t="s">
        <v>282</v>
      </c>
      <c r="N45" s="274" t="s">
        <v>283</v>
      </c>
      <c r="O45" s="274" t="s">
        <v>238</v>
      </c>
      <c r="P45" s="274" t="s">
        <v>281</v>
      </c>
      <c r="Q45" s="273" t="s">
        <v>282</v>
      </c>
      <c r="R45" s="274" t="s">
        <v>283</v>
      </c>
      <c r="S45" s="274" t="s">
        <v>238</v>
      </c>
      <c r="T45" s="272" t="s">
        <v>281</v>
      </c>
      <c r="U45" s="274" t="s">
        <v>282</v>
      </c>
      <c r="V45" s="274" t="s">
        <v>283</v>
      </c>
      <c r="W45" s="260" t="s">
        <v>238</v>
      </c>
      <c r="X45" s="287" t="s">
        <v>281</v>
      </c>
      <c r="Y45" s="259" t="s">
        <v>282</v>
      </c>
      <c r="Z45" s="257" t="s">
        <v>283</v>
      </c>
      <c r="AA45" s="260" t="s">
        <v>238</v>
      </c>
      <c r="AB45" s="287" t="s">
        <v>281</v>
      </c>
      <c r="AC45" s="259" t="s">
        <v>282</v>
      </c>
      <c r="AD45" s="257" t="s">
        <v>283</v>
      </c>
      <c r="AE45" s="260" t="s">
        <v>238</v>
      </c>
      <c r="AF45" s="260" t="s">
        <v>281</v>
      </c>
      <c r="AG45" s="259" t="s">
        <v>282</v>
      </c>
      <c r="AH45" s="257" t="s">
        <v>283</v>
      </c>
      <c r="AI45" s="260" t="s">
        <v>238</v>
      </c>
      <c r="AJ45" s="287" t="s">
        <v>281</v>
      </c>
    </row>
    <row r="46" spans="3:36" ht="14.9" customHeight="1" x14ac:dyDescent="0.35">
      <c r="D46" s="792" t="s">
        <v>909</v>
      </c>
      <c r="E46" s="764"/>
      <c r="F46" s="776"/>
      <c r="G46" s="776"/>
      <c r="H46" s="906"/>
      <c r="I46" s="906"/>
      <c r="J46" s="906"/>
      <c r="K46" s="906"/>
      <c r="L46" s="906"/>
    </row>
    <row r="47" spans="3:36" ht="14.9" customHeight="1" x14ac:dyDescent="0.35">
      <c r="D47" s="792" t="s">
        <v>1884</v>
      </c>
      <c r="E47" s="764"/>
      <c r="F47" s="776"/>
      <c r="G47" s="776"/>
      <c r="H47" s="906"/>
      <c r="I47" s="906"/>
      <c r="J47" s="906"/>
      <c r="K47" s="906"/>
      <c r="L47" s="906"/>
      <c r="M47" s="821">
        <f>H36</f>
        <v>0.2036396694938761</v>
      </c>
      <c r="N47" s="821">
        <f>H36</f>
        <v>0.2036396694938761</v>
      </c>
      <c r="O47" s="821">
        <f>H36</f>
        <v>0.2036396694938761</v>
      </c>
      <c r="P47" s="821">
        <f>H36</f>
        <v>0.2036396694938761</v>
      </c>
      <c r="Q47" s="821">
        <f>I36</f>
        <v>0.1940132326075148</v>
      </c>
      <c r="R47" s="821">
        <f>I36</f>
        <v>0.1940132326075148</v>
      </c>
      <c r="S47" s="821">
        <f>I36</f>
        <v>0.1940132326075148</v>
      </c>
      <c r="T47" s="821">
        <f>I36</f>
        <v>0.1940132326075148</v>
      </c>
      <c r="U47" s="821">
        <f>J36</f>
        <v>-0.17311508294565825</v>
      </c>
      <c r="V47" s="821">
        <f>J36</f>
        <v>-0.17311508294565825</v>
      </c>
      <c r="W47" s="821">
        <f>J36</f>
        <v>-0.17311508294565825</v>
      </c>
      <c r="X47" s="821">
        <f>J36</f>
        <v>-0.17311508294565825</v>
      </c>
      <c r="Y47" s="821">
        <f>K36</f>
        <v>0.16967410007254818</v>
      </c>
      <c r="Z47" s="821">
        <f>K36</f>
        <v>0.16967410007254818</v>
      </c>
      <c r="AA47" s="821">
        <f>K36</f>
        <v>0.16967410007254818</v>
      </c>
      <c r="AB47" s="821">
        <f t="shared" ref="AB47:AC51" si="28">K36</f>
        <v>0.16967410007254818</v>
      </c>
      <c r="AC47" s="821">
        <f>L36</f>
        <v>8.0490357438603333E-2</v>
      </c>
      <c r="AD47" s="821">
        <f>L36</f>
        <v>8.0490357438603333E-2</v>
      </c>
      <c r="AE47" s="821">
        <f>L36</f>
        <v>8.0490357438603333E-2</v>
      </c>
      <c r="AF47" s="821">
        <f t="shared" ref="AF47:AG51" si="29">L36</f>
        <v>8.0490357438603333E-2</v>
      </c>
      <c r="AG47" s="821">
        <f t="shared" si="29"/>
        <v>6.4882033706399111E-2</v>
      </c>
      <c r="AH47" s="821">
        <f>M36</f>
        <v>6.4882033706399111E-2</v>
      </c>
      <c r="AI47" s="821">
        <f>M36</f>
        <v>6.4882033706399111E-2</v>
      </c>
      <c r="AJ47" s="821">
        <f>M36</f>
        <v>6.4882033706399111E-2</v>
      </c>
    </row>
    <row r="48" spans="3:36" ht="14.9" customHeight="1" x14ac:dyDescent="0.35">
      <c r="D48" s="792" t="s">
        <v>910</v>
      </c>
      <c r="E48" s="764"/>
      <c r="F48" s="776"/>
      <c r="G48" s="776"/>
      <c r="H48" s="906"/>
      <c r="I48" s="906"/>
      <c r="J48" s="906"/>
      <c r="K48" s="906"/>
      <c r="L48" s="906"/>
      <c r="Y48" s="821">
        <f>K37</f>
        <v>5.5E-2</v>
      </c>
      <c r="Z48" s="821">
        <f>K37</f>
        <v>5.5E-2</v>
      </c>
      <c r="AA48" s="821">
        <f>K37</f>
        <v>5.5E-2</v>
      </c>
      <c r="AB48" s="821">
        <f t="shared" si="28"/>
        <v>5.5E-2</v>
      </c>
      <c r="AC48" s="821">
        <f>L37</f>
        <v>0</v>
      </c>
      <c r="AD48" s="821">
        <f>L37</f>
        <v>0</v>
      </c>
      <c r="AE48" s="821">
        <f>L37</f>
        <v>0</v>
      </c>
      <c r="AF48" s="821">
        <f t="shared" si="29"/>
        <v>0</v>
      </c>
      <c r="AG48" s="821">
        <f t="shared" si="29"/>
        <v>0</v>
      </c>
      <c r="AH48" s="821">
        <f>M37</f>
        <v>0</v>
      </c>
      <c r="AI48" s="821">
        <f>M37</f>
        <v>0</v>
      </c>
      <c r="AJ48" s="821">
        <f>M37</f>
        <v>0</v>
      </c>
    </row>
    <row r="49" spans="4:41" ht="14.9" customHeight="1" x14ac:dyDescent="0.35">
      <c r="D49" s="792" t="s">
        <v>911</v>
      </c>
      <c r="E49" s="764"/>
      <c r="F49" s="776"/>
      <c r="G49" s="776"/>
      <c r="H49" s="906"/>
      <c r="I49" s="906"/>
      <c r="J49" s="906"/>
      <c r="K49" s="906"/>
      <c r="L49" s="906"/>
      <c r="M49" s="821">
        <f>H38</f>
        <v>2.9809410154261862E-2</v>
      </c>
      <c r="N49" s="821">
        <f>H38</f>
        <v>2.9809410154261862E-2</v>
      </c>
      <c r="O49" s="487">
        <f>H38</f>
        <v>2.9809410154261862E-2</v>
      </c>
      <c r="P49" s="821">
        <f t="shared" ref="P49:Q51" si="30">H38</f>
        <v>2.9809410154261862E-2</v>
      </c>
      <c r="Q49" s="821">
        <f t="shared" si="30"/>
        <v>8.413689579228012E-2</v>
      </c>
      <c r="R49" s="821">
        <f>I38</f>
        <v>8.413689579228012E-2</v>
      </c>
      <c r="S49" s="821">
        <f>I38</f>
        <v>8.413689579228012E-2</v>
      </c>
      <c r="T49" s="821">
        <f t="shared" ref="T49:U51" si="31">I38</f>
        <v>8.413689579228012E-2</v>
      </c>
      <c r="U49" s="487">
        <f t="shared" si="31"/>
        <v>8.8255952372927826E-2</v>
      </c>
      <c r="V49" s="487">
        <f>J38</f>
        <v>8.8255952372927826E-2</v>
      </c>
      <c r="W49" s="487">
        <f>J38</f>
        <v>8.8255952372927826E-2</v>
      </c>
      <c r="X49" s="487">
        <f>J38</f>
        <v>8.8255952372927826E-2</v>
      </c>
      <c r="Y49" s="821">
        <f>K38</f>
        <v>5.851506637529913E-2</v>
      </c>
      <c r="Z49" s="821">
        <f>K38</f>
        <v>5.851506637529913E-2</v>
      </c>
      <c r="AA49" s="821">
        <f>K38</f>
        <v>5.851506637529913E-2</v>
      </c>
      <c r="AB49" s="821">
        <f t="shared" si="28"/>
        <v>5.851506637529913E-2</v>
      </c>
      <c r="AC49" s="821">
        <f t="shared" si="28"/>
        <v>2.9080252743536095E-2</v>
      </c>
      <c r="AD49" s="821">
        <f>L38</f>
        <v>2.9080252743536095E-2</v>
      </c>
      <c r="AE49" s="821">
        <f>L38</f>
        <v>2.9080252743536095E-2</v>
      </c>
      <c r="AF49" s="821">
        <f t="shared" si="29"/>
        <v>2.9080252743536095E-2</v>
      </c>
      <c r="AG49" s="821">
        <f>M38</f>
        <v>4.6418730119377694E-2</v>
      </c>
      <c r="AH49" s="821">
        <f>M38</f>
        <v>4.6418730119377694E-2</v>
      </c>
      <c r="AI49" s="821">
        <f>M38</f>
        <v>4.6418730119377694E-2</v>
      </c>
      <c r="AJ49" s="821">
        <f>M38</f>
        <v>4.6418730119377694E-2</v>
      </c>
    </row>
    <row r="50" spans="4:41" ht="14.9" customHeight="1" x14ac:dyDescent="0.35">
      <c r="D50" s="909" t="s">
        <v>912</v>
      </c>
      <c r="E50" s="764"/>
      <c r="F50" s="776"/>
      <c r="G50" s="776"/>
      <c r="H50" s="906"/>
      <c r="I50" s="906"/>
      <c r="J50" s="906"/>
      <c r="K50" s="906"/>
      <c r="L50" s="906"/>
      <c r="M50" s="821">
        <f>H39</f>
        <v>6.8121590023382694E-2</v>
      </c>
      <c r="N50" s="821">
        <f>H39</f>
        <v>6.8121590023382694E-2</v>
      </c>
      <c r="O50" s="821">
        <f>H39</f>
        <v>6.8121590023382694E-2</v>
      </c>
      <c r="P50" s="821">
        <f t="shared" si="30"/>
        <v>6.8121590023382694E-2</v>
      </c>
      <c r="Q50" s="821">
        <f t="shared" si="30"/>
        <v>0.17534734384121431</v>
      </c>
      <c r="R50" s="821">
        <f>I39</f>
        <v>0.17534734384121431</v>
      </c>
      <c r="S50" s="821">
        <f>I39</f>
        <v>0.17534734384121431</v>
      </c>
      <c r="T50" s="821">
        <f t="shared" si="31"/>
        <v>0.17534734384121431</v>
      </c>
      <c r="U50" s="821">
        <f t="shared" si="31"/>
        <v>-0.16946808510638278</v>
      </c>
      <c r="V50" s="821">
        <f>J39</f>
        <v>-0.16946808510638278</v>
      </c>
      <c r="W50" s="821">
        <f>J39</f>
        <v>-0.16946808510638278</v>
      </c>
      <c r="X50" s="821">
        <f>J39</f>
        <v>-0.16946808510638278</v>
      </c>
      <c r="Y50" s="821">
        <f>K39</f>
        <v>-0.3303061355194058</v>
      </c>
      <c r="Z50" s="821">
        <f>K39</f>
        <v>-0.3303061355194058</v>
      </c>
      <c r="AA50" s="821">
        <f>K39</f>
        <v>-0.3303061355194058</v>
      </c>
      <c r="AB50" s="821">
        <f t="shared" si="28"/>
        <v>-0.3303061355194058</v>
      </c>
      <c r="AC50" s="821">
        <f t="shared" si="28"/>
        <v>-6.677122582866335E-2</v>
      </c>
      <c r="AD50" s="821">
        <f>L39</f>
        <v>-6.677122582866335E-2</v>
      </c>
      <c r="AE50" s="821">
        <f>L39</f>
        <v>-6.677122582866335E-2</v>
      </c>
      <c r="AF50" s="821">
        <f t="shared" si="29"/>
        <v>-6.677122582866335E-2</v>
      </c>
      <c r="AG50" s="821">
        <f t="shared" si="29"/>
        <v>7.3300950975569767E-2</v>
      </c>
      <c r="AH50" s="821">
        <f>M39</f>
        <v>7.3300950975569767E-2</v>
      </c>
      <c r="AI50" s="821">
        <f>M39</f>
        <v>7.3300950975569767E-2</v>
      </c>
      <c r="AJ50" s="821">
        <f>M39</f>
        <v>7.3300950975569767E-2</v>
      </c>
    </row>
    <row r="51" spans="4:41" ht="14.9" customHeight="1" x14ac:dyDescent="0.35">
      <c r="D51" s="765"/>
      <c r="E51" s="764"/>
      <c r="F51" s="776"/>
      <c r="G51" s="776"/>
      <c r="H51" s="906"/>
      <c r="I51" s="906"/>
      <c r="J51" s="906"/>
      <c r="K51" s="906"/>
      <c r="L51" s="906"/>
      <c r="M51" s="821">
        <f>H40</f>
        <v>0.39462341197822148</v>
      </c>
      <c r="N51" s="821">
        <f>H40</f>
        <v>0.39462341197822148</v>
      </c>
      <c r="O51" s="821">
        <f>H40</f>
        <v>0.39462341197822148</v>
      </c>
      <c r="P51" s="821">
        <f t="shared" si="30"/>
        <v>0.39462341197822148</v>
      </c>
      <c r="Q51" s="821">
        <f t="shared" si="30"/>
        <v>0.16320577470516473</v>
      </c>
      <c r="R51" s="821">
        <f>I40</f>
        <v>0.16320577470516473</v>
      </c>
      <c r="S51" s="821">
        <f>I40</f>
        <v>0.16320577470516473</v>
      </c>
      <c r="T51" s="821">
        <f t="shared" si="31"/>
        <v>0.16320577470516473</v>
      </c>
      <c r="U51" s="821">
        <f t="shared" si="31"/>
        <v>-1.2434479495936457E-2</v>
      </c>
      <c r="V51" s="821">
        <f>J40</f>
        <v>-1.2434479495936457E-2</v>
      </c>
      <c r="W51" s="821">
        <f>J40</f>
        <v>-1.2434479495936457E-2</v>
      </c>
      <c r="X51" s="821">
        <f>J40</f>
        <v>-1.2434479495936457E-2</v>
      </c>
      <c r="Y51" s="821">
        <f>K40</f>
        <v>0.11283890710799263</v>
      </c>
      <c r="Z51" s="821">
        <f>K40</f>
        <v>0.11283890710799263</v>
      </c>
      <c r="AA51" s="821">
        <f>K40</f>
        <v>0.11283890710799263</v>
      </c>
      <c r="AB51" s="821">
        <f t="shared" si="28"/>
        <v>0.11283890710799263</v>
      </c>
      <c r="AC51" s="821">
        <f t="shared" si="28"/>
        <v>0.13832537221604688</v>
      </c>
      <c r="AD51" s="821">
        <f>L40</f>
        <v>0.13832537221604688</v>
      </c>
      <c r="AE51" s="821">
        <f>L40</f>
        <v>0.13832537221604688</v>
      </c>
      <c r="AF51" s="821">
        <f t="shared" si="29"/>
        <v>0.13832537221604688</v>
      </c>
      <c r="AG51" s="821">
        <f t="shared" si="29"/>
        <v>-2.4487369219047511E-2</v>
      </c>
      <c r="AH51" s="821">
        <f>O40</f>
        <v>0</v>
      </c>
      <c r="AI51" s="821" t="e">
        <f>#REF!</f>
        <v>#REF!</v>
      </c>
      <c r="AJ51" s="821">
        <f>P40</f>
        <v>0</v>
      </c>
    </row>
    <row r="52" spans="4:41" ht="14.9" customHeight="1" x14ac:dyDescent="0.35">
      <c r="D52" s="765"/>
      <c r="E52" s="764"/>
      <c r="F52" s="776"/>
      <c r="G52" s="776"/>
      <c r="H52" s="906"/>
      <c r="I52" s="906"/>
      <c r="J52" s="858"/>
      <c r="K52" s="906"/>
      <c r="L52" s="906"/>
    </row>
    <row r="53" spans="4:41" ht="14.9" customHeight="1" x14ac:dyDescent="0.35">
      <c r="D53" s="765"/>
      <c r="E53" s="764"/>
      <c r="F53" s="776"/>
      <c r="G53" s="776"/>
      <c r="H53" s="906"/>
      <c r="I53" s="906"/>
      <c r="J53" s="906"/>
      <c r="K53" s="906"/>
      <c r="L53" s="906"/>
    </row>
    <row r="54" spans="4:41" ht="41.9" customHeight="1" x14ac:dyDescent="0.35">
      <c r="F54" s="235"/>
      <c r="G54" s="235"/>
      <c r="H54" s="704"/>
      <c r="I54" s="704"/>
      <c r="J54" s="704"/>
      <c r="K54" s="704"/>
      <c r="L54" s="704"/>
      <c r="M54" s="235" t="s">
        <v>1915</v>
      </c>
      <c r="N54" s="271"/>
      <c r="AF54" s="704"/>
      <c r="AG54" s="704"/>
      <c r="AH54" s="704"/>
      <c r="AI54" s="704"/>
      <c r="AJ54" s="704"/>
      <c r="AK54" s="704"/>
      <c r="AL54" s="704"/>
      <c r="AN54" s="704"/>
      <c r="AO54" s="704"/>
    </row>
    <row r="55" spans="4:41" ht="30.75" customHeight="1" x14ac:dyDescent="0.35">
      <c r="D55" s="884" t="s">
        <v>1974</v>
      </c>
      <c r="E55" s="654">
        <v>2018</v>
      </c>
      <c r="F55" s="886">
        <v>2019</v>
      </c>
      <c r="G55" s="886">
        <v>2020</v>
      </c>
      <c r="H55" s="886">
        <v>2021</v>
      </c>
      <c r="I55" s="886">
        <v>2022</v>
      </c>
      <c r="J55" s="808">
        <v>2023</v>
      </c>
      <c r="K55" s="811">
        <v>2024</v>
      </c>
      <c r="L55" s="831">
        <v>2025</v>
      </c>
      <c r="M55" s="805">
        <v>2026</v>
      </c>
      <c r="N55" s="798"/>
      <c r="O55" s="224"/>
    </row>
    <row r="56" spans="4:41" ht="30.75" customHeight="1" x14ac:dyDescent="0.35">
      <c r="D56" s="887" t="s">
        <v>489</v>
      </c>
      <c r="E56" s="888">
        <v>1683.5</v>
      </c>
      <c r="F56" s="888">
        <v>1717.9</v>
      </c>
      <c r="G56" s="888">
        <v>1609</v>
      </c>
      <c r="H56" s="364">
        <v>2044.377</v>
      </c>
      <c r="I56" s="458">
        <v>2632.145</v>
      </c>
      <c r="J56" s="458">
        <v>2176.4810000000002</v>
      </c>
      <c r="K56" s="458">
        <v>2426.067</v>
      </c>
      <c r="L56" s="458">
        <v>2621.3420000000001</v>
      </c>
      <c r="M56" s="806">
        <f>2968.42-177</f>
        <v>2791.42</v>
      </c>
      <c r="N56" s="828">
        <v>3252.893</v>
      </c>
      <c r="O56" s="427">
        <v>3355.3890000000001</v>
      </c>
      <c r="P56" s="427">
        <v>3454.9960000000001</v>
      </c>
      <c r="Q56" s="427">
        <v>3583.7379999999998</v>
      </c>
      <c r="R56" s="427">
        <v>3720.614</v>
      </c>
      <c r="S56" s="427">
        <v>3869.8490000000002</v>
      </c>
      <c r="T56" s="427">
        <v>4036.6990000000001</v>
      </c>
      <c r="U56" s="427">
        <v>4220.3469999999998</v>
      </c>
      <c r="V56" s="427">
        <v>4412.8320000000003</v>
      </c>
    </row>
    <row r="57" spans="4:41" ht="30.75" customHeight="1" x14ac:dyDescent="0.35">
      <c r="D57" s="1217" t="s">
        <v>2295</v>
      </c>
      <c r="E57" s="828"/>
      <c r="F57" s="828"/>
      <c r="G57" s="828"/>
      <c r="H57" s="618">
        <f>((H56/G56)-1)*100</f>
        <v>27.058856432566802</v>
      </c>
      <c r="I57" s="618">
        <f t="shared" ref="I57:U57" si="32">((I56/H56)-1)*100</f>
        <v>28.750470192141677</v>
      </c>
      <c r="J57" s="618">
        <f t="shared" si="32"/>
        <v>-17.311508294565826</v>
      </c>
      <c r="K57" s="618">
        <f t="shared" si="32"/>
        <v>11.46741000725482</v>
      </c>
      <c r="L57" s="618">
        <f t="shared" si="32"/>
        <v>8.0490357438603333</v>
      </c>
      <c r="M57" s="618">
        <f t="shared" si="32"/>
        <v>6.4882033706399334</v>
      </c>
      <c r="N57" s="618">
        <f t="shared" si="32"/>
        <v>16.531836842897164</v>
      </c>
      <c r="O57" s="618">
        <f t="shared" si="32"/>
        <v>3.1509182749017706</v>
      </c>
      <c r="P57" s="618">
        <f t="shared" si="32"/>
        <v>2.9685678769287183</v>
      </c>
      <c r="Q57" s="618">
        <f t="shared" si="32"/>
        <v>3.726256123017202</v>
      </c>
      <c r="R57" s="618">
        <f t="shared" si="32"/>
        <v>3.8193640271694029</v>
      </c>
      <c r="S57" s="618">
        <f t="shared" si="32"/>
        <v>4.0110315125406748</v>
      </c>
      <c r="T57" s="618">
        <f t="shared" si="32"/>
        <v>4.3115377370021468</v>
      </c>
      <c r="U57" s="618">
        <f t="shared" si="32"/>
        <v>4.5494598433026612</v>
      </c>
      <c r="V57" s="427"/>
    </row>
    <row r="58" spans="4:41" ht="16.5" customHeight="1" x14ac:dyDescent="0.35">
      <c r="D58" s="801" t="s">
        <v>490</v>
      </c>
      <c r="E58" s="828">
        <v>1170.7</v>
      </c>
      <c r="F58" s="828">
        <v>1243.4000000000001</v>
      </c>
      <c r="G58" s="828">
        <v>1310</v>
      </c>
      <c r="H58" s="427">
        <v>1314.088</v>
      </c>
      <c r="I58" s="232">
        <v>1483.5260000000001</v>
      </c>
      <c r="J58" s="232">
        <v>1614.4559999999999</v>
      </c>
      <c r="K58" s="232">
        <v>1708.9259999999999</v>
      </c>
      <c r="L58" s="232">
        <v>1758.6220000000001</v>
      </c>
      <c r="M58" s="809">
        <v>1840.2550000000001</v>
      </c>
      <c r="N58" s="232">
        <v>1915.35</v>
      </c>
      <c r="O58" s="232">
        <v>1989.9770000000001</v>
      </c>
      <c r="P58" s="232">
        <v>2071.8760000000002</v>
      </c>
      <c r="Q58" s="232">
        <v>2155.48</v>
      </c>
      <c r="R58" s="232">
        <v>2241.7910000000002</v>
      </c>
      <c r="S58" s="232">
        <v>2329.39</v>
      </c>
      <c r="T58" s="232">
        <v>2418.5300000000002</v>
      </c>
      <c r="U58" s="232">
        <v>2510.3110000000001</v>
      </c>
      <c r="V58" s="232">
        <v>2605.1819999999998</v>
      </c>
    </row>
    <row r="59" spans="4:41" x14ac:dyDescent="0.35">
      <c r="D59" s="548" t="s">
        <v>491</v>
      </c>
      <c r="E59" s="427">
        <f>E60+E61</f>
        <v>136.30000000000001</v>
      </c>
      <c r="F59" s="427">
        <f t="shared" ref="F59:K59" si="33">F60+F61</f>
        <v>170.6</v>
      </c>
      <c r="G59" s="427">
        <f t="shared" si="33"/>
        <v>156</v>
      </c>
      <c r="H59" s="427">
        <f t="shared" si="33"/>
        <v>155.25900000000001</v>
      </c>
      <c r="I59" s="427">
        <f t="shared" si="33"/>
        <v>188</v>
      </c>
      <c r="J59" s="427">
        <f t="shared" si="33"/>
        <v>156.14000000000001</v>
      </c>
      <c r="K59" s="427">
        <f t="shared" si="33"/>
        <v>104.566</v>
      </c>
      <c r="L59" s="427">
        <f>L60+L61</f>
        <v>97.583999999999989</v>
      </c>
      <c r="M59" s="826">
        <f>M60+M61</f>
        <v>104.73699999999999</v>
      </c>
      <c r="N59" s="317"/>
      <c r="P59" s="795"/>
      <c r="Q59" s="795"/>
      <c r="R59" s="795"/>
      <c r="S59" s="795"/>
      <c r="T59" s="795"/>
      <c r="U59" s="795"/>
      <c r="V59" s="795"/>
      <c r="W59" s="795"/>
    </row>
    <row r="60" spans="4:41" x14ac:dyDescent="0.35">
      <c r="D60" s="666" t="s">
        <v>1911</v>
      </c>
      <c r="E60" s="828">
        <v>95</v>
      </c>
      <c r="F60" s="828">
        <v>99.8</v>
      </c>
      <c r="G60" s="828">
        <v>87</v>
      </c>
      <c r="H60" s="427">
        <v>75.274000000000001</v>
      </c>
      <c r="I60" s="827">
        <v>88</v>
      </c>
      <c r="J60" s="807">
        <v>75.802000000000007</v>
      </c>
      <c r="K60" s="427">
        <v>101.435</v>
      </c>
      <c r="L60" s="427">
        <v>91.840999999999994</v>
      </c>
      <c r="M60" s="826">
        <v>97.257999999999996</v>
      </c>
      <c r="N60" s="427">
        <v>97.07</v>
      </c>
      <c r="O60" s="427">
        <v>95.424000000000007</v>
      </c>
      <c r="P60" s="427">
        <v>96.096000000000004</v>
      </c>
      <c r="Q60" s="427">
        <v>96.950999999999993</v>
      </c>
      <c r="R60" s="427">
        <v>95.209000000000003</v>
      </c>
      <c r="S60" s="427">
        <v>95.295000000000002</v>
      </c>
      <c r="T60" s="427">
        <v>95.778999999999996</v>
      </c>
      <c r="U60" s="427">
        <v>95.177000000000007</v>
      </c>
      <c r="V60" s="427">
        <v>97.59</v>
      </c>
      <c r="W60" s="427">
        <v>482.79899999999998</v>
      </c>
      <c r="X60" s="427">
        <v>961.84900000000005</v>
      </c>
    </row>
    <row r="61" spans="4:41" ht="16.5" customHeight="1" x14ac:dyDescent="0.35">
      <c r="D61" s="518" t="s">
        <v>1910</v>
      </c>
      <c r="E61" s="828">
        <v>41.3</v>
      </c>
      <c r="F61" s="828">
        <v>70.8</v>
      </c>
      <c r="G61" s="828">
        <v>69</v>
      </c>
      <c r="H61" s="427">
        <v>79.984999999999999</v>
      </c>
      <c r="I61" s="827">
        <v>100</v>
      </c>
      <c r="J61" s="807">
        <v>80.338000000000008</v>
      </c>
      <c r="K61" s="427">
        <v>3.1309999999999998</v>
      </c>
      <c r="L61" s="427">
        <v>5.7430000000000003</v>
      </c>
      <c r="M61" s="826">
        <v>7.4790000000000001</v>
      </c>
      <c r="N61" s="427">
        <v>8.5269999999999992</v>
      </c>
      <c r="O61" s="427">
        <v>10.417999999999999</v>
      </c>
      <c r="P61" s="427">
        <v>13.132999999999999</v>
      </c>
      <c r="Q61" s="427">
        <v>60.585000000000001</v>
      </c>
      <c r="R61" s="427">
        <v>111.67100000000001</v>
      </c>
      <c r="S61" s="427">
        <v>127.24</v>
      </c>
      <c r="T61" s="427">
        <v>135.52000000000001</v>
      </c>
      <c r="U61" s="427">
        <v>145.34800000000001</v>
      </c>
      <c r="V61" s="427">
        <v>154.94300000000001</v>
      </c>
      <c r="W61" s="427">
        <v>100.142</v>
      </c>
      <c r="X61" s="427">
        <v>774.86400000000003</v>
      </c>
      <c r="Y61" s="777"/>
      <c r="Z61" s="794"/>
    </row>
    <row r="62" spans="4:41" ht="16.5" customHeight="1" x14ac:dyDescent="0.35">
      <c r="D62" s="889" t="s">
        <v>106</v>
      </c>
      <c r="E62" s="890">
        <v>204.7</v>
      </c>
      <c r="F62" s="890">
        <v>230.2</v>
      </c>
      <c r="G62" s="890">
        <v>212</v>
      </c>
      <c r="H62" s="761">
        <v>371.83100000000002</v>
      </c>
      <c r="I62" s="481">
        <v>424.86700000000002</v>
      </c>
      <c r="J62" s="481">
        <v>419.584</v>
      </c>
      <c r="K62" s="481">
        <v>529.86699999999996</v>
      </c>
      <c r="L62" s="481">
        <v>523.68100000000004</v>
      </c>
      <c r="M62" s="857">
        <v>495.14699999999999</v>
      </c>
      <c r="N62" s="824">
        <v>468.97699999999998</v>
      </c>
      <c r="O62" s="810">
        <v>462.33800000000002</v>
      </c>
      <c r="P62" s="824">
        <v>452.81200000000001</v>
      </c>
      <c r="Q62" s="824">
        <v>450.154</v>
      </c>
      <c r="R62" s="824">
        <v>455.77699999999999</v>
      </c>
      <c r="S62" s="824">
        <v>467.89699999999999</v>
      </c>
      <c r="T62" s="824">
        <v>493.13400000000001</v>
      </c>
      <c r="U62" s="824">
        <v>503.37799999999999</v>
      </c>
      <c r="V62" s="824">
        <v>517.11500000000001</v>
      </c>
      <c r="W62" s="793"/>
      <c r="X62" s="777"/>
      <c r="Y62" s="777"/>
      <c r="Z62" s="794"/>
    </row>
    <row r="63" spans="4:41" ht="16.5" customHeight="1" x14ac:dyDescent="0.35">
      <c r="K63" s="70">
        <f>SUM(K56:K61)</f>
        <v>4355.5924100072552</v>
      </c>
      <c r="L63" s="70">
        <f t="shared" ref="L63:M63" si="34">SUM(L56:L61)</f>
        <v>4583.1810357438608</v>
      </c>
      <c r="M63" s="70">
        <f t="shared" si="34"/>
        <v>4847.6372033706402</v>
      </c>
    </row>
    <row r="64" spans="4:41" x14ac:dyDescent="0.35">
      <c r="D64" s="600" t="s">
        <v>492</v>
      </c>
      <c r="E64" s="654">
        <v>2018</v>
      </c>
      <c r="F64" s="705">
        <v>2019</v>
      </c>
      <c r="G64" s="705">
        <v>2020</v>
      </c>
      <c r="H64" s="803">
        <v>2021</v>
      </c>
      <c r="I64" s="705">
        <v>2022</v>
      </c>
      <c r="J64" s="803">
        <v>2023</v>
      </c>
      <c r="K64" s="799">
        <v>2024</v>
      </c>
      <c r="L64" s="799">
        <v>2025</v>
      </c>
      <c r="M64" s="805">
        <v>2026</v>
      </c>
      <c r="O64" s="512" t="s">
        <v>493</v>
      </c>
    </row>
    <row r="65" spans="4:22" ht="14.9" customHeight="1" x14ac:dyDescent="0.35">
      <c r="D65" s="768" t="s">
        <v>489</v>
      </c>
      <c r="E65" s="306">
        <v>1622</v>
      </c>
      <c r="F65" s="306">
        <v>1687</v>
      </c>
      <c r="G65" s="833">
        <f t="shared" ref="G65:M65" si="35">G32</f>
        <v>1712.5250000000001</v>
      </c>
      <c r="H65" s="833">
        <f t="shared" si="35"/>
        <v>2025.3000000000002</v>
      </c>
      <c r="I65" s="833">
        <f t="shared" si="35"/>
        <v>2519.5</v>
      </c>
      <c r="J65" s="824">
        <f t="shared" si="35"/>
        <v>2083.336548518414</v>
      </c>
      <c r="K65" s="824">
        <f t="shared" si="35"/>
        <v>2322.2412923680117</v>
      </c>
      <c r="L65" s="824">
        <f t="shared" si="35"/>
        <v>2509.1593240493971</v>
      </c>
      <c r="M65" s="846">
        <f t="shared" si="35"/>
        <v>2671.958683887096</v>
      </c>
    </row>
    <row r="66" spans="4:22" x14ac:dyDescent="0.35">
      <c r="D66" s="792" t="s">
        <v>494</v>
      </c>
      <c r="E66" s="219">
        <v>1332</v>
      </c>
      <c r="F66" s="219">
        <v>1388</v>
      </c>
      <c r="G66" s="824">
        <f t="shared" ref="G66:I68" si="36">G33</f>
        <v>1424.5250000000001</v>
      </c>
      <c r="H66" s="824">
        <f t="shared" si="36"/>
        <v>1509.7249999999999</v>
      </c>
      <c r="I66" s="824">
        <f t="shared" si="36"/>
        <v>1656.375</v>
      </c>
      <c r="J66" s="824">
        <f t="shared" ref="J66:M66" si="37">J33</f>
        <v>1802.5599531117082</v>
      </c>
      <c r="K66" s="824">
        <f t="shared" si="37"/>
        <v>1908.0368684134958</v>
      </c>
      <c r="L66" s="824">
        <f t="shared" si="37"/>
        <v>1963.5230627909452</v>
      </c>
      <c r="M66" s="846">
        <f t="shared" si="37"/>
        <v>2054.6673099258119</v>
      </c>
      <c r="N66" s="775"/>
    </row>
    <row r="67" spans="4:22" x14ac:dyDescent="0.35">
      <c r="D67" s="792" t="s">
        <v>105</v>
      </c>
      <c r="E67" s="219">
        <v>150</v>
      </c>
      <c r="F67" s="219">
        <v>175</v>
      </c>
      <c r="G67" s="824">
        <f t="shared" si="36"/>
        <v>160.375</v>
      </c>
      <c r="H67" s="824">
        <f t="shared" si="36"/>
        <v>171.3</v>
      </c>
      <c r="I67" s="824">
        <f t="shared" si="36"/>
        <v>203.05</v>
      </c>
      <c r="J67" s="824">
        <f t="shared" ref="J67:M67" si="38">J34</f>
        <v>168.63950531914898</v>
      </c>
      <c r="K67" s="824">
        <f t="shared" si="38"/>
        <v>112.9368420212766</v>
      </c>
      <c r="L67" s="824">
        <f t="shared" si="38"/>
        <v>105.39591063829786</v>
      </c>
      <c r="M67" s="846">
        <f t="shared" si="38"/>
        <v>113.12153111702128</v>
      </c>
      <c r="N67" s="775"/>
    </row>
    <row r="68" spans="4:22" x14ac:dyDescent="0.35">
      <c r="D68" s="909" t="s">
        <v>257</v>
      </c>
      <c r="E68" s="491">
        <v>208</v>
      </c>
      <c r="F68" s="491">
        <v>219</v>
      </c>
      <c r="G68" s="834">
        <f t="shared" si="36"/>
        <v>220.4</v>
      </c>
      <c r="H68" s="834">
        <f t="shared" si="36"/>
        <v>307.375</v>
      </c>
      <c r="I68" s="834">
        <f t="shared" si="36"/>
        <v>389.2</v>
      </c>
      <c r="J68" s="834">
        <f t="shared" ref="J68:M68" si="39">J35</f>
        <v>384.36050058018151</v>
      </c>
      <c r="K68" s="834">
        <f t="shared" si="39"/>
        <v>485.38539448815737</v>
      </c>
      <c r="L68" s="834">
        <f t="shared" si="39"/>
        <v>479.71870067574088</v>
      </c>
      <c r="M68" s="857">
        <f t="shared" si="39"/>
        <v>453.58009071074002</v>
      </c>
      <c r="O68" s="1256" t="s">
        <v>891</v>
      </c>
      <c r="P68" s="1256" t="s">
        <v>891</v>
      </c>
      <c r="Q68" s="1256" t="s">
        <v>891</v>
      </c>
      <c r="R68" s="1256" t="s">
        <v>891</v>
      </c>
      <c r="S68" s="1256" t="s">
        <v>891</v>
      </c>
      <c r="T68" s="1256" t="s">
        <v>891</v>
      </c>
      <c r="U68" s="1256" t="s">
        <v>891</v>
      </c>
      <c r="V68" s="1257" t="s">
        <v>891</v>
      </c>
    </row>
    <row r="69" spans="4:22" ht="14.9" customHeight="1" x14ac:dyDescent="0.35">
      <c r="D69" s="255"/>
      <c r="E69" s="219"/>
      <c r="F69" s="219"/>
      <c r="G69" s="219"/>
      <c r="P69" s="1258">
        <v>2022</v>
      </c>
      <c r="Q69" s="1259">
        <v>2022</v>
      </c>
      <c r="R69" s="1259">
        <v>2022</v>
      </c>
      <c r="S69" s="1260">
        <v>2022</v>
      </c>
    </row>
    <row r="70" spans="4:22" ht="17.25" customHeight="1" x14ac:dyDescent="0.35">
      <c r="D70" s="220" t="s">
        <v>496</v>
      </c>
      <c r="E70" s="219"/>
      <c r="F70" s="219"/>
      <c r="G70" s="219"/>
      <c r="P70" s="102" t="s">
        <v>892</v>
      </c>
      <c r="Q70" s="102" t="s">
        <v>893</v>
      </c>
      <c r="R70" s="102" t="s">
        <v>894</v>
      </c>
      <c r="S70" s="102" t="s">
        <v>895</v>
      </c>
      <c r="T70" s="109" t="s">
        <v>908</v>
      </c>
    </row>
    <row r="71" spans="4:22" ht="30" customHeight="1" x14ac:dyDescent="0.35">
      <c r="D71" s="841" t="s">
        <v>497</v>
      </c>
      <c r="E71" s="705">
        <v>2018</v>
      </c>
      <c r="F71" s="705">
        <v>2019</v>
      </c>
      <c r="G71" s="705">
        <v>2020</v>
      </c>
      <c r="H71" s="803">
        <v>2021</v>
      </c>
      <c r="I71" s="705">
        <v>2022</v>
      </c>
      <c r="J71" s="705">
        <v>2023</v>
      </c>
      <c r="K71" s="832">
        <v>2024</v>
      </c>
      <c r="L71" s="832">
        <v>2025</v>
      </c>
      <c r="M71" s="805">
        <v>2026</v>
      </c>
      <c r="O71" s="30" t="s">
        <v>495</v>
      </c>
      <c r="P71" s="108">
        <v>2973</v>
      </c>
      <c r="Q71" s="108">
        <v>3062.8</v>
      </c>
      <c r="R71" s="108">
        <v>3085.2</v>
      </c>
      <c r="S71" s="885">
        <v>2106.1999999999998</v>
      </c>
      <c r="T71" s="108">
        <v>3123.2</v>
      </c>
    </row>
    <row r="72" spans="4:22" x14ac:dyDescent="0.35">
      <c r="D72" s="768" t="s">
        <v>489</v>
      </c>
      <c r="E72" s="842">
        <f t="shared" ref="E72:M72" si="40">E65/E56</f>
        <v>0.96346896346896349</v>
      </c>
      <c r="F72" s="842">
        <f t="shared" si="40"/>
        <v>0.98201292275452579</v>
      </c>
      <c r="G72" s="842">
        <f t="shared" si="40"/>
        <v>1.0643412057178372</v>
      </c>
      <c r="H72" s="842">
        <f t="shared" si="40"/>
        <v>0.99066855085925942</v>
      </c>
      <c r="I72" s="842">
        <f t="shared" si="40"/>
        <v>0.95720410539692913</v>
      </c>
      <c r="J72" s="842">
        <f t="shared" si="40"/>
        <v>0.95720410539692913</v>
      </c>
      <c r="K72" s="842">
        <f t="shared" si="40"/>
        <v>0.95720410539692913</v>
      </c>
      <c r="L72" s="842">
        <f t="shared" si="40"/>
        <v>0.95720410539692913</v>
      </c>
      <c r="M72" s="825">
        <f t="shared" si="40"/>
        <v>0.95720410539692913</v>
      </c>
      <c r="T72" s="224"/>
    </row>
    <row r="73" spans="4:22" x14ac:dyDescent="0.35">
      <c r="D73" s="792" t="s">
        <v>494</v>
      </c>
      <c r="E73" s="618">
        <f t="shared" ref="E73:J74" si="41">E66/E58</f>
        <v>1.1377808148970701</v>
      </c>
      <c r="F73" s="618">
        <f t="shared" si="41"/>
        <v>1.1162940324915553</v>
      </c>
      <c r="G73" s="618">
        <f t="shared" si="41"/>
        <v>1.0874236641221375</v>
      </c>
      <c r="H73" s="618">
        <f t="shared" si="41"/>
        <v>1.1488766353547097</v>
      </c>
      <c r="I73" s="618">
        <f t="shared" si="41"/>
        <v>1.1165122822249154</v>
      </c>
      <c r="J73" s="618">
        <f t="shared" si="41"/>
        <v>1.1165122822249156</v>
      </c>
      <c r="K73" s="618">
        <f t="shared" ref="K73:M74" si="42">K66/K58</f>
        <v>1.1165122822249154</v>
      </c>
      <c r="L73" s="618">
        <f t="shared" si="42"/>
        <v>1.1165122822249154</v>
      </c>
      <c r="M73" s="619">
        <f t="shared" si="42"/>
        <v>1.1165122822249154</v>
      </c>
    </row>
    <row r="74" spans="4:22" x14ac:dyDescent="0.35">
      <c r="D74" s="792" t="s">
        <v>105</v>
      </c>
      <c r="E74" s="618">
        <f t="shared" si="41"/>
        <v>1.1005135730007336</v>
      </c>
      <c r="F74" s="618">
        <f t="shared" si="41"/>
        <v>1.0257913247362251</v>
      </c>
      <c r="G74" s="618">
        <f t="shared" si="41"/>
        <v>1.0280448717948718</v>
      </c>
      <c r="H74" s="618">
        <f t="shared" si="41"/>
        <v>1.1033176820667401</v>
      </c>
      <c r="I74" s="618">
        <f t="shared" si="41"/>
        <v>1.0800531914893619</v>
      </c>
      <c r="J74" s="618">
        <f t="shared" si="41"/>
        <v>1.0800531914893619</v>
      </c>
      <c r="K74" s="618">
        <f t="shared" si="42"/>
        <v>1.0800531914893619</v>
      </c>
      <c r="L74" s="618">
        <f t="shared" si="42"/>
        <v>1.0800531914893616</v>
      </c>
      <c r="M74" s="619">
        <f t="shared" si="42"/>
        <v>1.0800531914893619</v>
      </c>
    </row>
    <row r="75" spans="4:22" x14ac:dyDescent="0.35">
      <c r="D75" s="909" t="s">
        <v>257</v>
      </c>
      <c r="E75" s="911">
        <f t="shared" ref="E75:I75" si="43">E68/E62</f>
        <v>1.0161211529066927</v>
      </c>
      <c r="F75" s="911">
        <f t="shared" si="43"/>
        <v>0.95134665508253702</v>
      </c>
      <c r="G75" s="911">
        <f t="shared" si="43"/>
        <v>1.0396226415094341</v>
      </c>
      <c r="H75" s="911">
        <f t="shared" si="43"/>
        <v>0.82665243080862005</v>
      </c>
      <c r="I75" s="911">
        <f t="shared" si="43"/>
        <v>0.91605137607769016</v>
      </c>
      <c r="J75" s="911">
        <f t="shared" ref="J75:M75" si="44">J68/J60</f>
        <v>5.070585216487447</v>
      </c>
      <c r="K75" s="911">
        <f t="shared" si="44"/>
        <v>4.7851865183433464</v>
      </c>
      <c r="L75" s="911">
        <f t="shared" si="44"/>
        <v>5.2233610334789571</v>
      </c>
      <c r="M75" s="802">
        <f t="shared" si="44"/>
        <v>4.6636789848726075</v>
      </c>
    </row>
    <row r="77" spans="4:22" x14ac:dyDescent="0.35">
      <c r="D77" s="255"/>
      <c r="E77" s="219"/>
      <c r="F77" s="219"/>
      <c r="G77" s="219"/>
    </row>
    <row r="78" spans="4:22" x14ac:dyDescent="0.35">
      <c r="D78" s="235"/>
    </row>
    <row r="79" spans="4:22" ht="30" customHeight="1" x14ac:dyDescent="0.35">
      <c r="D79" s="812" t="s">
        <v>1975</v>
      </c>
      <c r="E79" s="654">
        <v>2018</v>
      </c>
      <c r="F79" s="886">
        <v>2019</v>
      </c>
      <c r="G79" s="886">
        <v>2020</v>
      </c>
      <c r="H79" s="808">
        <v>2021</v>
      </c>
      <c r="I79" s="886">
        <v>2022</v>
      </c>
      <c r="J79" s="886">
        <v>2023</v>
      </c>
      <c r="K79" s="891">
        <v>2024</v>
      </c>
      <c r="L79" s="891">
        <v>2025</v>
      </c>
      <c r="M79" s="805">
        <v>2026</v>
      </c>
    </row>
    <row r="80" spans="4:22" x14ac:dyDescent="0.35">
      <c r="D80" s="557" t="s">
        <v>1913</v>
      </c>
      <c r="E80" s="364">
        <v>14016.099999999999</v>
      </c>
      <c r="F80" s="364">
        <v>14604.2</v>
      </c>
      <c r="G80" s="364">
        <v>14711.300000000001</v>
      </c>
      <c r="H80" s="779">
        <v>21015.3</v>
      </c>
      <c r="I80" s="364">
        <v>21762.3</v>
      </c>
      <c r="J80" s="364">
        <v>23112</v>
      </c>
      <c r="K80" s="364">
        <v>24369</v>
      </c>
      <c r="L80" s="364">
        <v>25562.2</v>
      </c>
      <c r="M80" s="806">
        <v>26815.3</v>
      </c>
      <c r="N80" s="427">
        <v>28003.5</v>
      </c>
      <c r="O80" s="427">
        <v>29281.8</v>
      </c>
      <c r="P80" s="427">
        <v>30603</v>
      </c>
      <c r="Q80" s="427">
        <v>31928</v>
      </c>
      <c r="R80" s="427">
        <v>33261.4</v>
      </c>
      <c r="S80" s="427">
        <v>34629.4</v>
      </c>
      <c r="T80" s="427">
        <v>36043</v>
      </c>
      <c r="U80" s="427">
        <v>37506.6</v>
      </c>
      <c r="V80" s="427">
        <v>39046.400000000001</v>
      </c>
    </row>
    <row r="81" spans="4:25" x14ac:dyDescent="0.35">
      <c r="D81" s="792" t="s">
        <v>499</v>
      </c>
      <c r="E81" s="219">
        <v>8804</v>
      </c>
      <c r="F81" s="219">
        <v>9209</v>
      </c>
      <c r="G81" s="427">
        <v>9300</v>
      </c>
      <c r="H81" s="840">
        <v>10074.1</v>
      </c>
      <c r="I81" s="427">
        <v>10981.9</v>
      </c>
      <c r="J81" s="427">
        <v>11567.7</v>
      </c>
      <c r="K81" s="427">
        <v>12251.7</v>
      </c>
      <c r="L81" s="427">
        <v>12861.2</v>
      </c>
      <c r="M81" s="826">
        <v>13479</v>
      </c>
      <c r="N81" s="427">
        <v>14051.2</v>
      </c>
      <c r="O81" s="427">
        <v>14645.1</v>
      </c>
      <c r="P81" s="427">
        <v>15252.3</v>
      </c>
      <c r="Q81" s="427">
        <v>15861.9</v>
      </c>
      <c r="R81" s="427">
        <v>16483.3</v>
      </c>
      <c r="S81" s="427">
        <v>17122.599999999999</v>
      </c>
      <c r="T81" s="427">
        <v>17774.400000000001</v>
      </c>
      <c r="U81" s="427">
        <v>18450.599999999999</v>
      </c>
      <c r="V81" s="427">
        <v>19151.3</v>
      </c>
    </row>
    <row r="82" spans="4:25" x14ac:dyDescent="0.35">
      <c r="D82" s="792" t="s">
        <v>500</v>
      </c>
      <c r="E82" s="219">
        <v>13844</v>
      </c>
      <c r="F82" s="219">
        <v>14403</v>
      </c>
      <c r="G82" s="427">
        <v>14201</v>
      </c>
      <c r="H82" s="840">
        <v>15545.1</v>
      </c>
      <c r="I82" s="427">
        <v>17367.8</v>
      </c>
      <c r="J82" s="427">
        <v>18557.3</v>
      </c>
      <c r="K82" s="427">
        <v>19551.5</v>
      </c>
      <c r="L82" s="427">
        <v>20519.400000000001</v>
      </c>
      <c r="M82" s="826">
        <v>21319.200000000001</v>
      </c>
      <c r="N82" s="427">
        <v>22072.799999999999</v>
      </c>
      <c r="O82" s="427">
        <v>22860.5</v>
      </c>
      <c r="P82" s="427">
        <v>23741.7</v>
      </c>
      <c r="Q82" s="427">
        <v>24698.799999999999</v>
      </c>
      <c r="R82" s="427">
        <v>25739.1</v>
      </c>
      <c r="S82" s="427">
        <v>26824.9</v>
      </c>
      <c r="T82" s="427">
        <v>27957.200000000001</v>
      </c>
      <c r="U82" s="427">
        <v>29140.3</v>
      </c>
      <c r="V82" s="427">
        <v>30362.400000000001</v>
      </c>
    </row>
    <row r="83" spans="4:25" x14ac:dyDescent="0.35">
      <c r="D83" s="909" t="s">
        <v>1912</v>
      </c>
      <c r="E83" s="761">
        <v>2335</v>
      </c>
      <c r="F83" s="761">
        <v>2442</v>
      </c>
      <c r="G83" s="761">
        <v>2392</v>
      </c>
      <c r="H83" s="892">
        <v>2796</v>
      </c>
      <c r="I83" s="761">
        <v>3262.7</v>
      </c>
      <c r="J83" s="761">
        <v>3457.5</v>
      </c>
      <c r="K83" s="761">
        <v>3764.8</v>
      </c>
      <c r="L83" s="761">
        <v>3887.7</v>
      </c>
      <c r="M83" s="813">
        <v>3921.8</v>
      </c>
      <c r="N83" s="427">
        <v>3946.5</v>
      </c>
      <c r="O83" s="427">
        <v>3943.2</v>
      </c>
      <c r="P83" s="427">
        <v>3951.3</v>
      </c>
      <c r="Q83" s="427">
        <v>4036.5</v>
      </c>
      <c r="R83" s="427">
        <v>4193.8</v>
      </c>
      <c r="S83" s="427">
        <v>4390.6000000000004</v>
      </c>
      <c r="T83" s="427">
        <v>4585.7</v>
      </c>
      <c r="U83" s="427">
        <v>4776.3999999999996</v>
      </c>
      <c r="V83" s="427">
        <v>4969</v>
      </c>
    </row>
    <row r="85" spans="4:25" x14ac:dyDescent="0.35">
      <c r="D85" s="235" t="s">
        <v>501</v>
      </c>
    </row>
    <row r="86" spans="4:25" x14ac:dyDescent="0.35">
      <c r="D86" s="600" t="s">
        <v>502</v>
      </c>
      <c r="E86" s="705">
        <v>2018</v>
      </c>
      <c r="F86" s="886">
        <v>2019</v>
      </c>
      <c r="G86" s="886">
        <v>2020</v>
      </c>
      <c r="H86" s="808">
        <v>2021</v>
      </c>
      <c r="I86" s="886">
        <v>2022</v>
      </c>
      <c r="J86" s="886">
        <v>2023</v>
      </c>
      <c r="K86" s="891">
        <v>2024</v>
      </c>
      <c r="L86" s="891">
        <v>2025</v>
      </c>
      <c r="M86" s="805">
        <v>2026</v>
      </c>
    </row>
    <row r="87" spans="4:25" x14ac:dyDescent="0.35">
      <c r="D87" s="835" t="s">
        <v>489</v>
      </c>
      <c r="E87" s="836">
        <f t="shared" ref="E87:M87" si="45">E56/E80</f>
        <v>0.12011187134794987</v>
      </c>
      <c r="F87" s="836">
        <f t="shared" si="45"/>
        <v>0.11763054463784391</v>
      </c>
      <c r="G87" s="836">
        <f t="shared" si="45"/>
        <v>0.10937170746297063</v>
      </c>
      <c r="H87" s="836">
        <f t="shared" si="45"/>
        <v>9.7280409987009472E-2</v>
      </c>
      <c r="I87" s="836">
        <f t="shared" si="45"/>
        <v>0.12094976174393332</v>
      </c>
      <c r="J87" s="836">
        <f t="shared" si="45"/>
        <v>9.417103669089652E-2</v>
      </c>
      <c r="K87" s="836">
        <f t="shared" si="45"/>
        <v>9.9555459805490576E-2</v>
      </c>
      <c r="L87" s="836">
        <f t="shared" si="45"/>
        <v>0.1025475898005649</v>
      </c>
      <c r="M87" s="836">
        <f t="shared" si="45"/>
        <v>0.10409803358530392</v>
      </c>
    </row>
    <row r="88" spans="4:25" x14ac:dyDescent="0.35">
      <c r="D88" s="847" t="s">
        <v>490</v>
      </c>
      <c r="E88" s="788">
        <f t="shared" ref="E88:J89" si="46">E58/E81</f>
        <v>0.13297364834166289</v>
      </c>
      <c r="F88" s="788">
        <f>F58/F81</f>
        <v>0.13502008904332718</v>
      </c>
      <c r="G88" s="788">
        <f>G58/G81</f>
        <v>0.14086021505376345</v>
      </c>
      <c r="H88" s="788">
        <f t="shared" si="46"/>
        <v>0.13044222312663165</v>
      </c>
      <c r="I88" s="788">
        <f t="shared" si="46"/>
        <v>0.13508828162704087</v>
      </c>
      <c r="J88" s="788">
        <f t="shared" si="46"/>
        <v>0.13956586011048003</v>
      </c>
      <c r="K88" s="788">
        <f t="shared" ref="K88:M89" si="47">K58/K81</f>
        <v>0.13948480619016135</v>
      </c>
      <c r="L88" s="788">
        <f t="shared" si="47"/>
        <v>0.13673856249805616</v>
      </c>
      <c r="M88" s="788">
        <f t="shared" si="47"/>
        <v>0.13652756139179464</v>
      </c>
    </row>
    <row r="89" spans="4:25" x14ac:dyDescent="0.35">
      <c r="D89" s="792" t="s">
        <v>503</v>
      </c>
      <c r="E89" s="788">
        <f t="shared" si="46"/>
        <v>9.8454203987286912E-3</v>
      </c>
      <c r="F89" s="788">
        <f t="shared" si="46"/>
        <v>1.1844754565021176E-2</v>
      </c>
      <c r="G89" s="788">
        <f t="shared" si="46"/>
        <v>1.0985141891416098E-2</v>
      </c>
      <c r="H89" s="788">
        <f t="shared" si="46"/>
        <v>9.9876488411139216E-3</v>
      </c>
      <c r="I89" s="788">
        <f t="shared" si="46"/>
        <v>1.0824629486751345E-2</v>
      </c>
      <c r="J89" s="788">
        <f t="shared" si="46"/>
        <v>8.4139395278407976E-3</v>
      </c>
      <c r="K89" s="788">
        <f t="shared" si="47"/>
        <v>5.3482341508324172E-3</v>
      </c>
      <c r="L89" s="788">
        <f t="shared" si="47"/>
        <v>4.7556946109535356E-3</v>
      </c>
      <c r="M89" s="788">
        <f t="shared" si="47"/>
        <v>4.9128016060640172E-3</v>
      </c>
    </row>
    <row r="90" spans="4:25" x14ac:dyDescent="0.35">
      <c r="D90" s="848" t="s">
        <v>106</v>
      </c>
      <c r="E90" s="913">
        <f t="shared" ref="E90:L90" si="48">E62/E83</f>
        <v>8.7665952890792292E-2</v>
      </c>
      <c r="F90" s="913">
        <f t="shared" si="48"/>
        <v>9.4266994266994267E-2</v>
      </c>
      <c r="G90" s="913">
        <f t="shared" si="48"/>
        <v>8.8628762541806017E-2</v>
      </c>
      <c r="H90" s="913">
        <f t="shared" si="48"/>
        <v>0.13298676680972818</v>
      </c>
      <c r="I90" s="913">
        <f t="shared" si="48"/>
        <v>0.13021945014864991</v>
      </c>
      <c r="J90" s="913">
        <f t="shared" si="48"/>
        <v>0.12135473608098336</v>
      </c>
      <c r="K90" s="913">
        <f t="shared" si="48"/>
        <v>0.14074240331491711</v>
      </c>
      <c r="L90" s="913">
        <f t="shared" si="48"/>
        <v>0.1347020088998637</v>
      </c>
      <c r="M90" s="913">
        <f t="shared" ref="M90" si="49">M62/M83</f>
        <v>0.12625503595287876</v>
      </c>
    </row>
    <row r="92" spans="4:25" x14ac:dyDescent="0.35">
      <c r="D92" s="235" t="s">
        <v>504</v>
      </c>
    </row>
    <row r="93" spans="4:25" x14ac:dyDescent="0.35">
      <c r="D93" s="852" t="s">
        <v>351</v>
      </c>
    </row>
    <row r="94" spans="4:25" x14ac:dyDescent="0.35">
      <c r="D94" s="600" t="s">
        <v>505</v>
      </c>
      <c r="E94" s="705">
        <v>2018</v>
      </c>
      <c r="F94" s="886">
        <v>2019</v>
      </c>
      <c r="G94" s="808">
        <v>2020</v>
      </c>
      <c r="H94" s="886">
        <v>2021</v>
      </c>
      <c r="I94" s="886">
        <v>2022</v>
      </c>
      <c r="J94" s="886">
        <v>2023</v>
      </c>
      <c r="K94" s="891">
        <v>2024</v>
      </c>
      <c r="L94" s="891">
        <v>2025</v>
      </c>
      <c r="M94" s="805">
        <v>2026</v>
      </c>
    </row>
    <row r="95" spans="4:25" ht="20.25" customHeight="1" x14ac:dyDescent="0.35">
      <c r="D95" s="835" t="s">
        <v>489</v>
      </c>
      <c r="E95" s="836">
        <f t="shared" ref="E95:G98" si="50">E87*E72</f>
        <v>0.11572406018792676</v>
      </c>
      <c r="F95" s="836">
        <f t="shared" si="50"/>
        <v>0.11551471494501581</v>
      </c>
      <c r="G95" s="836">
        <f t="shared" si="50"/>
        <v>0.11640881499255673</v>
      </c>
      <c r="H95" s="836">
        <f>N114</f>
        <v>0.13102202825485806</v>
      </c>
      <c r="I95" s="836">
        <f>H95</f>
        <v>0.13102202825485806</v>
      </c>
      <c r="J95" s="836">
        <f t="shared" ref="J95" si="51">I95</f>
        <v>0.13102202825485806</v>
      </c>
      <c r="K95" s="836">
        <f>J95</f>
        <v>0.13102202825485806</v>
      </c>
      <c r="L95" s="836">
        <f>K95</f>
        <v>0.13102202825485806</v>
      </c>
      <c r="M95" s="837"/>
      <c r="N95" s="849"/>
      <c r="O95" s="788"/>
      <c r="P95" s="788"/>
      <c r="Q95" s="788"/>
      <c r="R95" s="788"/>
      <c r="S95" s="788"/>
      <c r="T95" s="788"/>
      <c r="U95" s="788"/>
      <c r="V95" s="788"/>
      <c r="W95" s="788"/>
      <c r="X95" s="788"/>
      <c r="Y95" s="788"/>
    </row>
    <row r="96" spans="4:25" ht="18.75" customHeight="1" x14ac:dyDescent="0.35">
      <c r="D96" s="847" t="s">
        <v>490</v>
      </c>
      <c r="E96" s="788">
        <f t="shared" si="50"/>
        <v>0.15129486597001363</v>
      </c>
      <c r="F96" s="788">
        <f t="shared" si="50"/>
        <v>0.15072211966554458</v>
      </c>
      <c r="G96" s="788">
        <f t="shared" si="50"/>
        <v>0.15317473118279573</v>
      </c>
      <c r="H96" s="788">
        <f>N116</f>
        <v>0.14952123741713724</v>
      </c>
      <c r="I96" s="788">
        <f>H96</f>
        <v>0.14952123741713724</v>
      </c>
      <c r="J96" s="788">
        <f>I96</f>
        <v>0.14952123741713724</v>
      </c>
      <c r="K96" s="788">
        <f t="shared" ref="K96:L96" si="52">J96</f>
        <v>0.14952123741713724</v>
      </c>
      <c r="L96" s="788">
        <f t="shared" si="52"/>
        <v>0.14952123741713724</v>
      </c>
      <c r="M96" s="838"/>
      <c r="N96" s="849"/>
      <c r="O96" s="788"/>
      <c r="P96" s="788"/>
      <c r="Q96" s="788"/>
      <c r="R96" s="788"/>
      <c r="S96" s="788"/>
      <c r="T96" s="788"/>
      <c r="U96" s="788"/>
      <c r="V96" s="788"/>
      <c r="W96" s="788"/>
      <c r="X96" s="788"/>
      <c r="Y96" s="788"/>
    </row>
    <row r="97" spans="4:72" ht="19.399999999999999" customHeight="1" x14ac:dyDescent="0.35">
      <c r="D97" s="792" t="s">
        <v>105</v>
      </c>
      <c r="E97" s="788">
        <f t="shared" si="50"/>
        <v>1.0835018780699219E-2</v>
      </c>
      <c r="F97" s="788">
        <f t="shared" si="50"/>
        <v>1.2150246476428523E-2</v>
      </c>
      <c r="G97" s="788">
        <f t="shared" si="50"/>
        <v>1.1293218787409338E-2</v>
      </c>
      <c r="H97" s="788">
        <f>N117</f>
        <v>1.1269768922909786E-2</v>
      </c>
      <c r="I97" s="788">
        <f>AVERAGE($F74:$G74)*I89</f>
        <v>1.1116007926963869E-2</v>
      </c>
      <c r="J97" s="788">
        <f>AVERAGE($F74:$G74)*J89</f>
        <v>8.6404267788515975E-3</v>
      </c>
      <c r="K97" s="788">
        <f>J97</f>
        <v>8.6404267788515975E-3</v>
      </c>
      <c r="L97" s="788">
        <f>K97</f>
        <v>8.6404267788515975E-3</v>
      </c>
      <c r="M97" s="838"/>
      <c r="N97" s="849"/>
      <c r="O97" s="788"/>
      <c r="P97" s="788"/>
      <c r="Q97" s="788"/>
      <c r="R97" s="788"/>
      <c r="S97" s="788"/>
      <c r="T97" s="788"/>
      <c r="U97" s="788"/>
      <c r="V97" s="788"/>
      <c r="W97" s="788"/>
      <c r="X97" s="788"/>
      <c r="Y97" s="788"/>
    </row>
    <row r="98" spans="4:72" ht="19.399999999999999" customHeight="1" x14ac:dyDescent="0.35">
      <c r="D98" s="848" t="s">
        <v>106</v>
      </c>
      <c r="E98" s="913">
        <f t="shared" si="50"/>
        <v>8.9079229122055667E-2</v>
      </c>
      <c r="F98" s="913">
        <f t="shared" si="50"/>
        <v>8.9680589680589687E-2</v>
      </c>
      <c r="G98" s="913">
        <f t="shared" si="50"/>
        <v>9.2140468227424749E-2</v>
      </c>
      <c r="H98" s="913">
        <f>M118</f>
        <v>0.11887481034977652</v>
      </c>
      <c r="I98" s="913">
        <f>N118</f>
        <v>0.12443013242636948</v>
      </c>
      <c r="J98" s="913">
        <f>I98</f>
        <v>0.12443013242636948</v>
      </c>
      <c r="K98" s="913">
        <f>J98</f>
        <v>0.12443013242636948</v>
      </c>
      <c r="L98" s="913">
        <f>K98</f>
        <v>0.12443013242636948</v>
      </c>
      <c r="M98" s="839"/>
      <c r="N98" s="849"/>
      <c r="O98" s="788"/>
      <c r="P98" s="788"/>
      <c r="Q98" s="788"/>
      <c r="R98" s="788"/>
      <c r="S98" s="788"/>
      <c r="T98" s="788"/>
      <c r="U98" s="788"/>
      <c r="V98" s="788"/>
      <c r="W98" s="788"/>
      <c r="X98" s="788"/>
      <c r="Y98" s="788"/>
    </row>
    <row r="99" spans="4:72" x14ac:dyDescent="0.35">
      <c r="E99" s="676"/>
      <c r="F99" s="676"/>
      <c r="G99" s="676"/>
      <c r="H99" s="676"/>
      <c r="I99" s="676"/>
      <c r="J99" s="676"/>
      <c r="K99" s="676"/>
      <c r="L99" s="676"/>
    </row>
    <row r="100" spans="4:72" x14ac:dyDescent="0.35">
      <c r="D100" s="851" t="s">
        <v>364</v>
      </c>
      <c r="E100" s="788"/>
      <c r="F100" s="788"/>
      <c r="G100" s="788"/>
      <c r="H100" s="788"/>
      <c r="I100" s="788"/>
      <c r="J100" s="788"/>
      <c r="K100" s="788"/>
      <c r="L100" s="788"/>
      <c r="M100" s="788"/>
      <c r="N100" s="788"/>
      <c r="O100" s="788"/>
      <c r="P100" s="788"/>
      <c r="Q100" s="788"/>
      <c r="R100" s="788"/>
      <c r="S100" s="788"/>
      <c r="T100" s="788"/>
      <c r="U100" s="788"/>
      <c r="V100" s="788"/>
      <c r="W100" s="788"/>
      <c r="X100" s="788"/>
      <c r="Y100" s="788"/>
    </row>
    <row r="101" spans="4:72" x14ac:dyDescent="0.35">
      <c r="D101" s="1360" t="s">
        <v>1976</v>
      </c>
      <c r="E101" s="1379"/>
      <c r="F101" s="1293">
        <v>2019</v>
      </c>
      <c r="G101" s="1294"/>
      <c r="H101" s="1295"/>
      <c r="I101" s="1293">
        <v>2020</v>
      </c>
      <c r="J101" s="1294"/>
      <c r="K101" s="1294"/>
      <c r="L101" s="1295"/>
      <c r="M101" s="1293">
        <v>2021</v>
      </c>
      <c r="N101" s="1294"/>
      <c r="O101" s="1294"/>
      <c r="P101" s="1294"/>
      <c r="Q101" s="1293">
        <v>2022</v>
      </c>
      <c r="R101" s="1301"/>
      <c r="S101" s="1301"/>
      <c r="T101" s="1295"/>
      <c r="U101" s="288"/>
      <c r="V101" s="288">
        <v>2023</v>
      </c>
      <c r="W101" s="428"/>
      <c r="X101" s="295"/>
      <c r="Y101" s="437"/>
      <c r="Z101" s="428">
        <v>2024</v>
      </c>
      <c r="AA101" s="428"/>
      <c r="AB101" s="321"/>
      <c r="AC101" s="1280">
        <v>2025</v>
      </c>
      <c r="AD101" s="1286"/>
      <c r="AE101" s="1286"/>
      <c r="AF101" s="1285"/>
      <c r="AG101" s="1280">
        <v>2026</v>
      </c>
      <c r="AH101" s="1286"/>
      <c r="AI101" s="1286"/>
      <c r="AJ101" s="1285"/>
    </row>
    <row r="102" spans="4:72" x14ac:dyDescent="0.35">
      <c r="D102" s="1380"/>
      <c r="E102" s="1381"/>
      <c r="F102" s="214" t="s">
        <v>283</v>
      </c>
      <c r="G102" s="215" t="s">
        <v>238</v>
      </c>
      <c r="H102" s="218" t="s">
        <v>281</v>
      </c>
      <c r="I102" s="214" t="s">
        <v>282</v>
      </c>
      <c r="J102" s="215" t="s">
        <v>283</v>
      </c>
      <c r="K102" s="215" t="s">
        <v>238</v>
      </c>
      <c r="L102" s="218" t="s">
        <v>281</v>
      </c>
      <c r="M102" s="214" t="s">
        <v>282</v>
      </c>
      <c r="N102" s="215" t="s">
        <v>283</v>
      </c>
      <c r="O102" s="215" t="s">
        <v>238</v>
      </c>
      <c r="P102" s="215" t="s">
        <v>281</v>
      </c>
      <c r="Q102" s="214" t="s">
        <v>282</v>
      </c>
      <c r="R102" s="215" t="s">
        <v>283</v>
      </c>
      <c r="S102" s="215" t="s">
        <v>238</v>
      </c>
      <c r="T102" s="218" t="s">
        <v>281</v>
      </c>
      <c r="U102" s="215" t="s">
        <v>282</v>
      </c>
      <c r="V102" s="274" t="s">
        <v>283</v>
      </c>
      <c r="W102" s="274" t="s">
        <v>238</v>
      </c>
      <c r="X102" s="272" t="s">
        <v>281</v>
      </c>
      <c r="Y102" s="273" t="s">
        <v>282</v>
      </c>
      <c r="Z102" s="279" t="s">
        <v>283</v>
      </c>
      <c r="AA102" s="274" t="s">
        <v>238</v>
      </c>
      <c r="AB102" s="260" t="s">
        <v>281</v>
      </c>
      <c r="AC102" s="259" t="s">
        <v>282</v>
      </c>
      <c r="AD102" s="257" t="s">
        <v>283</v>
      </c>
      <c r="AE102" s="260" t="s">
        <v>238</v>
      </c>
      <c r="AF102" s="260" t="s">
        <v>281</v>
      </c>
      <c r="AG102" s="259" t="s">
        <v>282</v>
      </c>
      <c r="AH102" s="257" t="s">
        <v>283</v>
      </c>
      <c r="AI102" s="260" t="s">
        <v>238</v>
      </c>
      <c r="AJ102" s="287" t="s">
        <v>281</v>
      </c>
    </row>
    <row r="103" spans="4:72" x14ac:dyDescent="0.35">
      <c r="D103" s="855" t="s">
        <v>498</v>
      </c>
      <c r="E103" s="893"/>
      <c r="F103" s="364">
        <f t="shared" ref="F103:AC103" si="53">F104+F105</f>
        <v>0</v>
      </c>
      <c r="G103" s="364">
        <f t="shared" si="53"/>
        <v>0</v>
      </c>
      <c r="H103" s="364">
        <f t="shared" si="53"/>
        <v>0</v>
      </c>
      <c r="I103" s="364">
        <f t="shared" si="53"/>
        <v>15134.800000000001</v>
      </c>
      <c r="J103" s="364">
        <f t="shared" si="53"/>
        <v>14265.5</v>
      </c>
      <c r="K103" s="364">
        <f t="shared" si="53"/>
        <v>14943.5</v>
      </c>
      <c r="L103" s="364">
        <f t="shared" si="53"/>
        <v>15319.300000000001</v>
      </c>
      <c r="M103" s="364">
        <f t="shared" si="53"/>
        <v>15399.800000000001</v>
      </c>
      <c r="N103" s="364">
        <f t="shared" si="53"/>
        <v>15959.6</v>
      </c>
      <c r="O103" s="364">
        <f t="shared" si="53"/>
        <v>16325.6</v>
      </c>
      <c r="P103" s="364">
        <f t="shared" si="53"/>
        <v>16677.3</v>
      </c>
      <c r="Q103" s="364">
        <f t="shared" si="53"/>
        <v>16874</v>
      </c>
      <c r="R103" s="364">
        <f t="shared" si="53"/>
        <v>17129</v>
      </c>
      <c r="S103" s="364">
        <f t="shared" si="53"/>
        <v>17573.3</v>
      </c>
      <c r="T103" s="871">
        <f t="shared" si="53"/>
        <v>17787.8</v>
      </c>
      <c r="U103" s="364">
        <f t="shared" si="53"/>
        <v>18108.900000000001</v>
      </c>
      <c r="V103" s="364">
        <f t="shared" si="53"/>
        <v>18368.099999999999</v>
      </c>
      <c r="W103" s="364">
        <f>W104+W105</f>
        <v>18609.7</v>
      </c>
      <c r="X103" s="364">
        <f t="shared" si="53"/>
        <v>18858.199999999997</v>
      </c>
      <c r="Y103" s="364">
        <f t="shared" si="53"/>
        <v>19208.2</v>
      </c>
      <c r="Z103" s="364">
        <f t="shared" si="53"/>
        <v>19348.900000000001</v>
      </c>
      <c r="AA103" s="364">
        <f>AA104+AA105</f>
        <v>19461.599999999999</v>
      </c>
      <c r="AB103" s="896">
        <f t="shared" si="53"/>
        <v>19750.7</v>
      </c>
      <c r="AC103" s="896">
        <f t="shared" si="53"/>
        <v>20062.900000000001</v>
      </c>
      <c r="AD103" s="896">
        <f t="shared" ref="AD103:AI103" si="54">AD104+AD105</f>
        <v>20347.099999999999</v>
      </c>
      <c r="AE103" s="896">
        <f t="shared" si="54"/>
        <v>20591.8</v>
      </c>
      <c r="AF103" s="896">
        <f t="shared" si="54"/>
        <v>20843.599999999999</v>
      </c>
      <c r="AG103" s="895">
        <f t="shared" si="54"/>
        <v>21079</v>
      </c>
      <c r="AH103" s="895">
        <f t="shared" si="54"/>
        <v>21305.200000000001</v>
      </c>
      <c r="AI103" s="895">
        <f t="shared" si="54"/>
        <v>21531.199999999997</v>
      </c>
      <c r="AJ103" s="895">
        <f>AJ104+AJ105</f>
        <v>21754.199999999997</v>
      </c>
    </row>
    <row r="104" spans="4:72" x14ac:dyDescent="0.35">
      <c r="D104" s="666" t="s">
        <v>499</v>
      </c>
      <c r="E104" s="596"/>
      <c r="F104" s="427"/>
      <c r="G104" s="427"/>
      <c r="H104" s="427"/>
      <c r="I104" s="224">
        <v>9624.7000000000007</v>
      </c>
      <c r="J104" s="442">
        <v>8995.7000000000007</v>
      </c>
      <c r="K104" s="442">
        <v>9425.4</v>
      </c>
      <c r="L104" s="442">
        <v>9783.7000000000007</v>
      </c>
      <c r="M104" s="442">
        <v>9878.7000000000007</v>
      </c>
      <c r="N104" s="442">
        <v>10170</v>
      </c>
      <c r="O104" s="442">
        <v>10447.700000000001</v>
      </c>
      <c r="P104" s="442">
        <v>10754.1</v>
      </c>
      <c r="Q104" s="442">
        <v>10892.8</v>
      </c>
      <c r="R104" s="442">
        <v>10995.9</v>
      </c>
      <c r="S104" s="442">
        <v>11278.9</v>
      </c>
      <c r="T104" s="442">
        <v>11325</v>
      </c>
      <c r="U104" s="442">
        <v>11480.7</v>
      </c>
      <c r="V104" s="442">
        <v>11641</v>
      </c>
      <c r="W104" s="442">
        <v>11824</v>
      </c>
      <c r="X104" s="442">
        <v>11955.3</v>
      </c>
      <c r="Y104" s="442">
        <v>12251</v>
      </c>
      <c r="Z104" s="442">
        <v>12343</v>
      </c>
      <c r="AA104" s="442">
        <v>12457.6</v>
      </c>
      <c r="AB104" s="657">
        <v>12613.1</v>
      </c>
      <c r="AC104" s="657">
        <v>12784.3</v>
      </c>
      <c r="AD104" s="657">
        <v>12944.6</v>
      </c>
      <c r="AE104" s="657">
        <v>13103</v>
      </c>
      <c r="AF104" s="657">
        <v>13259.9</v>
      </c>
      <c r="AG104" s="900">
        <v>13408.7</v>
      </c>
      <c r="AH104" s="209">
        <v>13552.4</v>
      </c>
      <c r="AI104" s="209">
        <v>13694.8</v>
      </c>
      <c r="AJ104" s="209">
        <v>13834.8</v>
      </c>
      <c r="AK104">
        <v>13978</v>
      </c>
      <c r="AL104">
        <v>14122.6</v>
      </c>
      <c r="AM104">
        <v>14269.5</v>
      </c>
      <c r="AN104">
        <v>14417.7</v>
      </c>
      <c r="AO104">
        <v>14568.8</v>
      </c>
      <c r="AP104">
        <v>14720.6</v>
      </c>
      <c r="AQ104">
        <v>14873.1</v>
      </c>
      <c r="AR104">
        <v>15023</v>
      </c>
      <c r="AS104">
        <v>15175.6</v>
      </c>
      <c r="AT104">
        <v>15328.8</v>
      </c>
      <c r="AU104">
        <v>15482.1</v>
      </c>
      <c r="AV104">
        <v>15630.6</v>
      </c>
      <c r="AW104">
        <v>15784.3</v>
      </c>
      <c r="AX104">
        <v>15938.8</v>
      </c>
      <c r="AY104">
        <v>16094.2</v>
      </c>
      <c r="AZ104">
        <v>16245.7</v>
      </c>
      <c r="BA104">
        <v>16403.3</v>
      </c>
      <c r="BB104">
        <v>16562.099999999999</v>
      </c>
      <c r="BC104">
        <v>16722.099999999999</v>
      </c>
      <c r="BD104">
        <v>16878.099999999999</v>
      </c>
      <c r="BE104">
        <v>17040.8</v>
      </c>
      <c r="BF104">
        <v>17203.900000000001</v>
      </c>
      <c r="BG104">
        <v>17367.599999999999</v>
      </c>
      <c r="BH104">
        <v>17525.2</v>
      </c>
      <c r="BI104">
        <v>17689.599999999999</v>
      </c>
      <c r="BJ104">
        <v>17856.900000000001</v>
      </c>
      <c r="BK104">
        <v>18026</v>
      </c>
      <c r="BL104">
        <v>18191.8</v>
      </c>
      <c r="BM104">
        <v>18363.7</v>
      </c>
      <c r="BN104">
        <v>18536.5</v>
      </c>
      <c r="BO104">
        <v>18710.3</v>
      </c>
      <c r="BP104">
        <v>18885.3</v>
      </c>
      <c r="BQ104">
        <v>19061.5</v>
      </c>
      <c r="BR104">
        <v>19239.3</v>
      </c>
      <c r="BS104">
        <v>19419.2</v>
      </c>
      <c r="BT104">
        <v>19601.3</v>
      </c>
    </row>
    <row r="105" spans="4:72" x14ac:dyDescent="0.35">
      <c r="D105" s="262" t="s">
        <v>890</v>
      </c>
      <c r="E105" s="554"/>
      <c r="F105" s="427"/>
      <c r="G105" s="427"/>
      <c r="H105" s="427"/>
      <c r="I105" s="442">
        <v>5510.1</v>
      </c>
      <c r="J105" s="442">
        <v>5269.8</v>
      </c>
      <c r="K105" s="442">
        <v>5518.1</v>
      </c>
      <c r="L105" s="442">
        <v>5535.6</v>
      </c>
      <c r="M105" s="442">
        <v>5521.1</v>
      </c>
      <c r="N105" s="442">
        <v>5789.6</v>
      </c>
      <c r="O105" s="442">
        <v>5877.9</v>
      </c>
      <c r="P105" s="442">
        <v>5923.2</v>
      </c>
      <c r="Q105" s="442">
        <v>5981.2</v>
      </c>
      <c r="R105" s="442">
        <v>6133.1</v>
      </c>
      <c r="S105" s="442">
        <v>6294.4</v>
      </c>
      <c r="T105" s="442">
        <v>6462.8</v>
      </c>
      <c r="U105" s="442">
        <v>6628.2</v>
      </c>
      <c r="V105" s="442">
        <v>6727.1</v>
      </c>
      <c r="W105" s="442">
        <v>6785.7</v>
      </c>
      <c r="X105" s="442">
        <v>6902.9</v>
      </c>
      <c r="Y105" s="442">
        <v>6957.2</v>
      </c>
      <c r="Z105" s="442">
        <v>7005.9</v>
      </c>
      <c r="AA105" s="442">
        <v>7004</v>
      </c>
      <c r="AB105" s="657">
        <v>7137.6</v>
      </c>
      <c r="AC105" s="657">
        <v>7278.6</v>
      </c>
      <c r="AD105" s="657">
        <v>7402.5</v>
      </c>
      <c r="AE105" s="657">
        <v>7488.8</v>
      </c>
      <c r="AF105" s="657">
        <v>7583.7</v>
      </c>
      <c r="AG105" s="900">
        <v>7670.3</v>
      </c>
      <c r="AH105" s="209">
        <v>7752.8</v>
      </c>
      <c r="AI105" s="209">
        <v>7836.4</v>
      </c>
      <c r="AJ105" s="209">
        <v>7919.4</v>
      </c>
      <c r="AK105">
        <v>8008.5</v>
      </c>
      <c r="AL105">
        <v>8094.8</v>
      </c>
      <c r="AM105">
        <v>8184.4</v>
      </c>
      <c r="AN105">
        <v>8278.5</v>
      </c>
      <c r="AO105">
        <v>8381</v>
      </c>
      <c r="AP105">
        <v>8484.2999999999993</v>
      </c>
      <c r="AQ105">
        <v>8587.9</v>
      </c>
      <c r="AR105">
        <v>8689.6</v>
      </c>
      <c r="AS105">
        <v>8790</v>
      </c>
      <c r="AT105">
        <v>8887.1</v>
      </c>
      <c r="AU105">
        <v>8983.2000000000007</v>
      </c>
      <c r="AV105">
        <v>9079.1</v>
      </c>
      <c r="AW105">
        <v>9175.2999999999993</v>
      </c>
      <c r="AX105">
        <v>9270.2999999999993</v>
      </c>
      <c r="AY105">
        <v>9364.2999999999993</v>
      </c>
      <c r="AZ105">
        <v>9459.7999999999993</v>
      </c>
      <c r="BA105">
        <v>9539.6</v>
      </c>
      <c r="BB105">
        <v>9624.2000000000007</v>
      </c>
      <c r="BC105">
        <v>9707.2999999999993</v>
      </c>
      <c r="BD105">
        <v>9809.1</v>
      </c>
      <c r="BE105">
        <v>9898.9</v>
      </c>
      <c r="BF105">
        <v>9994.7999999999993</v>
      </c>
      <c r="BG105">
        <v>10090.700000000001</v>
      </c>
      <c r="BH105">
        <v>10185.200000000001</v>
      </c>
      <c r="BI105">
        <v>10278.9</v>
      </c>
      <c r="BJ105">
        <v>10371</v>
      </c>
      <c r="BK105">
        <v>10463</v>
      </c>
      <c r="BL105">
        <v>10568.7</v>
      </c>
      <c r="BM105">
        <v>10678.3</v>
      </c>
      <c r="BN105">
        <v>10787.6</v>
      </c>
      <c r="BO105">
        <v>10896.9</v>
      </c>
      <c r="BP105">
        <v>11005</v>
      </c>
      <c r="BQ105">
        <v>11113.9</v>
      </c>
      <c r="BR105">
        <v>11223.1</v>
      </c>
      <c r="BS105">
        <v>11332.5</v>
      </c>
      <c r="BT105">
        <v>11442.4</v>
      </c>
    </row>
    <row r="106" spans="4:72" x14ac:dyDescent="0.35">
      <c r="D106" s="262" t="s">
        <v>500</v>
      </c>
      <c r="E106" s="554"/>
      <c r="F106" s="427"/>
      <c r="G106" s="427"/>
      <c r="H106" s="427"/>
      <c r="I106" s="442">
        <v>14440.2</v>
      </c>
      <c r="J106" s="442">
        <v>13049.8</v>
      </c>
      <c r="K106" s="442">
        <v>14388.7</v>
      </c>
      <c r="L106" s="442">
        <v>14586</v>
      </c>
      <c r="M106" s="442">
        <v>15217.7</v>
      </c>
      <c r="N106" s="442">
        <v>15950.9</v>
      </c>
      <c r="O106" s="442">
        <v>16285.1</v>
      </c>
      <c r="P106" s="442">
        <v>16718.2</v>
      </c>
      <c r="Q106" s="442">
        <v>17175.099999999999</v>
      </c>
      <c r="R106" s="442">
        <v>17603.8</v>
      </c>
      <c r="S106" s="442">
        <v>17876.2</v>
      </c>
      <c r="T106" s="442">
        <v>18108.3</v>
      </c>
      <c r="U106" s="442">
        <v>18506.2</v>
      </c>
      <c r="V106" s="442">
        <v>18685.7</v>
      </c>
      <c r="W106" s="442">
        <v>18929</v>
      </c>
      <c r="X106" s="442">
        <v>19170.2</v>
      </c>
      <c r="Y106" s="442">
        <v>19424.8</v>
      </c>
      <c r="Z106" s="442">
        <v>19682.7</v>
      </c>
      <c r="AA106" s="442">
        <v>19928.2</v>
      </c>
      <c r="AB106" s="657">
        <v>20185.7</v>
      </c>
      <c r="AC106" s="657">
        <v>20403.099999999999</v>
      </c>
      <c r="AD106" s="657">
        <v>20642.2</v>
      </c>
      <c r="AE106" s="657">
        <v>20846.8</v>
      </c>
      <c r="AF106" s="657">
        <v>21044.3</v>
      </c>
      <c r="AG106" s="900">
        <v>21224.400000000001</v>
      </c>
      <c r="AH106" s="209">
        <v>21419</v>
      </c>
      <c r="AI106" s="209">
        <v>21589.1</v>
      </c>
      <c r="AJ106" s="209">
        <v>21781.8</v>
      </c>
      <c r="AK106">
        <v>21986.799999999999</v>
      </c>
      <c r="AL106">
        <v>22169.7</v>
      </c>
      <c r="AM106">
        <v>22353.1</v>
      </c>
      <c r="AN106">
        <v>22549.7</v>
      </c>
      <c r="AO106">
        <v>22756.3</v>
      </c>
      <c r="AP106">
        <v>22960.5</v>
      </c>
      <c r="AQ106">
        <v>23175.7</v>
      </c>
      <c r="AR106">
        <v>23394.799999999999</v>
      </c>
      <c r="AS106">
        <v>23623.8</v>
      </c>
      <c r="AT106">
        <v>23858.3</v>
      </c>
      <c r="AU106">
        <v>24089.9</v>
      </c>
      <c r="AV106">
        <v>24324.3</v>
      </c>
      <c r="AW106">
        <v>24567.4</v>
      </c>
      <c r="AX106">
        <v>24824.5</v>
      </c>
      <c r="AY106">
        <v>25079.200000000001</v>
      </c>
      <c r="AZ106">
        <v>25340.7</v>
      </c>
      <c r="BA106">
        <v>25603</v>
      </c>
      <c r="BB106">
        <v>25871.9</v>
      </c>
      <c r="BC106">
        <v>26140.7</v>
      </c>
      <c r="BD106">
        <v>26411.5</v>
      </c>
      <c r="BE106">
        <v>26684.9</v>
      </c>
      <c r="BF106">
        <v>26961.599999999999</v>
      </c>
      <c r="BG106">
        <v>27241.4</v>
      </c>
      <c r="BH106">
        <v>27524.400000000001</v>
      </c>
      <c r="BI106">
        <v>27809.7</v>
      </c>
      <c r="BJ106">
        <v>28100.3</v>
      </c>
      <c r="BK106">
        <v>28394.3</v>
      </c>
      <c r="BL106">
        <v>28690.400000000001</v>
      </c>
      <c r="BM106">
        <v>28988.400000000001</v>
      </c>
      <c r="BN106">
        <v>29289</v>
      </c>
      <c r="BO106">
        <v>29593.3</v>
      </c>
      <c r="BP106">
        <v>29899.7</v>
      </c>
      <c r="BQ106">
        <v>30207</v>
      </c>
      <c r="BR106">
        <v>30516</v>
      </c>
      <c r="BS106">
        <v>30827</v>
      </c>
      <c r="BT106">
        <v>31138.6</v>
      </c>
    </row>
    <row r="107" spans="4:72" x14ac:dyDescent="0.35">
      <c r="D107" s="703" t="s">
        <v>1916</v>
      </c>
      <c r="E107" s="570"/>
      <c r="F107" s="570"/>
      <c r="G107" s="570"/>
      <c r="H107" s="761"/>
      <c r="I107" s="898">
        <v>1736.3</v>
      </c>
      <c r="J107" s="898">
        <v>1597.1</v>
      </c>
      <c r="K107" s="898">
        <v>2041.1</v>
      </c>
      <c r="L107" s="898">
        <v>1947.4</v>
      </c>
      <c r="M107" s="898">
        <v>2280.4</v>
      </c>
      <c r="N107" s="898">
        <v>2580</v>
      </c>
      <c r="O107" s="898">
        <v>2541.1</v>
      </c>
      <c r="P107" s="898">
        <v>2555</v>
      </c>
      <c r="Q107" s="898">
        <v>2738.7</v>
      </c>
      <c r="R107" s="898">
        <v>2876.9</v>
      </c>
      <c r="S107" s="898">
        <v>2950.7</v>
      </c>
      <c r="T107" s="898">
        <v>2921.1</v>
      </c>
      <c r="U107" s="898">
        <v>2941.2</v>
      </c>
      <c r="V107" s="898">
        <v>2953.4</v>
      </c>
      <c r="W107" s="898">
        <v>3079.7</v>
      </c>
      <c r="X107" s="898">
        <v>3253.6</v>
      </c>
      <c r="Y107" s="898">
        <v>3186.2</v>
      </c>
      <c r="Z107" s="898">
        <v>3337.4</v>
      </c>
      <c r="AA107" s="898">
        <v>3365.5</v>
      </c>
      <c r="AB107" s="899">
        <v>3380.3</v>
      </c>
      <c r="AC107" s="899">
        <v>3389.3</v>
      </c>
      <c r="AD107" s="899">
        <v>3387.9</v>
      </c>
      <c r="AE107" s="899">
        <v>3390.8</v>
      </c>
      <c r="AF107" s="899">
        <v>3389.1</v>
      </c>
      <c r="AG107" s="901">
        <v>3393.2</v>
      </c>
      <c r="AH107" s="209">
        <v>3399.9</v>
      </c>
      <c r="AI107" s="209">
        <v>3396.5</v>
      </c>
      <c r="AJ107" s="209">
        <v>3400.6</v>
      </c>
      <c r="AK107">
        <v>3394.1</v>
      </c>
      <c r="AL107">
        <v>3381.6</v>
      </c>
      <c r="AM107">
        <v>3366.9</v>
      </c>
      <c r="AN107">
        <v>3369.6</v>
      </c>
      <c r="AO107">
        <v>3361.6</v>
      </c>
      <c r="AP107">
        <v>3346.4</v>
      </c>
      <c r="AQ107">
        <v>3335.2</v>
      </c>
      <c r="AR107">
        <v>3336.1</v>
      </c>
      <c r="AS107">
        <v>3337.1</v>
      </c>
      <c r="AT107">
        <v>3344.5</v>
      </c>
      <c r="AU107">
        <v>3352.2</v>
      </c>
      <c r="AV107">
        <v>3375.5</v>
      </c>
      <c r="AW107">
        <v>3396.4</v>
      </c>
      <c r="AX107">
        <v>3426.8</v>
      </c>
      <c r="AY107">
        <v>3446.4</v>
      </c>
      <c r="AZ107">
        <v>3483.8</v>
      </c>
      <c r="BA107">
        <v>3528.1</v>
      </c>
      <c r="BB107">
        <v>3572.6</v>
      </c>
      <c r="BC107">
        <v>3617.2</v>
      </c>
      <c r="BD107">
        <v>3662.1</v>
      </c>
      <c r="BE107">
        <v>3706</v>
      </c>
      <c r="BF107">
        <v>3748</v>
      </c>
      <c r="BG107">
        <v>3786.8</v>
      </c>
      <c r="BH107">
        <v>3835.5</v>
      </c>
      <c r="BI107">
        <v>3873</v>
      </c>
      <c r="BJ107">
        <v>3914.5</v>
      </c>
      <c r="BK107">
        <v>3953.1</v>
      </c>
      <c r="BL107">
        <v>4000.1</v>
      </c>
      <c r="BM107">
        <v>4037.5</v>
      </c>
      <c r="BN107">
        <v>4076.8</v>
      </c>
      <c r="BO107">
        <v>4113.6000000000004</v>
      </c>
      <c r="BP107">
        <v>4158.3999999999996</v>
      </c>
      <c r="BQ107">
        <v>4198.7</v>
      </c>
      <c r="BR107">
        <v>4242.1000000000004</v>
      </c>
      <c r="BS107">
        <v>4282.6000000000004</v>
      </c>
      <c r="BT107">
        <v>4332.1000000000004</v>
      </c>
    </row>
    <row r="108" spans="4:72" ht="18.75" customHeight="1" x14ac:dyDescent="0.35"/>
    <row r="109" spans="4:72" x14ac:dyDescent="0.35">
      <c r="D109" s="856"/>
      <c r="E109" s="596"/>
      <c r="F109" s="596"/>
      <c r="G109" s="596"/>
      <c r="H109" s="427"/>
      <c r="I109" s="427"/>
      <c r="J109" s="427"/>
      <c r="K109" s="427"/>
      <c r="L109" s="427"/>
      <c r="M109" s="427"/>
      <c r="N109" s="427"/>
      <c r="O109" s="427"/>
      <c r="P109" s="427"/>
      <c r="Q109" s="427"/>
      <c r="R109" s="427"/>
      <c r="S109" s="427"/>
      <c r="T109" s="427"/>
      <c r="U109" s="427"/>
      <c r="V109" s="427"/>
      <c r="W109" s="427"/>
      <c r="X109" s="427"/>
      <c r="Y109" s="427"/>
      <c r="Z109" s="829"/>
      <c r="AA109" s="427"/>
      <c r="AB109" s="427"/>
      <c r="AC109" s="427"/>
    </row>
    <row r="110" spans="4:72" x14ac:dyDescent="0.35">
      <c r="D110" s="512"/>
      <c r="AC110" s="56"/>
    </row>
    <row r="111" spans="4:72" x14ac:dyDescent="0.35">
      <c r="D111" s="1360" t="s">
        <v>506</v>
      </c>
      <c r="E111" s="1379"/>
      <c r="F111" s="1293">
        <v>2019</v>
      </c>
      <c r="G111" s="1294"/>
      <c r="H111" s="1295"/>
      <c r="I111" s="1294">
        <v>2020</v>
      </c>
      <c r="J111" s="1294"/>
      <c r="K111" s="1294"/>
      <c r="L111" s="1295"/>
      <c r="M111" s="1293">
        <v>2021</v>
      </c>
      <c r="N111" s="1294"/>
      <c r="O111" s="1294"/>
      <c r="P111" s="1294"/>
      <c r="Q111" s="1293">
        <v>2022</v>
      </c>
      <c r="R111" s="1301"/>
      <c r="S111" s="1301"/>
      <c r="T111" s="1295"/>
      <c r="U111" s="288"/>
      <c r="V111" s="288">
        <v>2023</v>
      </c>
      <c r="W111" s="428"/>
      <c r="X111" s="295"/>
      <c r="Y111" s="1293">
        <v>2024</v>
      </c>
      <c r="Z111" s="1294"/>
      <c r="AA111" s="1294"/>
      <c r="AB111" s="1295"/>
      <c r="AC111" s="1280">
        <v>2025</v>
      </c>
      <c r="AD111" s="1286"/>
      <c r="AE111" s="1286"/>
      <c r="AF111" s="1285"/>
      <c r="AG111" s="1280">
        <v>2026</v>
      </c>
      <c r="AH111" s="1286"/>
      <c r="AI111" s="1286"/>
      <c r="AJ111" s="1285"/>
    </row>
    <row r="112" spans="4:72" x14ac:dyDescent="0.35">
      <c r="D112" s="1380"/>
      <c r="E112" s="1381"/>
      <c r="F112" s="214" t="s">
        <v>283</v>
      </c>
      <c r="G112" s="215" t="s">
        <v>238</v>
      </c>
      <c r="H112" s="218" t="s">
        <v>281</v>
      </c>
      <c r="I112" s="215" t="s">
        <v>282</v>
      </c>
      <c r="J112" s="215" t="s">
        <v>283</v>
      </c>
      <c r="K112" s="215" t="s">
        <v>238</v>
      </c>
      <c r="L112" s="218" t="s">
        <v>281</v>
      </c>
      <c r="M112" s="214" t="s">
        <v>282</v>
      </c>
      <c r="N112" s="215" t="s">
        <v>283</v>
      </c>
      <c r="O112" s="215" t="s">
        <v>238</v>
      </c>
      <c r="P112" s="215" t="s">
        <v>281</v>
      </c>
      <c r="Q112" s="214" t="s">
        <v>282</v>
      </c>
      <c r="R112" s="215" t="s">
        <v>283</v>
      </c>
      <c r="S112" s="215" t="s">
        <v>238</v>
      </c>
      <c r="T112" s="218" t="s">
        <v>281</v>
      </c>
      <c r="U112" s="214" t="s">
        <v>282</v>
      </c>
      <c r="V112" s="274" t="s">
        <v>283</v>
      </c>
      <c r="W112" s="274" t="s">
        <v>238</v>
      </c>
      <c r="X112" s="272" t="s">
        <v>281</v>
      </c>
      <c r="Y112" s="273" t="s">
        <v>282</v>
      </c>
      <c r="Z112" s="279" t="s">
        <v>283</v>
      </c>
      <c r="AA112" s="274" t="s">
        <v>238</v>
      </c>
      <c r="AB112" s="274" t="s">
        <v>281</v>
      </c>
      <c r="AC112" s="259" t="s">
        <v>282</v>
      </c>
      <c r="AD112" s="257" t="s">
        <v>283</v>
      </c>
      <c r="AE112" s="260" t="s">
        <v>238</v>
      </c>
      <c r="AF112" s="260" t="s">
        <v>281</v>
      </c>
      <c r="AG112" s="259" t="s">
        <v>282</v>
      </c>
      <c r="AH112" s="257" t="s">
        <v>283</v>
      </c>
      <c r="AI112" s="260" t="s">
        <v>238</v>
      </c>
      <c r="AJ112" s="287" t="s">
        <v>281</v>
      </c>
    </row>
    <row r="113" spans="4:36" x14ac:dyDescent="0.35">
      <c r="D113" s="1377" t="s">
        <v>507</v>
      </c>
      <c r="E113" s="1378"/>
      <c r="F113" s="246"/>
      <c r="G113" s="306"/>
      <c r="H113" s="306"/>
      <c r="I113" s="306"/>
      <c r="J113" s="306"/>
      <c r="K113" s="306"/>
      <c r="L113" s="306"/>
      <c r="M113" s="306"/>
      <c r="N113" s="306"/>
      <c r="O113" s="306"/>
      <c r="P113" s="306"/>
      <c r="Q113" s="306"/>
      <c r="R113" s="306"/>
      <c r="S113" s="306"/>
      <c r="T113" s="275"/>
      <c r="U113" s="306"/>
      <c r="V113" s="306"/>
      <c r="W113" s="275"/>
      <c r="X113" s="275"/>
      <c r="Y113" s="275"/>
      <c r="Z113" s="275"/>
      <c r="AA113" s="275"/>
      <c r="AB113" s="275"/>
      <c r="AC113" s="306"/>
    </row>
    <row r="114" spans="4:36" x14ac:dyDescent="0.35">
      <c r="D114" s="518" t="s">
        <v>480</v>
      </c>
      <c r="F114" s="762"/>
      <c r="G114" s="788"/>
      <c r="H114" s="788">
        <f t="shared" ref="H114:AB114" si="55">H10/H121</f>
        <v>0.11784269540900824</v>
      </c>
      <c r="I114" s="788">
        <f t="shared" si="55"/>
        <v>0.11798949979497039</v>
      </c>
      <c r="J114" s="788">
        <f t="shared" si="55"/>
        <v>0.11557617083128487</v>
      </c>
      <c r="K114" s="788">
        <f t="shared" si="55"/>
        <v>0.11769489871298738</v>
      </c>
      <c r="L114" s="788">
        <f t="shared" si="55"/>
        <v>0.12162864264434113</v>
      </c>
      <c r="M114" s="788">
        <f t="shared" si="55"/>
        <v>0.12929672515912594</v>
      </c>
      <c r="N114" s="788">
        <f t="shared" si="55"/>
        <v>0.13102202825485806</v>
      </c>
      <c r="O114" s="788">
        <f t="shared" si="55"/>
        <v>0.13305175527193708</v>
      </c>
      <c r="P114" s="788">
        <f t="shared" si="55"/>
        <v>0.13449158829300981</v>
      </c>
      <c r="Q114" s="788">
        <f t="shared" si="55"/>
        <v>0.15377510967444011</v>
      </c>
      <c r="R114" s="788">
        <f t="shared" si="55"/>
        <v>0.15188876770810855</v>
      </c>
      <c r="S114" s="786">
        <f t="shared" si="55"/>
        <v>0.14941502848112062</v>
      </c>
      <c r="T114" s="786">
        <f t="shared" si="55"/>
        <v>0.14577752318051879</v>
      </c>
      <c r="U114" s="786">
        <f t="shared" si="55"/>
        <v>0.12446834919321474</v>
      </c>
      <c r="V114" s="786">
        <f t="shared" si="55"/>
        <v>0.12219170632222978</v>
      </c>
      <c r="W114" s="786">
        <f t="shared" si="55"/>
        <v>0.12134111319265888</v>
      </c>
      <c r="X114" s="786">
        <f t="shared" si="55"/>
        <v>0.1208907628905298</v>
      </c>
      <c r="Y114" s="786">
        <f t="shared" si="55"/>
        <v>0.12253611957686264</v>
      </c>
      <c r="Z114" s="786">
        <f t="shared" si="55"/>
        <v>0.12263673629539379</v>
      </c>
      <c r="AA114" s="786">
        <f t="shared" si="55"/>
        <v>0.12317364193887763</v>
      </c>
      <c r="AB114" s="786">
        <f t="shared" si="55"/>
        <v>0.1235322152142611</v>
      </c>
      <c r="AC114" s="787">
        <f t="shared" ref="AC114" si="56">AB114+AC115</f>
        <v>0.1235322152142611</v>
      </c>
      <c r="AD114" s="787">
        <f t="shared" ref="AD114" si="57">AC114+AD115</f>
        <v>0.1235322152142611</v>
      </c>
      <c r="AE114" s="787">
        <f t="shared" ref="AE114" si="58">AD114+AE115</f>
        <v>0.1235322152142611</v>
      </c>
      <c r="AF114" s="787">
        <f t="shared" ref="AF114" si="59">AE114+AF115</f>
        <v>0.1235322152142611</v>
      </c>
      <c r="AG114" s="787">
        <f>AF114+AG115</f>
        <v>0.1235322152142611</v>
      </c>
      <c r="AH114" s="787">
        <f t="shared" ref="AH114:AJ114" si="60">AG114+AH115</f>
        <v>0.1235322152142611</v>
      </c>
      <c r="AI114" s="787">
        <f t="shared" si="60"/>
        <v>0.1235322152142611</v>
      </c>
      <c r="AJ114" s="787">
        <f t="shared" si="60"/>
        <v>0.1235322152142611</v>
      </c>
    </row>
    <row r="115" spans="4:36" x14ac:dyDescent="0.35">
      <c r="D115" s="518" t="s">
        <v>887</v>
      </c>
      <c r="F115" s="762"/>
      <c r="G115" s="788"/>
      <c r="H115" s="788"/>
      <c r="I115" s="788"/>
      <c r="J115" s="788"/>
      <c r="K115" s="788"/>
      <c r="L115" s="788"/>
      <c r="M115" s="788"/>
      <c r="N115" s="788"/>
      <c r="O115" s="788"/>
      <c r="P115" s="788"/>
      <c r="Q115" s="788"/>
      <c r="R115" s="788"/>
      <c r="S115" s="786"/>
      <c r="T115" s="786"/>
      <c r="U115" s="786"/>
      <c r="V115" s="786"/>
      <c r="W115" s="788"/>
      <c r="X115" s="788"/>
      <c r="Y115" s="787"/>
      <c r="Z115" s="787"/>
      <c r="AA115" s="787"/>
      <c r="AB115" s="787"/>
      <c r="AC115" s="787"/>
      <c r="AD115" s="787"/>
      <c r="AE115" s="787"/>
      <c r="AF115" s="787"/>
      <c r="AG115" s="787"/>
      <c r="AH115" s="787"/>
      <c r="AI115" s="787"/>
      <c r="AJ115" s="787"/>
    </row>
    <row r="116" spans="4:36" x14ac:dyDescent="0.35">
      <c r="D116" s="518" t="s">
        <v>481</v>
      </c>
      <c r="F116" s="762"/>
      <c r="G116" s="788"/>
      <c r="H116" s="788">
        <f t="shared" ref="H116:AA116" si="61">H12/H126</f>
        <v>0.15051429053199564</v>
      </c>
      <c r="I116" s="788">
        <f t="shared" si="61"/>
        <v>0.15080163959943962</v>
      </c>
      <c r="J116" s="788">
        <f t="shared" si="61"/>
        <v>0.15365395933505827</v>
      </c>
      <c r="K116" s="788">
        <f t="shared" si="61"/>
        <v>0.15177190789891759</v>
      </c>
      <c r="L116" s="788">
        <f t="shared" si="61"/>
        <v>0.14987512105611908</v>
      </c>
      <c r="M116" s="788">
        <f t="shared" si="61"/>
        <v>0.15037715626200734</v>
      </c>
      <c r="N116" s="788">
        <f t="shared" si="61"/>
        <v>0.14952123741713724</v>
      </c>
      <c r="O116" s="788">
        <f t="shared" si="61"/>
        <v>0.14900409068318232</v>
      </c>
      <c r="P116" s="788">
        <f t="shared" si="61"/>
        <v>0.14885815076123282</v>
      </c>
      <c r="Q116" s="788">
        <f t="shared" si="61"/>
        <v>0.15059075868264021</v>
      </c>
      <c r="R116" s="788">
        <f t="shared" si="61"/>
        <v>0.15126805836791402</v>
      </c>
      <c r="S116" s="786">
        <f t="shared" si="61"/>
        <v>0.1516602781441711</v>
      </c>
      <c r="T116" s="786">
        <f t="shared" si="61"/>
        <v>0.15250681030758786</v>
      </c>
      <c r="U116" s="786">
        <f t="shared" si="61"/>
        <v>0.15315714869600761</v>
      </c>
      <c r="V116" s="786">
        <f t="shared" si="61"/>
        <v>0.15350245274604646</v>
      </c>
      <c r="W116" s="786">
        <f t="shared" si="61"/>
        <v>0.15350192088487355</v>
      </c>
      <c r="X116" s="786">
        <f t="shared" si="61"/>
        <v>0.15333099520684071</v>
      </c>
      <c r="Y116" s="786">
        <f t="shared" si="61"/>
        <v>0.15191472369139494</v>
      </c>
      <c r="Z116" s="786">
        <f t="shared" si="61"/>
        <v>0.15120313826990739</v>
      </c>
      <c r="AA116" s="786">
        <f t="shared" si="61"/>
        <v>0.1509517130835504</v>
      </c>
      <c r="AB116" s="786">
        <f t="shared" ref="AB116" si="62">AB12/AB126</f>
        <v>0.15068341629138027</v>
      </c>
      <c r="AC116" s="787">
        <f t="shared" ref="AC116" si="63">AB116</f>
        <v>0.15068341629138027</v>
      </c>
      <c r="AD116" s="787">
        <f t="shared" ref="AD116:AD117" si="64">AC116</f>
        <v>0.15068341629138027</v>
      </c>
      <c r="AE116" s="787">
        <f t="shared" ref="AE116:AE117" si="65">AD116</f>
        <v>0.15068341629138027</v>
      </c>
      <c r="AF116" s="787">
        <f t="shared" ref="AF116:AF117" si="66">AE116</f>
        <v>0.15068341629138027</v>
      </c>
      <c r="AG116" s="787">
        <f t="shared" ref="AG116:AG117" si="67">AF116</f>
        <v>0.15068341629138027</v>
      </c>
      <c r="AH116" s="787">
        <f t="shared" ref="AH116:AH117" si="68">AG116</f>
        <v>0.15068341629138027</v>
      </c>
      <c r="AI116" s="787">
        <f t="shared" ref="AI116:AI117" si="69">AH116</f>
        <v>0.15068341629138027</v>
      </c>
      <c r="AJ116" s="787">
        <f>AI116</f>
        <v>0.15068341629138027</v>
      </c>
    </row>
    <row r="117" spans="4:36" x14ac:dyDescent="0.35">
      <c r="D117" s="518" t="s">
        <v>482</v>
      </c>
      <c r="F117" s="762"/>
      <c r="G117" s="788"/>
      <c r="H117" s="788">
        <f t="shared" ref="H117:AA117" si="70">H14/H127</f>
        <v>1.2162437929392559E-2</v>
      </c>
      <c r="I117" s="788">
        <f t="shared" si="70"/>
        <v>1.2699879968543479E-2</v>
      </c>
      <c r="J117" s="788">
        <f t="shared" si="70"/>
        <v>9.8135948268010566E-3</v>
      </c>
      <c r="K117" s="788">
        <f t="shared" si="70"/>
        <v>1.0312197817378091E-2</v>
      </c>
      <c r="L117" s="788">
        <f t="shared" si="70"/>
        <v>1.0757352891335144E-2</v>
      </c>
      <c r="M117" s="788">
        <f t="shared" si="70"/>
        <v>1.0629513611282226E-2</v>
      </c>
      <c r="N117" s="788">
        <f t="shared" si="70"/>
        <v>1.1269768922909786E-2</v>
      </c>
      <c r="O117" s="788">
        <f t="shared" si="70"/>
        <v>1.1232041261557454E-2</v>
      </c>
      <c r="P117" s="788">
        <f t="shared" si="70"/>
        <v>1.1643603451454263E-2</v>
      </c>
      <c r="Q117" s="788">
        <f t="shared" si="70"/>
        <v>1.2058153955435486E-2</v>
      </c>
      <c r="R117" s="788">
        <f t="shared" si="70"/>
        <v>1.1872436632999694E-2</v>
      </c>
      <c r="S117" s="786">
        <f t="shared" si="70"/>
        <v>1.1204842192412258E-2</v>
      </c>
      <c r="T117" s="786">
        <f t="shared" si="70"/>
        <v>1.0492426125036586E-2</v>
      </c>
      <c r="U117" s="786">
        <f t="shared" si="70"/>
        <v>9.7102592644627197E-3</v>
      </c>
      <c r="V117" s="786">
        <f t="shared" si="70"/>
        <v>9.4082640735963872E-3</v>
      </c>
      <c r="W117" s="786">
        <f t="shared" si="70"/>
        <v>9.097152517301494E-3</v>
      </c>
      <c r="X117" s="786">
        <f t="shared" si="70"/>
        <v>8.8314154260258106E-3</v>
      </c>
      <c r="Y117" s="786">
        <f t="shared" si="70"/>
        <v>9.1223590461677849E-3</v>
      </c>
      <c r="Z117" s="786">
        <f t="shared" si="70"/>
        <v>8.7589609149151277E-3</v>
      </c>
      <c r="AA117" s="786">
        <f t="shared" si="70"/>
        <v>9.0980219074750235E-3</v>
      </c>
      <c r="AB117" s="786">
        <f t="shared" ref="AB117" si="71">AB14/AB127</f>
        <v>9.0135449986178569E-3</v>
      </c>
      <c r="AC117" s="787">
        <f t="shared" ref="AC117" si="72">AB117</f>
        <v>9.0135449986178569E-3</v>
      </c>
      <c r="AD117" s="787">
        <f t="shared" si="64"/>
        <v>9.0135449986178569E-3</v>
      </c>
      <c r="AE117" s="787">
        <f t="shared" si="65"/>
        <v>9.0135449986178569E-3</v>
      </c>
      <c r="AF117" s="787">
        <f t="shared" si="66"/>
        <v>9.0135449986178569E-3</v>
      </c>
      <c r="AG117" s="787">
        <f t="shared" si="67"/>
        <v>9.0135449986178569E-3</v>
      </c>
      <c r="AH117" s="787">
        <f t="shared" si="68"/>
        <v>9.0135449986178569E-3</v>
      </c>
      <c r="AI117" s="787">
        <f t="shared" si="69"/>
        <v>9.0135449986178569E-3</v>
      </c>
      <c r="AJ117" s="787">
        <f t="shared" ref="AJ117" si="73">AI117</f>
        <v>9.0135449986178569E-3</v>
      </c>
    </row>
    <row r="118" spans="4:36" x14ac:dyDescent="0.35">
      <c r="D118" s="417" t="s">
        <v>483</v>
      </c>
      <c r="F118" s="762"/>
      <c r="G118" s="788"/>
      <c r="H118" s="788">
        <f t="shared" ref="H118:AA118" si="74">H16/H128</f>
        <v>0.11576477635782748</v>
      </c>
      <c r="I118" s="788">
        <f t="shared" si="74"/>
        <v>0.10926623302521968</v>
      </c>
      <c r="J118" s="788">
        <f t="shared" si="74"/>
        <v>0.11837969278216001</v>
      </c>
      <c r="K118" s="788">
        <f t="shared" si="74"/>
        <v>0.11127845432247516</v>
      </c>
      <c r="L118" s="788">
        <f t="shared" si="74"/>
        <v>0.11953366642874137</v>
      </c>
      <c r="M118" s="788">
        <f t="shared" si="74"/>
        <v>0.11887481034977652</v>
      </c>
      <c r="N118" s="788">
        <f t="shared" si="74"/>
        <v>0.12443013242636948</v>
      </c>
      <c r="O118" s="788">
        <f t="shared" si="74"/>
        <v>0.12539127902744412</v>
      </c>
      <c r="P118" s="788">
        <f t="shared" si="74"/>
        <v>0.13006032415146448</v>
      </c>
      <c r="Q118" s="788">
        <f t="shared" si="74"/>
        <v>0.13860590791251326</v>
      </c>
      <c r="R118" s="786">
        <f t="shared" si="74"/>
        <v>0.14498244638325977</v>
      </c>
      <c r="S118" s="786">
        <f t="shared" si="74"/>
        <v>0.13630663910258584</v>
      </c>
      <c r="T118" s="786">
        <f t="shared" si="74"/>
        <v>0.13929684023141967</v>
      </c>
      <c r="U118" s="786">
        <f t="shared" si="74"/>
        <v>0.1476608187134503</v>
      </c>
      <c r="V118" s="786">
        <f t="shared" si="74"/>
        <v>0.14539175187919007</v>
      </c>
      <c r="W118" s="786">
        <f t="shared" si="74"/>
        <v>0.1467350715978829</v>
      </c>
      <c r="X118" s="786">
        <f t="shared" si="74"/>
        <v>0.14285714285714288</v>
      </c>
      <c r="Y118" s="786">
        <f t="shared" si="74"/>
        <v>0.14434122151779549</v>
      </c>
      <c r="Z118" s="786">
        <f t="shared" si="74"/>
        <v>0.14783963564451369</v>
      </c>
      <c r="AA118" s="786">
        <f t="shared" si="74"/>
        <v>0.14652482690993374</v>
      </c>
      <c r="AB118" s="786" t="e">
        <f t="shared" ref="AB118" si="75">AB16/AB128</f>
        <v>#DIV/0!</v>
      </c>
      <c r="AC118" s="787" t="e">
        <f t="shared" ref="AC118" si="76">AB118+AC119</f>
        <v>#DIV/0!</v>
      </c>
      <c r="AD118" s="787" t="e">
        <f t="shared" ref="AD118" si="77">AC118+AD119</f>
        <v>#DIV/0!</v>
      </c>
      <c r="AE118" s="787" t="e">
        <f t="shared" ref="AE118" si="78">AD118+AE119</f>
        <v>#DIV/0!</v>
      </c>
      <c r="AF118" s="787" t="e">
        <f t="shared" ref="AF118" si="79">AE118+AF119</f>
        <v>#DIV/0!</v>
      </c>
      <c r="AG118" s="787" t="e">
        <f t="shared" ref="AG118" si="80">AF118+AG119</f>
        <v>#DIV/0!</v>
      </c>
      <c r="AH118" s="787" t="e">
        <f t="shared" ref="AH118" si="81">AG118+AH119</f>
        <v>#DIV/0!</v>
      </c>
      <c r="AI118" s="787" t="e">
        <f t="shared" ref="AI118" si="82">AH118+AI119</f>
        <v>#DIV/0!</v>
      </c>
      <c r="AJ118" s="787" t="e">
        <f t="shared" ref="AJ118" si="83">AI118+AJ119</f>
        <v>#DIV/0!</v>
      </c>
    </row>
    <row r="119" spans="4:36" x14ac:dyDescent="0.35">
      <c r="D119" s="417" t="s">
        <v>1745</v>
      </c>
      <c r="F119" s="762"/>
      <c r="G119" s="788"/>
      <c r="H119" s="788"/>
      <c r="I119" s="788"/>
      <c r="J119" s="788"/>
      <c r="K119" s="788"/>
      <c r="L119" s="788"/>
      <c r="M119" s="788"/>
      <c r="N119" s="788"/>
      <c r="O119" s="788"/>
      <c r="P119" s="788"/>
      <c r="Q119" s="788"/>
      <c r="R119" s="788"/>
      <c r="S119" s="788"/>
      <c r="T119" s="788"/>
      <c r="U119" s="788">
        <v>-1.2E-2</v>
      </c>
      <c r="V119" s="788"/>
      <c r="W119" s="788"/>
      <c r="X119" s="788"/>
      <c r="Y119" s="787"/>
      <c r="Z119" s="787"/>
      <c r="AA119" s="787"/>
      <c r="AB119" s="787"/>
      <c r="AC119" s="787"/>
      <c r="AD119" s="787"/>
      <c r="AE119" s="787"/>
      <c r="AF119" s="787"/>
      <c r="AG119" s="787"/>
      <c r="AH119" s="787"/>
      <c r="AI119" s="787"/>
      <c r="AJ119" s="787"/>
    </row>
    <row r="120" spans="4:36" x14ac:dyDescent="0.35">
      <c r="D120" s="276" t="s">
        <v>508</v>
      </c>
      <c r="F120" s="263"/>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c r="AC120" s="219"/>
    </row>
    <row r="121" spans="4:36" ht="14.9" customHeight="1" x14ac:dyDescent="0.35">
      <c r="D121" s="666" t="s">
        <v>509</v>
      </c>
      <c r="F121" s="914">
        <f>SUM(F122:F125)</f>
        <v>14464.9</v>
      </c>
      <c r="G121" s="427">
        <f t="shared" ref="G121:O121" si="84">SUM(G122:G125)</f>
        <v>14564.8</v>
      </c>
      <c r="H121" s="427">
        <f t="shared" si="84"/>
        <v>14733.199999999999</v>
      </c>
      <c r="I121" s="427">
        <f t="shared" si="84"/>
        <v>14875.9</v>
      </c>
      <c r="J121" s="427">
        <f t="shared" si="84"/>
        <v>14034.9</v>
      </c>
      <c r="K121" s="427">
        <f t="shared" si="84"/>
        <v>14755.099999999999</v>
      </c>
      <c r="L121" s="427">
        <f t="shared" si="84"/>
        <v>15205.3</v>
      </c>
      <c r="M121" s="427">
        <f t="shared" si="84"/>
        <v>15380.9</v>
      </c>
      <c r="N121" s="427">
        <f t="shared" si="84"/>
        <v>15947.7</v>
      </c>
      <c r="O121" s="427">
        <f t="shared" si="84"/>
        <v>16336.5</v>
      </c>
      <c r="P121" s="427">
        <f t="shared" ref="P121:T121" si="85">SUM(P122:P125)</f>
        <v>16714.8</v>
      </c>
      <c r="Q121" s="427">
        <f t="shared" si="85"/>
        <v>16890.899999999998</v>
      </c>
      <c r="R121" s="427">
        <f t="shared" si="85"/>
        <v>17146.100000000002</v>
      </c>
      <c r="S121" s="340">
        <f t="shared" si="85"/>
        <v>17590.599999999999</v>
      </c>
      <c r="T121" s="340">
        <f t="shared" si="85"/>
        <v>17805.900000000001</v>
      </c>
      <c r="U121" s="340">
        <f t="shared" ref="U121:W121" si="86">SUM(U122:U125)</f>
        <v>18127.5</v>
      </c>
      <c r="V121" s="340">
        <f t="shared" si="86"/>
        <v>18387.5</v>
      </c>
      <c r="W121" s="340">
        <f t="shared" si="86"/>
        <v>18629.3</v>
      </c>
      <c r="X121" s="340">
        <f t="shared" ref="X121:Y121" si="87">SUM(X122:X125)</f>
        <v>18878.2</v>
      </c>
      <c r="Y121" s="340">
        <f t="shared" si="87"/>
        <v>19227.800000000003</v>
      </c>
      <c r="Z121" s="340">
        <f t="shared" ref="Z121" si="88">SUM(Z122:Z125)</f>
        <v>19369.399999999998</v>
      </c>
      <c r="AA121" s="340">
        <f>SUM(AA122:AA125)</f>
        <v>19485.5</v>
      </c>
      <c r="AB121" s="340">
        <f>SUM(AB122:AB125)</f>
        <v>19723.599999999999</v>
      </c>
      <c r="AC121" s="315"/>
      <c r="AD121" s="315"/>
      <c r="AE121" s="315"/>
      <c r="AF121" s="315"/>
      <c r="AG121" s="315"/>
      <c r="AH121" s="315"/>
      <c r="AI121" s="315"/>
      <c r="AJ121" s="315"/>
    </row>
    <row r="122" spans="4:36" x14ac:dyDescent="0.35">
      <c r="D122" s="850" t="s">
        <v>783</v>
      </c>
      <c r="E122" s="235" t="s">
        <v>779</v>
      </c>
      <c r="F122" s="914">
        <f>'Haver Pivoted'!GQ81</f>
        <v>9285</v>
      </c>
      <c r="G122" s="427">
        <f>'Haver Pivoted'!GR81</f>
        <v>9341</v>
      </c>
      <c r="H122" s="427">
        <f>'Haver Pivoted'!GS81</f>
        <v>9488.7999999999993</v>
      </c>
      <c r="I122" s="427">
        <f>'Haver Pivoted'!GT81</f>
        <v>9636.5</v>
      </c>
      <c r="J122" s="427">
        <f>'Haver Pivoted'!GU81</f>
        <v>9005.2999999999993</v>
      </c>
      <c r="K122" s="427">
        <f>'Haver Pivoted'!GV81</f>
        <v>9441.7999999999993</v>
      </c>
      <c r="L122" s="427">
        <f>'Haver Pivoted'!GW81</f>
        <v>9809.5</v>
      </c>
      <c r="M122" s="427">
        <f>'Haver Pivoted'!GX81</f>
        <v>9889.7999999999993</v>
      </c>
      <c r="N122" s="427">
        <f>'Haver Pivoted'!GY81</f>
        <v>10182.5</v>
      </c>
      <c r="O122" s="427">
        <f>'Haver Pivoted'!GZ81</f>
        <v>10462.799999999999</v>
      </c>
      <c r="P122" s="427">
        <f>'Haver Pivoted'!HA81</f>
        <v>10772</v>
      </c>
      <c r="Q122" s="427">
        <f>'Haver Pivoted'!HB81</f>
        <v>10909.7</v>
      </c>
      <c r="R122" s="427">
        <f>'Haver Pivoted'!HC81</f>
        <v>11012.9</v>
      </c>
      <c r="S122" s="340">
        <f>'Haver Pivoted'!HD81</f>
        <v>11296.3</v>
      </c>
      <c r="T122" s="340">
        <f>'Haver Pivoted'!HE81</f>
        <v>11343.1</v>
      </c>
      <c r="U122" s="340">
        <f>'Haver Pivoted'!HF81</f>
        <v>11499.3</v>
      </c>
      <c r="V122" s="340">
        <f>'Haver Pivoted'!HG81</f>
        <v>11660.4</v>
      </c>
      <c r="W122" s="340">
        <f>'Haver Pivoted'!HH81</f>
        <v>11843.5</v>
      </c>
      <c r="X122" s="340">
        <f>'Haver Pivoted'!HI81</f>
        <v>11975.4</v>
      </c>
      <c r="Y122" s="340">
        <f>'Haver Pivoted'!HJ81</f>
        <v>12270.7</v>
      </c>
      <c r="Z122" s="340">
        <f>'Haver Pivoted'!HK81</f>
        <v>12363.5</v>
      </c>
      <c r="AA122" s="340">
        <f>'Haver Pivoted'!HL81</f>
        <v>12477.5</v>
      </c>
      <c r="AB122" s="340">
        <f>'Haver Pivoted'!HM81</f>
        <v>12657</v>
      </c>
      <c r="AC122" s="315"/>
      <c r="AD122" s="315"/>
      <c r="AE122" s="315"/>
      <c r="AF122" s="315"/>
      <c r="AG122" s="315"/>
      <c r="AH122" s="315"/>
      <c r="AI122" s="315"/>
      <c r="AJ122" s="315"/>
    </row>
    <row r="123" spans="4:36" x14ac:dyDescent="0.35">
      <c r="D123" s="850" t="s">
        <v>510</v>
      </c>
      <c r="E123" s="235" t="s">
        <v>780</v>
      </c>
      <c r="F123" s="914">
        <f>'Haver Pivoted'!GQ82</f>
        <v>1535.6</v>
      </c>
      <c r="G123" s="427">
        <f>'Haver Pivoted'!GR82</f>
        <v>1570.9</v>
      </c>
      <c r="H123" s="427">
        <f>'Haver Pivoted'!GS82</f>
        <v>1582.7</v>
      </c>
      <c r="I123" s="427">
        <f>'Haver Pivoted'!GT82</f>
        <v>1577.7</v>
      </c>
      <c r="J123" s="427">
        <f>'Haver Pivoted'!GU82</f>
        <v>1424.4</v>
      </c>
      <c r="K123" s="427">
        <f>'Haver Pivoted'!GV82</f>
        <v>1705.8</v>
      </c>
      <c r="L123" s="427">
        <f>'Haver Pivoted'!GW82</f>
        <v>1668.1</v>
      </c>
      <c r="M123" s="427">
        <f>'Haver Pivoted'!GX82</f>
        <v>1697.5</v>
      </c>
      <c r="N123" s="427">
        <f>'Haver Pivoted'!GY82</f>
        <v>1845.5</v>
      </c>
      <c r="O123" s="427">
        <f>'Haver Pivoted'!GZ82</f>
        <v>1867.1</v>
      </c>
      <c r="P123" s="427">
        <f>'Haver Pivoted'!HA82</f>
        <v>1850.8</v>
      </c>
      <c r="Q123" s="427">
        <f>'Haver Pivoted'!HB82</f>
        <v>1833.3</v>
      </c>
      <c r="R123" s="427">
        <f>'Haver Pivoted'!HC82</f>
        <v>1850.1</v>
      </c>
      <c r="S123" s="340">
        <f>'Haver Pivoted'!HD82</f>
        <v>1895.3</v>
      </c>
      <c r="T123" s="340">
        <f>'Haver Pivoted'!HE82</f>
        <v>1915.5</v>
      </c>
      <c r="U123" s="340">
        <f>'Haver Pivoted'!HF82</f>
        <v>1934.7</v>
      </c>
      <c r="V123" s="340">
        <f>'Haver Pivoted'!HG82</f>
        <v>1936.6</v>
      </c>
      <c r="W123" s="340">
        <f>'Haver Pivoted'!HH82</f>
        <v>1954.6</v>
      </c>
      <c r="X123" s="340">
        <f>'Haver Pivoted'!HI82</f>
        <v>1970.1</v>
      </c>
      <c r="Y123" s="340">
        <f>'Haver Pivoted'!HJ82</f>
        <v>1972.1</v>
      </c>
      <c r="Z123" s="340">
        <f>'Haver Pivoted'!HK82</f>
        <v>2002.3</v>
      </c>
      <c r="AA123" s="340">
        <f>'Haver Pivoted'!HL82</f>
        <v>2013.5</v>
      </c>
      <c r="AB123" s="340">
        <f>'Haver Pivoted'!HM82</f>
        <v>2027.3</v>
      </c>
      <c r="AC123" s="315"/>
      <c r="AD123" s="315"/>
      <c r="AE123" s="315"/>
      <c r="AF123" s="315"/>
      <c r="AG123" s="315"/>
      <c r="AH123" s="315"/>
      <c r="AI123" s="315"/>
      <c r="AJ123" s="315"/>
    </row>
    <row r="124" spans="4:36" x14ac:dyDescent="0.35">
      <c r="D124" s="850" t="s">
        <v>511</v>
      </c>
      <c r="E124" s="235" t="s">
        <v>786</v>
      </c>
      <c r="F124" s="914">
        <f>'Haver Pivoted'!GQ83</f>
        <v>682.8</v>
      </c>
      <c r="G124" s="427">
        <f>'Haver Pivoted'!GR83</f>
        <v>690.2</v>
      </c>
      <c r="H124" s="427">
        <f>'Haver Pivoted'!GS83</f>
        <v>706.3</v>
      </c>
      <c r="I124" s="427">
        <f>'Haver Pivoted'!GT83</f>
        <v>729.3</v>
      </c>
      <c r="J124" s="427">
        <f>'Haver Pivoted'!GU83</f>
        <v>731.2</v>
      </c>
      <c r="K124" s="427">
        <f>'Haver Pivoted'!GV83</f>
        <v>744.6</v>
      </c>
      <c r="L124" s="427">
        <f>'Haver Pivoted'!GW83</f>
        <v>747.4</v>
      </c>
      <c r="M124" s="427">
        <f>'Haver Pivoted'!GX83</f>
        <v>745.6</v>
      </c>
      <c r="N124" s="427">
        <f>'Haver Pivoted'!GY83</f>
        <v>761.6</v>
      </c>
      <c r="O124" s="427">
        <f>'Haver Pivoted'!GZ83</f>
        <v>781.2</v>
      </c>
      <c r="P124" s="427">
        <f>'Haver Pivoted'!HA83</f>
        <v>800.7</v>
      </c>
      <c r="Q124" s="427">
        <f>'Haver Pivoted'!HB83</f>
        <v>814.3</v>
      </c>
      <c r="R124" s="427">
        <f>'Haver Pivoted'!HC83</f>
        <v>858.2</v>
      </c>
      <c r="S124" s="340">
        <f>'Haver Pivoted'!HD83</f>
        <v>889.5</v>
      </c>
      <c r="T124" s="340">
        <f>'Haver Pivoted'!HE83</f>
        <v>919.1</v>
      </c>
      <c r="U124" s="340">
        <f>'Haver Pivoted'!HF83</f>
        <v>963.6</v>
      </c>
      <c r="V124" s="340">
        <f>'Haver Pivoted'!HG83</f>
        <v>984.1</v>
      </c>
      <c r="W124" s="340">
        <f>'Haver Pivoted'!HH83</f>
        <v>995</v>
      </c>
      <c r="X124" s="340">
        <f>'Haver Pivoted'!HI83</f>
        <v>1013.6</v>
      </c>
      <c r="Y124" s="340">
        <f>'Haver Pivoted'!HJ83</f>
        <v>1046.0999999999999</v>
      </c>
      <c r="Z124" s="340">
        <f>'Haver Pivoted'!HK83</f>
        <v>1053.4000000000001</v>
      </c>
      <c r="AA124" s="340">
        <f>'Haver Pivoted'!HL83</f>
        <v>1055.7</v>
      </c>
      <c r="AB124" s="340">
        <f>'Haver Pivoted'!HM83</f>
        <v>1073.8</v>
      </c>
      <c r="AC124" s="315"/>
      <c r="AD124" s="315"/>
      <c r="AE124" s="315"/>
      <c r="AF124" s="315"/>
      <c r="AG124" s="315"/>
      <c r="AH124" s="315"/>
      <c r="AI124" s="315"/>
      <c r="AJ124" s="315"/>
    </row>
    <row r="125" spans="4:36" x14ac:dyDescent="0.35">
      <c r="D125" s="850" t="s">
        <v>512</v>
      </c>
      <c r="E125" s="235" t="s">
        <v>782</v>
      </c>
      <c r="F125" s="914">
        <f>'Haver Pivoted'!GQ84</f>
        <v>2961.5</v>
      </c>
      <c r="G125" s="427">
        <f>'Haver Pivoted'!GR84</f>
        <v>2962.7</v>
      </c>
      <c r="H125" s="427">
        <f>'Haver Pivoted'!GS84</f>
        <v>2955.4</v>
      </c>
      <c r="I125" s="427">
        <f>'Haver Pivoted'!GT84</f>
        <v>2932.4</v>
      </c>
      <c r="J125" s="427">
        <f>'Haver Pivoted'!GU84</f>
        <v>2874</v>
      </c>
      <c r="K125" s="427">
        <f>'Haver Pivoted'!GV84</f>
        <v>2862.9</v>
      </c>
      <c r="L125" s="427">
        <f>'Haver Pivoted'!GW84</f>
        <v>2980.3</v>
      </c>
      <c r="M125" s="427">
        <f>'Haver Pivoted'!GX84</f>
        <v>3048</v>
      </c>
      <c r="N125" s="427">
        <f>'Haver Pivoted'!GY84</f>
        <v>3158.1</v>
      </c>
      <c r="O125" s="427">
        <f>'Haver Pivoted'!GZ84</f>
        <v>3225.4</v>
      </c>
      <c r="P125" s="427">
        <f>'Haver Pivoted'!HA84</f>
        <v>3291.3</v>
      </c>
      <c r="Q125" s="427">
        <f>'Haver Pivoted'!HB84</f>
        <v>3333.6</v>
      </c>
      <c r="R125" s="427">
        <f>'Haver Pivoted'!HC84</f>
        <v>3424.9</v>
      </c>
      <c r="S125" s="340">
        <f>'Haver Pivoted'!HD84</f>
        <v>3509.5</v>
      </c>
      <c r="T125" s="340">
        <f>'Haver Pivoted'!HE84</f>
        <v>3628.2</v>
      </c>
      <c r="U125" s="340">
        <f>'Haver Pivoted'!HF84</f>
        <v>3729.9</v>
      </c>
      <c r="V125" s="340">
        <f>'Haver Pivoted'!HG84</f>
        <v>3806.4</v>
      </c>
      <c r="W125" s="340">
        <f>'Haver Pivoted'!HH84</f>
        <v>3836.2</v>
      </c>
      <c r="X125" s="340">
        <f>'Haver Pivoted'!HI84</f>
        <v>3919.1</v>
      </c>
      <c r="Y125" s="340">
        <f>'Haver Pivoted'!HJ84</f>
        <v>3938.9</v>
      </c>
      <c r="Z125" s="340">
        <f>'Haver Pivoted'!HK84</f>
        <v>3950.2</v>
      </c>
      <c r="AA125" s="340">
        <f>'Haver Pivoted'!HL84</f>
        <v>3938.8</v>
      </c>
      <c r="AB125" s="340">
        <f>'Haver Pivoted'!HM84</f>
        <v>3965.5</v>
      </c>
      <c r="AC125" s="315"/>
      <c r="AD125" s="315"/>
      <c r="AE125" s="315"/>
      <c r="AF125" s="315"/>
      <c r="AG125" s="315"/>
      <c r="AH125" s="315"/>
      <c r="AI125" s="315"/>
      <c r="AJ125" s="315"/>
    </row>
    <row r="126" spans="4:36" x14ac:dyDescent="0.35">
      <c r="D126" s="666" t="s">
        <v>499</v>
      </c>
      <c r="F126" s="914">
        <f>F122</f>
        <v>9285</v>
      </c>
      <c r="G126" s="427">
        <f t="shared" ref="G126:O126" si="89">G122</f>
        <v>9341</v>
      </c>
      <c r="H126" s="427">
        <f t="shared" si="89"/>
        <v>9488.7999999999993</v>
      </c>
      <c r="I126" s="427">
        <f t="shared" si="89"/>
        <v>9636.5</v>
      </c>
      <c r="J126" s="427">
        <f t="shared" si="89"/>
        <v>9005.2999999999993</v>
      </c>
      <c r="K126" s="427">
        <f t="shared" si="89"/>
        <v>9441.7999999999993</v>
      </c>
      <c r="L126" s="427">
        <f t="shared" si="89"/>
        <v>9809.5</v>
      </c>
      <c r="M126" s="427">
        <f t="shared" si="89"/>
        <v>9889.7999999999993</v>
      </c>
      <c r="N126" s="427">
        <f t="shared" si="89"/>
        <v>10182.5</v>
      </c>
      <c r="O126" s="427">
        <f t="shared" si="89"/>
        <v>10462.799999999999</v>
      </c>
      <c r="P126" s="427">
        <f t="shared" ref="P126:T126" si="90">P122</f>
        <v>10772</v>
      </c>
      <c r="Q126" s="427">
        <f t="shared" si="90"/>
        <v>10909.7</v>
      </c>
      <c r="R126" s="427">
        <f t="shared" si="90"/>
        <v>11012.9</v>
      </c>
      <c r="S126" s="340">
        <f t="shared" si="90"/>
        <v>11296.3</v>
      </c>
      <c r="T126" s="340">
        <f t="shared" si="90"/>
        <v>11343.1</v>
      </c>
      <c r="U126" s="340">
        <f t="shared" ref="U126:W126" si="91">U122</f>
        <v>11499.3</v>
      </c>
      <c r="V126" s="340">
        <f t="shared" si="91"/>
        <v>11660.4</v>
      </c>
      <c r="W126" s="340">
        <f t="shared" si="91"/>
        <v>11843.5</v>
      </c>
      <c r="X126" s="340">
        <f t="shared" ref="X126:Y126" si="92">X122</f>
        <v>11975.4</v>
      </c>
      <c r="Y126" s="340">
        <f t="shared" si="92"/>
        <v>12270.7</v>
      </c>
      <c r="Z126" s="340">
        <f t="shared" ref="Z126" si="93">Z122</f>
        <v>12363.5</v>
      </c>
      <c r="AA126" s="340">
        <f t="shared" ref="AA126:AB126" si="94">AA122</f>
        <v>12477.5</v>
      </c>
      <c r="AB126" s="340">
        <f t="shared" si="94"/>
        <v>12657</v>
      </c>
      <c r="AC126" s="315"/>
      <c r="AD126" s="315"/>
      <c r="AE126" s="315"/>
      <c r="AF126" s="315"/>
      <c r="AG126" s="315"/>
      <c r="AH126" s="315"/>
      <c r="AI126" s="315"/>
      <c r="AJ126" s="315"/>
    </row>
    <row r="127" spans="4:36" x14ac:dyDescent="0.35">
      <c r="D127" s="666" t="s">
        <v>500</v>
      </c>
      <c r="E127" s="235" t="s">
        <v>516</v>
      </c>
      <c r="F127" s="914">
        <f>'Haver Pivoted'!GQ5</f>
        <v>14350.7</v>
      </c>
      <c r="G127" s="427">
        <f>'Haver Pivoted'!GR5</f>
        <v>14548.3</v>
      </c>
      <c r="H127" s="427">
        <f>'Haver Pivoted'!GS5</f>
        <v>14701</v>
      </c>
      <c r="I127" s="427">
        <f>'Haver Pivoted'!GT5</f>
        <v>14496.2</v>
      </c>
      <c r="J127" s="427">
        <f>'Haver Pivoted'!GU5</f>
        <v>13175.6</v>
      </c>
      <c r="K127" s="427">
        <f>'Haver Pivoted'!GV5</f>
        <v>14478</v>
      </c>
      <c r="L127" s="427">
        <f>'Haver Pivoted'!GW5</f>
        <v>14752.7</v>
      </c>
      <c r="M127" s="427">
        <f>'Haver Pivoted'!GX5</f>
        <v>15259.4</v>
      </c>
      <c r="N127" s="427">
        <f>'Haver Pivoted'!GY5</f>
        <v>16016.3</v>
      </c>
      <c r="O127" s="427">
        <f>'Haver Pivoted'!GZ5</f>
        <v>16363.9</v>
      </c>
      <c r="P127" s="427">
        <f>'Haver Pivoted'!HA5</f>
        <v>16816.099999999999</v>
      </c>
      <c r="Q127" s="427">
        <f>'Haver Pivoted'!HB5</f>
        <v>17175.099999999999</v>
      </c>
      <c r="R127" s="427">
        <f>'Haver Pivoted'!HC5</f>
        <v>17603.8</v>
      </c>
      <c r="S127" s="340">
        <f>'Haver Pivoted'!HD5</f>
        <v>17876.2</v>
      </c>
      <c r="T127" s="340">
        <f>'Haver Pivoted'!HE5</f>
        <v>18108.3</v>
      </c>
      <c r="U127" s="340">
        <f>'Haver Pivoted'!HF5</f>
        <v>18506.2</v>
      </c>
      <c r="V127" s="340">
        <f>'Haver Pivoted'!HG5</f>
        <v>18685.7</v>
      </c>
      <c r="W127" s="340">
        <f>'Haver Pivoted'!HH5</f>
        <v>18929</v>
      </c>
      <c r="X127" s="340">
        <f>'Haver Pivoted'!HI5</f>
        <v>19170.2</v>
      </c>
      <c r="Y127" s="340">
        <f>'Haver Pivoted'!HJ5</f>
        <v>19424.8</v>
      </c>
      <c r="Z127" s="340">
        <f>'Haver Pivoted'!HK5</f>
        <v>19682.7</v>
      </c>
      <c r="AA127" s="340">
        <f>'Haver Pivoted'!HL5</f>
        <v>19938.400000000001</v>
      </c>
      <c r="AB127" s="340">
        <f>'Haver Pivoted'!HM5</f>
        <v>20258.400000000001</v>
      </c>
      <c r="AC127" s="315"/>
      <c r="AD127" s="315"/>
      <c r="AE127" s="315"/>
      <c r="AF127" s="315"/>
      <c r="AG127" s="315"/>
      <c r="AH127" s="315"/>
      <c r="AI127" s="315"/>
      <c r="AJ127" s="315"/>
    </row>
    <row r="128" spans="4:36" x14ac:dyDescent="0.35">
      <c r="D128" s="666" t="s">
        <v>513</v>
      </c>
      <c r="E128" s="235" t="s">
        <v>781</v>
      </c>
      <c r="F128" s="914">
        <f>'Haver Pivoted'!GQ85</f>
        <v>1906.5</v>
      </c>
      <c r="G128" s="427">
        <f>'Haver Pivoted'!GR85</f>
        <v>1968.1</v>
      </c>
      <c r="H128" s="427">
        <f>'Haver Pivoted'!GS85</f>
        <v>2003.2</v>
      </c>
      <c r="I128" s="427">
        <f>'Haver Pivoted'!GT85</f>
        <v>1752.6</v>
      </c>
      <c r="J128" s="427">
        <f>'Haver Pivoted'!GU85</f>
        <v>1686.1</v>
      </c>
      <c r="K128" s="427">
        <f>'Haver Pivoted'!GV85</f>
        <v>2323.9</v>
      </c>
      <c r="L128" s="427">
        <f>'Haver Pivoted'!GW85</f>
        <v>2101.5</v>
      </c>
      <c r="M128" s="427">
        <f>'Haver Pivoted'!GX85</f>
        <v>2438.6999999999998</v>
      </c>
      <c r="N128" s="427">
        <f>'Haver Pivoted'!GY85</f>
        <v>2763.8</v>
      </c>
      <c r="O128" s="427">
        <f>'Haver Pivoted'!GZ85</f>
        <v>2747.4</v>
      </c>
      <c r="P128" s="427">
        <f>'Haver Pivoted'!HA85</f>
        <v>2751.8</v>
      </c>
      <c r="Q128" s="427">
        <f>'Haver Pivoted'!HB85</f>
        <v>2738.7</v>
      </c>
      <c r="R128" s="340">
        <f>'Haver Pivoted'!HC85</f>
        <v>2876.9</v>
      </c>
      <c r="S128" s="340">
        <f>'Haver Pivoted'!HD85</f>
        <v>2950.7</v>
      </c>
      <c r="T128" s="340">
        <f>'Haver Pivoted'!HE85</f>
        <v>2921.1</v>
      </c>
      <c r="U128" s="340">
        <f>'Haver Pivoted'!HF85</f>
        <v>2941.2</v>
      </c>
      <c r="V128" s="340">
        <f>'Haver Pivoted'!HG85</f>
        <v>2953.4</v>
      </c>
      <c r="W128" s="340">
        <f>'Haver Pivoted'!HH85</f>
        <v>3079.7</v>
      </c>
      <c r="X128" s="340">
        <f>'Haver Pivoted'!HI85</f>
        <v>3253.6</v>
      </c>
      <c r="Y128" s="340">
        <f>'Haver Pivoted'!HJ85</f>
        <v>3186.2</v>
      </c>
      <c r="Z128" s="340">
        <f>'Haver Pivoted'!HK85</f>
        <v>3337.4</v>
      </c>
      <c r="AA128" s="340">
        <f>'Haver Pivoted'!HL85</f>
        <v>3365.3</v>
      </c>
      <c r="AB128" s="340">
        <f>'Haver Pivoted'!HM85</f>
        <v>0</v>
      </c>
      <c r="AC128" s="315"/>
      <c r="AD128" s="315"/>
      <c r="AE128" s="315"/>
      <c r="AF128" s="315"/>
      <c r="AG128" s="315"/>
      <c r="AH128" s="315"/>
      <c r="AI128" s="315"/>
      <c r="AJ128" s="315"/>
    </row>
    <row r="129" spans="4:36" x14ac:dyDescent="0.35">
      <c r="D129" s="276" t="s">
        <v>514</v>
      </c>
      <c r="F129" s="263"/>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row>
    <row r="130" spans="4:36" x14ac:dyDescent="0.35">
      <c r="D130" s="792" t="s">
        <v>484</v>
      </c>
      <c r="F130" s="762">
        <f t="shared" ref="F130:AA130" si="95">F21/F121</f>
        <v>3.670955208815823E-2</v>
      </c>
      <c r="G130" s="788">
        <f t="shared" si="95"/>
        <v>3.4027243765791498E-2</v>
      </c>
      <c r="H130" s="788">
        <f t="shared" si="95"/>
        <v>3.3265006923139578E-2</v>
      </c>
      <c r="I130" s="788">
        <f t="shared" si="95"/>
        <v>3.3107240570318434E-2</v>
      </c>
      <c r="J130" s="788">
        <f t="shared" si="95"/>
        <v>3.4570962386621919E-2</v>
      </c>
      <c r="K130" s="788">
        <f t="shared" si="95"/>
        <v>3.4672757216149E-2</v>
      </c>
      <c r="L130" s="788">
        <f t="shared" si="95"/>
        <v>3.4751040755526034E-2</v>
      </c>
      <c r="M130" s="788">
        <f t="shared" si="95"/>
        <v>3.6343777022150851E-2</v>
      </c>
      <c r="N130" s="788">
        <f t="shared" si="95"/>
        <v>3.6751381076895101E-2</v>
      </c>
      <c r="O130" s="788">
        <f t="shared" si="95"/>
        <v>3.528295534539222E-2</v>
      </c>
      <c r="P130" s="788">
        <f t="shared" si="95"/>
        <v>3.5842486897839046E-2</v>
      </c>
      <c r="Q130" s="788">
        <f t="shared" si="95"/>
        <v>3.8878922970356826E-2</v>
      </c>
      <c r="R130" s="788">
        <f t="shared" si="95"/>
        <v>4.0423186613865542E-2</v>
      </c>
      <c r="S130" s="786">
        <f t="shared" si="95"/>
        <v>3.3915841415301358E-2</v>
      </c>
      <c r="T130" s="786">
        <f t="shared" si="95"/>
        <v>3.4123520855446787E-2</v>
      </c>
      <c r="U130" s="759">
        <f t="shared" si="95"/>
        <v>3.1885257205902635E-2</v>
      </c>
      <c r="V130" s="759">
        <f t="shared" si="95"/>
        <v>3.1630183548606389E-2</v>
      </c>
      <c r="W130" s="759">
        <f t="shared" si="95"/>
        <v>3.2502563166624622E-2</v>
      </c>
      <c r="X130" s="759">
        <f t="shared" si="95"/>
        <v>3.2423642084520768E-2</v>
      </c>
      <c r="Y130" s="759">
        <f t="shared" si="95"/>
        <v>3.1698894309281349E-2</v>
      </c>
      <c r="Z130" s="759">
        <f t="shared" si="95"/>
        <v>3.2525529959627042E-2</v>
      </c>
      <c r="AA130" s="759">
        <f t="shared" si="95"/>
        <v>3.364039927125298E-2</v>
      </c>
      <c r="AB130" s="759">
        <f t="shared" ref="AB130" si="96">AB21/AB121</f>
        <v>3.366525380762133E-2</v>
      </c>
      <c r="AC130" s="787">
        <f t="shared" ref="AC130:AC132" si="97">AB130</f>
        <v>3.366525380762133E-2</v>
      </c>
      <c r="AD130" s="787">
        <f t="shared" ref="AD130:AD133" si="98">AC130</f>
        <v>3.366525380762133E-2</v>
      </c>
      <c r="AE130" s="787">
        <f t="shared" ref="AE130:AE133" si="99">AD130</f>
        <v>3.366525380762133E-2</v>
      </c>
      <c r="AF130" s="787">
        <f t="shared" ref="AF130:AF132" si="100">AE130</f>
        <v>3.366525380762133E-2</v>
      </c>
      <c r="AG130" s="787">
        <f>AF130</f>
        <v>3.366525380762133E-2</v>
      </c>
      <c r="AH130" s="787">
        <f t="shared" ref="AH130:AJ130" si="101">AG130</f>
        <v>3.366525380762133E-2</v>
      </c>
      <c r="AI130" s="787">
        <f t="shared" si="101"/>
        <v>3.366525380762133E-2</v>
      </c>
      <c r="AJ130" s="787">
        <f t="shared" si="101"/>
        <v>3.366525380762133E-2</v>
      </c>
    </row>
    <row r="131" spans="4:36" x14ac:dyDescent="0.35">
      <c r="D131" s="792" t="s">
        <v>481</v>
      </c>
      <c r="F131" s="762">
        <f t="shared" ref="F131:AA131" si="102">F23/F126</f>
        <v>2.2401723209477652E-3</v>
      </c>
      <c r="G131" s="788">
        <f t="shared" si="102"/>
        <v>2.2053313349748422E-3</v>
      </c>
      <c r="H131" s="788">
        <f t="shared" si="102"/>
        <v>2.1604417839979767E-3</v>
      </c>
      <c r="I131" s="788">
        <f t="shared" si="102"/>
        <v>2.1065739635759873E-3</v>
      </c>
      <c r="J131" s="788">
        <f t="shared" si="102"/>
        <v>2.1431823481727428E-3</v>
      </c>
      <c r="K131" s="788">
        <f t="shared" si="102"/>
        <v>2.1076489652396787E-3</v>
      </c>
      <c r="L131" s="788">
        <f t="shared" si="102"/>
        <v>2.1000050970997504E-3</v>
      </c>
      <c r="M131" s="788">
        <f t="shared" si="102"/>
        <v>2.153734150336711E-3</v>
      </c>
      <c r="N131" s="788">
        <f t="shared" si="102"/>
        <v>2.1605696047139701E-3</v>
      </c>
      <c r="O131" s="788">
        <f t="shared" si="102"/>
        <v>2.1600336430018735E-3</v>
      </c>
      <c r="P131" s="788">
        <f t="shared" si="102"/>
        <v>2.1444485703676201E-3</v>
      </c>
      <c r="Q131" s="788">
        <f t="shared" si="102"/>
        <v>2.1448802441863661E-3</v>
      </c>
      <c r="R131" s="788">
        <f t="shared" si="102"/>
        <v>2.0975401574517159E-3</v>
      </c>
      <c r="S131" s="786">
        <f t="shared" si="102"/>
        <v>2.009507537866381E-3</v>
      </c>
      <c r="T131" s="786">
        <f t="shared" si="102"/>
        <v>1.9218732092637816E-3</v>
      </c>
      <c r="U131" s="759">
        <f t="shared" si="102"/>
        <v>1.808805753393685E-3</v>
      </c>
      <c r="V131" s="759">
        <f t="shared" si="102"/>
        <v>1.7580872011251759E-3</v>
      </c>
      <c r="W131" s="759">
        <f t="shared" si="102"/>
        <v>1.7900113986574913E-3</v>
      </c>
      <c r="X131" s="759">
        <f t="shared" si="102"/>
        <v>1.9039030011523625E-3</v>
      </c>
      <c r="Y131" s="759">
        <f t="shared" si="102"/>
        <v>2.0373735809693008E-3</v>
      </c>
      <c r="Z131" s="759">
        <f t="shared" si="102"/>
        <v>2.1595826424556154E-3</v>
      </c>
      <c r="AA131" s="759">
        <f t="shared" si="102"/>
        <v>2.2039671408535366E-3</v>
      </c>
      <c r="AB131" s="759">
        <f t="shared" ref="AB131" si="103">AB23/AB126</f>
        <v>2.1806115193173741E-3</v>
      </c>
      <c r="AC131" s="787">
        <f t="shared" si="97"/>
        <v>2.1806115193173741E-3</v>
      </c>
      <c r="AD131" s="787">
        <f t="shared" si="98"/>
        <v>2.1806115193173741E-3</v>
      </c>
      <c r="AE131" s="787">
        <f t="shared" si="99"/>
        <v>2.1806115193173741E-3</v>
      </c>
      <c r="AF131" s="787">
        <f t="shared" si="100"/>
        <v>2.1806115193173741E-3</v>
      </c>
      <c r="AG131" s="787">
        <f>AF131</f>
        <v>2.1806115193173741E-3</v>
      </c>
      <c r="AH131" s="787">
        <f t="shared" ref="AH131:AJ132" si="104">AG131</f>
        <v>2.1806115193173741E-3</v>
      </c>
      <c r="AI131" s="787">
        <f t="shared" si="104"/>
        <v>2.1806115193173741E-3</v>
      </c>
      <c r="AJ131" s="787">
        <f t="shared" si="104"/>
        <v>2.1806115193173741E-3</v>
      </c>
    </row>
    <row r="132" spans="4:36" x14ac:dyDescent="0.35">
      <c r="D132" s="792" t="s">
        <v>482</v>
      </c>
      <c r="F132" s="762">
        <f t="shared" ref="F132:AA132" si="105">F24/F127</f>
        <v>9.414174918296668E-2</v>
      </c>
      <c r="G132" s="788">
        <f t="shared" si="105"/>
        <v>9.4636486737282019E-2</v>
      </c>
      <c r="H132" s="788">
        <f t="shared" si="105"/>
        <v>9.343582069246989E-2</v>
      </c>
      <c r="I132" s="788">
        <f t="shared" si="105"/>
        <v>9.4721375256963877E-2</v>
      </c>
      <c r="J132" s="788">
        <f t="shared" si="105"/>
        <v>9.7809587419168773E-2</v>
      </c>
      <c r="K132" s="788">
        <f t="shared" si="105"/>
        <v>9.6021549937836723E-2</v>
      </c>
      <c r="L132" s="788">
        <f t="shared" si="105"/>
        <v>9.569095826526669E-2</v>
      </c>
      <c r="M132" s="788">
        <f t="shared" si="105"/>
        <v>9.4119034824436093E-2</v>
      </c>
      <c r="N132" s="788">
        <f t="shared" si="105"/>
        <v>9.5171793735132335E-2</v>
      </c>
      <c r="O132" s="788">
        <f t="shared" si="105"/>
        <v>9.4005707685820616E-2</v>
      </c>
      <c r="P132" s="788">
        <f t="shared" si="105"/>
        <v>9.3915949595922962E-2</v>
      </c>
      <c r="Q132" s="788">
        <f t="shared" si="105"/>
        <v>9.3466704706231696E-2</v>
      </c>
      <c r="R132" s="788">
        <f t="shared" si="105"/>
        <v>9.3400288574057883E-2</v>
      </c>
      <c r="S132" s="786">
        <f t="shared" si="105"/>
        <v>9.3319609312941226E-2</v>
      </c>
      <c r="T132" s="786">
        <f t="shared" si="105"/>
        <v>9.2603944047757111E-2</v>
      </c>
      <c r="U132" s="759">
        <f t="shared" si="105"/>
        <v>9.1742226929353396E-2</v>
      </c>
      <c r="V132" s="759">
        <f t="shared" si="105"/>
        <v>9.1481721316300696E-2</v>
      </c>
      <c r="W132" s="759">
        <f t="shared" si="105"/>
        <v>9.1077183158117178E-2</v>
      </c>
      <c r="X132" s="759">
        <f t="shared" si="105"/>
        <v>9.0990182679366927E-2</v>
      </c>
      <c r="Y132" s="759">
        <f t="shared" si="105"/>
        <v>9.0647007948601782E-2</v>
      </c>
      <c r="Z132" s="759">
        <f t="shared" si="105"/>
        <v>9.0551601152280933E-2</v>
      </c>
      <c r="AA132" s="759">
        <f t="shared" si="105"/>
        <v>9.0002206796934547E-2</v>
      </c>
      <c r="AB132" s="759">
        <f t="shared" ref="AB132" si="106">AB24/AB127</f>
        <v>9.0012044386526074E-2</v>
      </c>
      <c r="AC132" s="787">
        <f t="shared" si="97"/>
        <v>9.0012044386526074E-2</v>
      </c>
      <c r="AD132" s="787">
        <f t="shared" si="98"/>
        <v>9.0012044386526074E-2</v>
      </c>
      <c r="AE132" s="787">
        <f t="shared" si="99"/>
        <v>9.0012044386526074E-2</v>
      </c>
      <c r="AF132" s="787">
        <f t="shared" si="100"/>
        <v>9.0012044386526074E-2</v>
      </c>
      <c r="AG132" s="787">
        <f t="shared" ref="AG132" si="107">AF132</f>
        <v>9.0012044386526074E-2</v>
      </c>
      <c r="AH132" s="787">
        <f t="shared" si="104"/>
        <v>9.0012044386526074E-2</v>
      </c>
      <c r="AI132" s="787">
        <f t="shared" si="104"/>
        <v>9.0012044386526074E-2</v>
      </c>
      <c r="AJ132" s="787">
        <f t="shared" si="104"/>
        <v>9.0012044386526074E-2</v>
      </c>
    </row>
    <row r="133" spans="4:36" x14ac:dyDescent="0.35">
      <c r="D133" s="909" t="s">
        <v>515</v>
      </c>
      <c r="E133" s="356"/>
      <c r="F133" s="912">
        <f t="shared" ref="F133:AA133" si="108">F25/F128</f>
        <v>4.028324154209284E-2</v>
      </c>
      <c r="G133" s="913">
        <f t="shared" si="108"/>
        <v>3.7650525887912199E-2</v>
      </c>
      <c r="H133" s="913">
        <f t="shared" si="108"/>
        <v>3.5093849840255591E-2</v>
      </c>
      <c r="I133" s="913">
        <f t="shared" si="108"/>
        <v>3.6802464909277646E-2</v>
      </c>
      <c r="J133" s="913">
        <f t="shared" si="108"/>
        <v>3.9380819642963055E-2</v>
      </c>
      <c r="K133" s="913">
        <f t="shared" si="108"/>
        <v>3.5070355867292048E-2</v>
      </c>
      <c r="L133" s="913">
        <f t="shared" si="108"/>
        <v>3.9210088032357843E-2</v>
      </c>
      <c r="M133" s="913">
        <f t="shared" si="108"/>
        <v>3.4075532045762087E-2</v>
      </c>
      <c r="N133" s="913">
        <f t="shared" si="108"/>
        <v>3.3902597872494389E-2</v>
      </c>
      <c r="O133" s="913">
        <f t="shared" si="108"/>
        <v>4.3422872534032174E-2</v>
      </c>
      <c r="P133" s="913">
        <f t="shared" si="108"/>
        <v>6.1087288320372114E-2</v>
      </c>
      <c r="Q133" s="913">
        <f t="shared" si="108"/>
        <v>6.2365355825756752E-2</v>
      </c>
      <c r="R133" s="760">
        <f t="shared" si="108"/>
        <v>5.4781188084396394E-2</v>
      </c>
      <c r="S133" s="760">
        <f t="shared" si="108"/>
        <v>5.391940895380757E-2</v>
      </c>
      <c r="T133" s="872">
        <f t="shared" si="108"/>
        <v>5.5527027489644311E-2</v>
      </c>
      <c r="U133" s="789">
        <f t="shared" si="108"/>
        <v>5.3957568339453282E-2</v>
      </c>
      <c r="V133" s="789">
        <f t="shared" si="108"/>
        <v>5.4987472066093314E-2</v>
      </c>
      <c r="W133" s="789">
        <f t="shared" si="108"/>
        <v>5.3868883332792161E-2</v>
      </c>
      <c r="X133" s="789">
        <f t="shared" si="108"/>
        <v>5.1297024834030001E-2</v>
      </c>
      <c r="Y133" s="789">
        <f t="shared" si="108"/>
        <v>5.348063523947022E-2</v>
      </c>
      <c r="Z133" s="789">
        <f t="shared" si="108"/>
        <v>4.9140049140049137E-2</v>
      </c>
      <c r="AA133" s="789">
        <f t="shared" si="108"/>
        <v>4.8316643389890938E-2</v>
      </c>
      <c r="AB133" s="758">
        <f t="shared" ref="AB133" si="109">AA133</f>
        <v>4.8316643389890938E-2</v>
      </c>
      <c r="AC133" s="787">
        <f>AB133</f>
        <v>4.8316643389890938E-2</v>
      </c>
      <c r="AD133" s="787">
        <f t="shared" si="98"/>
        <v>4.8316643389890938E-2</v>
      </c>
      <c r="AE133" s="787">
        <f t="shared" si="99"/>
        <v>4.8316643389890938E-2</v>
      </c>
      <c r="AF133" s="787">
        <f>AE133</f>
        <v>4.8316643389890938E-2</v>
      </c>
      <c r="AG133" s="787">
        <f>AF133</f>
        <v>4.8316643389890938E-2</v>
      </c>
      <c r="AH133" s="787">
        <f t="shared" ref="AH133:AJ133" si="110">AG133</f>
        <v>4.8316643389890938E-2</v>
      </c>
      <c r="AI133" s="787">
        <f t="shared" si="110"/>
        <v>4.8316643389890938E-2</v>
      </c>
      <c r="AJ133" s="787">
        <f t="shared" si="110"/>
        <v>4.8316643389890938E-2</v>
      </c>
    </row>
    <row r="137" spans="4:36" x14ac:dyDescent="0.35">
      <c r="D137" s="1376" t="s">
        <v>1700</v>
      </c>
      <c r="E137" s="1376"/>
      <c r="F137" s="1376"/>
      <c r="G137" s="1376"/>
      <c r="H137" s="1376"/>
      <c r="I137" s="1376"/>
      <c r="J137" s="1376"/>
      <c r="K137" s="1376"/>
      <c r="L137" s="1376"/>
      <c r="M137" s="1376"/>
      <c r="N137" s="1376"/>
      <c r="O137" s="1376"/>
      <c r="P137" s="1376"/>
      <c r="Q137" s="1376"/>
      <c r="R137" s="1376"/>
      <c r="S137" s="1376"/>
      <c r="T137" s="1376"/>
      <c r="U137" s="1376"/>
      <c r="V137" s="1376"/>
      <c r="W137" s="1376"/>
      <c r="X137" s="1376"/>
      <c r="Y137" s="1376"/>
      <c r="Z137" s="1376"/>
      <c r="AA137" s="1376"/>
      <c r="AB137" s="1376"/>
      <c r="AC137" s="1376"/>
    </row>
    <row r="138" spans="4:36" x14ac:dyDescent="0.35">
      <c r="D138" s="883" t="s">
        <v>1693</v>
      </c>
      <c r="E138" s="741"/>
      <c r="F138" s="275"/>
      <c r="G138" s="275"/>
      <c r="H138" s="275"/>
      <c r="I138" s="275"/>
      <c r="J138" s="275"/>
      <c r="K138" s="275"/>
      <c r="L138" s="275"/>
      <c r="M138" s="275"/>
      <c r="N138" s="275"/>
      <c r="O138" s="275"/>
      <c r="P138" s="275"/>
      <c r="Q138" s="275"/>
      <c r="R138" s="275"/>
      <c r="S138" s="492"/>
      <c r="T138" s="275"/>
      <c r="U138" s="285"/>
      <c r="V138" s="285"/>
      <c r="W138" s="285"/>
      <c r="X138" s="285"/>
      <c r="Y138" s="285"/>
      <c r="Z138" s="285"/>
      <c r="AA138" s="285"/>
      <c r="AB138" s="285"/>
      <c r="AC138" s="211"/>
    </row>
    <row r="139" spans="4:36" x14ac:dyDescent="0.35">
      <c r="D139" s="873" t="s">
        <v>509</v>
      </c>
      <c r="E139" s="874"/>
      <c r="F139" s="875"/>
      <c r="G139" s="875">
        <f>(G121/F121)^4-1</f>
        <v>2.7913001349364253E-2</v>
      </c>
      <c r="H139" s="875">
        <f t="shared" ref="H139:S139" si="111">(H121/G121)^4-1</f>
        <v>4.7056786044947341E-2</v>
      </c>
      <c r="I139" s="875">
        <f t="shared" si="111"/>
        <v>3.9308941340777448E-2</v>
      </c>
      <c r="J139" s="875">
        <f t="shared" si="111"/>
        <v>-0.20767330318048161</v>
      </c>
      <c r="K139" s="875">
        <f t="shared" si="111"/>
        <v>0.22160650997768916</v>
      </c>
      <c r="L139" s="875">
        <f t="shared" si="111"/>
        <v>0.12774612606997193</v>
      </c>
      <c r="M139" s="875">
        <f t="shared" si="111"/>
        <v>4.7000819432919894E-2</v>
      </c>
      <c r="N139" s="875">
        <f t="shared" si="111"/>
        <v>0.15575354729693691</v>
      </c>
      <c r="O139" s="875">
        <f t="shared" si="111"/>
        <v>0.10114329593307891</v>
      </c>
      <c r="P139" s="875">
        <f t="shared" si="111"/>
        <v>9.5894303203679421E-2</v>
      </c>
      <c r="Q139" s="875">
        <f t="shared" si="111"/>
        <v>4.2812972925388104E-2</v>
      </c>
      <c r="R139" s="875">
        <f t="shared" si="111"/>
        <v>6.1818398365929728E-2</v>
      </c>
      <c r="S139" s="875">
        <f t="shared" si="111"/>
        <v>0.10779959808936046</v>
      </c>
      <c r="T139" s="876"/>
      <c r="U139" s="315"/>
      <c r="V139" s="315"/>
      <c r="W139" s="315"/>
      <c r="X139" s="315"/>
      <c r="Y139" s="315"/>
      <c r="Z139" s="315"/>
      <c r="AA139" s="315"/>
      <c r="AB139" s="315"/>
      <c r="AC139" s="424"/>
    </row>
    <row r="140" spans="4:36" x14ac:dyDescent="0.35">
      <c r="D140" s="877" t="s">
        <v>783</v>
      </c>
      <c r="E140" s="878"/>
      <c r="F140" s="875"/>
      <c r="G140" s="875">
        <f t="shared" ref="G140:S140" si="112">(G122/F122)^4-1</f>
        <v>2.4344066214849969E-2</v>
      </c>
      <c r="H140" s="875">
        <f t="shared" si="112"/>
        <v>6.4808926543423739E-2</v>
      </c>
      <c r="I140" s="875">
        <f t="shared" si="112"/>
        <v>6.3731772577288348E-2</v>
      </c>
      <c r="J140" s="875">
        <f t="shared" si="112"/>
        <v>-0.23736727268240676</v>
      </c>
      <c r="K140" s="875">
        <f t="shared" si="112"/>
        <v>0.20844376621817839</v>
      </c>
      <c r="L140" s="875">
        <f t="shared" si="112"/>
        <v>0.16511367309277247</v>
      </c>
      <c r="M140" s="875">
        <f t="shared" si="112"/>
        <v>3.314802533242589E-2</v>
      </c>
      <c r="N140" s="875">
        <f t="shared" si="112"/>
        <v>0.12374465481168762</v>
      </c>
      <c r="O140" s="875">
        <f t="shared" si="112"/>
        <v>0.11474111578039969</v>
      </c>
      <c r="P140" s="875">
        <f t="shared" si="112"/>
        <v>0.12355331155960547</v>
      </c>
      <c r="Q140" s="875">
        <f t="shared" si="112"/>
        <v>5.2121400356726078E-2</v>
      </c>
      <c r="R140" s="875">
        <f t="shared" si="112"/>
        <v>3.8378170832219727E-2</v>
      </c>
      <c r="S140" s="875">
        <f t="shared" si="112"/>
        <v>0.10697569974210452</v>
      </c>
      <c r="T140" s="876"/>
      <c r="U140" s="315"/>
      <c r="V140" s="315"/>
      <c r="W140" s="315"/>
      <c r="X140" s="315"/>
      <c r="Y140" s="315"/>
      <c r="Z140" s="315"/>
      <c r="AA140" s="315"/>
      <c r="AB140" s="315"/>
      <c r="AC140" s="424"/>
    </row>
    <row r="141" spans="4:36" x14ac:dyDescent="0.35">
      <c r="D141" s="877" t="s">
        <v>510</v>
      </c>
      <c r="E141" s="878"/>
      <c r="F141" s="875"/>
      <c r="G141" s="875">
        <f t="shared" ref="G141:S141" si="113">(G123/F123)^4-1</f>
        <v>9.5170520378034862E-2</v>
      </c>
      <c r="H141" s="875">
        <f t="shared" si="113"/>
        <v>3.0386715102811657E-2</v>
      </c>
      <c r="I141" s="875">
        <f t="shared" si="113"/>
        <v>-1.2576877927581664E-2</v>
      </c>
      <c r="J141" s="875">
        <f t="shared" si="113"/>
        <v>-0.33559918291781621</v>
      </c>
      <c r="K141" s="875">
        <f t="shared" si="113"/>
        <v>1.0567645594940451</v>
      </c>
      <c r="L141" s="875">
        <f t="shared" si="113"/>
        <v>-8.5516467937984397E-2</v>
      </c>
      <c r="M141" s="875">
        <f t="shared" si="113"/>
        <v>7.2385177080469099E-2</v>
      </c>
      <c r="N141" s="875">
        <f t="shared" si="113"/>
        <v>0.39706645948874297</v>
      </c>
      <c r="O141" s="875">
        <f t="shared" si="113"/>
        <v>4.7644934993231525E-2</v>
      </c>
      <c r="P141" s="875">
        <f t="shared" si="113"/>
        <v>-3.4465830968520295E-2</v>
      </c>
      <c r="Q141" s="875">
        <f t="shared" si="113"/>
        <v>-3.7288431797324884E-2</v>
      </c>
      <c r="R141" s="875">
        <f t="shared" si="113"/>
        <v>3.7162148806803685E-2</v>
      </c>
      <c r="S141" s="875">
        <f t="shared" si="113"/>
        <v>0.10136440863642315</v>
      </c>
      <c r="T141" s="876"/>
      <c r="U141" s="315"/>
      <c r="V141" s="315"/>
      <c r="W141" s="315"/>
      <c r="X141" s="315"/>
      <c r="Y141" s="315"/>
      <c r="Z141" s="315"/>
      <c r="AA141" s="315"/>
      <c r="AB141" s="315"/>
      <c r="AC141" s="424"/>
    </row>
    <row r="142" spans="4:36" x14ac:dyDescent="0.35">
      <c r="D142" s="877" t="s">
        <v>511</v>
      </c>
      <c r="E142" s="878"/>
      <c r="F142" s="875"/>
      <c r="G142" s="875">
        <f t="shared" ref="G142:S142" si="114">(G124/F124)^4-1</f>
        <v>4.4060751620176752E-2</v>
      </c>
      <c r="H142" s="875">
        <f t="shared" si="114"/>
        <v>9.6622128532301677E-2</v>
      </c>
      <c r="I142" s="875">
        <f t="shared" si="114"/>
        <v>0.13675802614067245</v>
      </c>
      <c r="J142" s="875">
        <f t="shared" si="114"/>
        <v>1.0461745960318236E-2</v>
      </c>
      <c r="K142" s="875">
        <f t="shared" si="114"/>
        <v>7.5343951398924913E-2</v>
      </c>
      <c r="L142" s="875">
        <f t="shared" si="114"/>
        <v>1.5126690012599919E-2</v>
      </c>
      <c r="M142" s="875">
        <f t="shared" si="114"/>
        <v>-9.5986507456689019E-3</v>
      </c>
      <c r="N142" s="875">
        <f t="shared" si="114"/>
        <v>8.8639640354544413E-2</v>
      </c>
      <c r="O142" s="875">
        <f t="shared" si="114"/>
        <v>0.10698362579219722</v>
      </c>
      <c r="P142" s="875">
        <f t="shared" si="114"/>
        <v>0.10364747893427251</v>
      </c>
      <c r="Q142" s="875">
        <f t="shared" si="114"/>
        <v>6.9691205228084696E-2</v>
      </c>
      <c r="R142" s="875">
        <f t="shared" si="114"/>
        <v>0.23371913760147933</v>
      </c>
      <c r="S142" s="875">
        <f t="shared" si="114"/>
        <v>0.15406366806084937</v>
      </c>
      <c r="T142" s="876"/>
      <c r="U142" s="315"/>
      <c r="V142" s="315"/>
      <c r="W142" s="315"/>
      <c r="X142" s="315"/>
      <c r="Y142" s="315"/>
      <c r="Z142" s="315"/>
      <c r="AA142" s="315"/>
      <c r="AB142" s="315"/>
      <c r="AC142" s="424"/>
    </row>
    <row r="143" spans="4:36" x14ac:dyDescent="0.35">
      <c r="D143" s="877" t="s">
        <v>512</v>
      </c>
      <c r="E143" s="878"/>
      <c r="F143" s="875"/>
      <c r="G143" s="875">
        <f t="shared" ref="G143:S143" si="115">(G125/F125)^4-1</f>
        <v>1.6217856588427448E-3</v>
      </c>
      <c r="H143" s="875">
        <f t="shared" si="115"/>
        <v>-9.8195076585786412E-3</v>
      </c>
      <c r="I143" s="875">
        <f t="shared" si="115"/>
        <v>-3.0767948453107596E-2</v>
      </c>
      <c r="J143" s="875">
        <f t="shared" si="115"/>
        <v>-7.7313403452727636E-2</v>
      </c>
      <c r="K143" s="875">
        <f t="shared" si="115"/>
        <v>-1.5359581864805461E-2</v>
      </c>
      <c r="L143" s="875">
        <f t="shared" si="115"/>
        <v>0.17439776752664971</v>
      </c>
      <c r="M143" s="875">
        <f t="shared" si="115"/>
        <v>9.4006543160045863E-2</v>
      </c>
      <c r="N143" s="875">
        <f t="shared" si="115"/>
        <v>0.15250723378892039</v>
      </c>
      <c r="O143" s="875">
        <f t="shared" si="115"/>
        <v>8.8004811201423561E-2</v>
      </c>
      <c r="P143" s="875">
        <f t="shared" si="115"/>
        <v>8.4265283746917774E-2</v>
      </c>
      <c r="Q143" s="875">
        <f t="shared" si="115"/>
        <v>5.2407830182700454E-2</v>
      </c>
      <c r="R143" s="875">
        <f t="shared" si="115"/>
        <v>0.11413452453651107</v>
      </c>
      <c r="S143" s="875">
        <f t="shared" si="115"/>
        <v>0.10252743449255797</v>
      </c>
      <c r="T143" s="876"/>
      <c r="U143" s="315"/>
      <c r="V143" s="315"/>
      <c r="W143" s="315"/>
      <c r="X143" s="315"/>
      <c r="Y143" s="315"/>
      <c r="Z143" s="315"/>
      <c r="AA143" s="315"/>
      <c r="AB143" s="315"/>
      <c r="AC143" s="424"/>
    </row>
    <row r="144" spans="4:36" x14ac:dyDescent="0.35">
      <c r="D144" s="873" t="s">
        <v>499</v>
      </c>
      <c r="E144" s="874"/>
      <c r="F144" s="875"/>
      <c r="G144" s="875">
        <f t="shared" ref="G144:S144" si="116">(G126/F126)^4-1</f>
        <v>2.4344066214849969E-2</v>
      </c>
      <c r="H144" s="875">
        <f t="shared" si="116"/>
        <v>6.4808926543423739E-2</v>
      </c>
      <c r="I144" s="875">
        <f t="shared" si="116"/>
        <v>6.3731772577288348E-2</v>
      </c>
      <c r="J144" s="875">
        <f t="shared" si="116"/>
        <v>-0.23736727268240676</v>
      </c>
      <c r="K144" s="875">
        <f t="shared" si="116"/>
        <v>0.20844376621817839</v>
      </c>
      <c r="L144" s="875">
        <f t="shared" si="116"/>
        <v>0.16511367309277247</v>
      </c>
      <c r="M144" s="875">
        <f t="shared" si="116"/>
        <v>3.314802533242589E-2</v>
      </c>
      <c r="N144" s="875">
        <f t="shared" si="116"/>
        <v>0.12374465481168762</v>
      </c>
      <c r="O144" s="875">
        <f t="shared" si="116"/>
        <v>0.11474111578039969</v>
      </c>
      <c r="P144" s="875">
        <f t="shared" si="116"/>
        <v>0.12355331155960547</v>
      </c>
      <c r="Q144" s="875">
        <f t="shared" si="116"/>
        <v>5.2121400356726078E-2</v>
      </c>
      <c r="R144" s="875">
        <f t="shared" si="116"/>
        <v>3.8378170832219727E-2</v>
      </c>
      <c r="S144" s="875">
        <f t="shared" si="116"/>
        <v>0.10697569974210452</v>
      </c>
      <c r="T144" s="876"/>
      <c r="U144" s="315"/>
      <c r="V144" s="315"/>
      <c r="W144" s="315"/>
      <c r="X144" s="315"/>
      <c r="Y144" s="315"/>
      <c r="Z144" s="315"/>
      <c r="AA144" s="315"/>
      <c r="AB144" s="315"/>
      <c r="AC144" s="424"/>
    </row>
    <row r="145" spans="4:29" x14ac:dyDescent="0.35">
      <c r="D145" s="873" t="s">
        <v>500</v>
      </c>
      <c r="E145" s="878"/>
      <c r="F145" s="875"/>
      <c r="G145" s="875">
        <f t="shared" ref="G145:S145" si="117">(G127/F127)^4-1</f>
        <v>5.6225503215933115E-2</v>
      </c>
      <c r="H145" s="875">
        <f t="shared" si="117"/>
        <v>4.2649929393125507E-2</v>
      </c>
      <c r="I145" s="875">
        <f t="shared" si="117"/>
        <v>-5.4570436543737832E-2</v>
      </c>
      <c r="J145" s="875">
        <f t="shared" si="117"/>
        <v>-0.31755930379794983</v>
      </c>
      <c r="K145" s="875">
        <f t="shared" si="117"/>
        <v>0.45798374797974395</v>
      </c>
      <c r="L145" s="875">
        <f t="shared" si="117"/>
        <v>7.8081900447835251E-2</v>
      </c>
      <c r="M145" s="875">
        <f t="shared" si="117"/>
        <v>0.14462647249539784</v>
      </c>
      <c r="N145" s="875">
        <f t="shared" si="117"/>
        <v>0.21366534100957191</v>
      </c>
      <c r="O145" s="875">
        <f t="shared" si="117"/>
        <v>8.9678764816876422E-2</v>
      </c>
      <c r="P145" s="875">
        <f t="shared" si="117"/>
        <v>0.1152028170216266</v>
      </c>
      <c r="Q145" s="875">
        <f t="shared" si="117"/>
        <v>8.8168054860614076E-2</v>
      </c>
      <c r="R145" s="875">
        <f t="shared" si="117"/>
        <v>0.10364298156306018</v>
      </c>
      <c r="S145" s="875">
        <f t="shared" si="117"/>
        <v>6.3347260248833859E-2</v>
      </c>
      <c r="T145" s="876"/>
      <c r="U145" s="315"/>
      <c r="V145" s="315"/>
      <c r="W145" s="315"/>
      <c r="X145" s="315"/>
      <c r="Y145" s="315"/>
      <c r="Z145" s="315"/>
      <c r="AA145" s="315"/>
      <c r="AB145" s="315"/>
      <c r="AC145" s="424"/>
    </row>
    <row r="146" spans="4:29" x14ac:dyDescent="0.35">
      <c r="D146" s="879" t="s">
        <v>513</v>
      </c>
      <c r="E146" s="880"/>
      <c r="F146" s="881"/>
      <c r="G146" s="881">
        <f t="shared" ref="G146:S146" si="118">(G128/F128)^4-1</f>
        <v>0.13564189817892713</v>
      </c>
      <c r="H146" s="881">
        <f t="shared" si="118"/>
        <v>7.3269037673770798E-2</v>
      </c>
      <c r="I146" s="881">
        <f t="shared" si="118"/>
        <v>-0.41408585427253519</v>
      </c>
      <c r="J146" s="881">
        <f t="shared" si="118"/>
        <v>-0.1433526334649271</v>
      </c>
      <c r="K146" s="881">
        <f t="shared" si="118"/>
        <v>2.6085807680777386</v>
      </c>
      <c r="L146" s="881">
        <f t="shared" si="118"/>
        <v>-0.33127457784416303</v>
      </c>
      <c r="M146" s="881">
        <f t="shared" si="118"/>
        <v>0.81349321781472628</v>
      </c>
      <c r="N146" s="881">
        <f t="shared" si="118"/>
        <v>0.64965427523107366</v>
      </c>
      <c r="O146" s="881">
        <f t="shared" si="118"/>
        <v>-2.3525007110185348E-2</v>
      </c>
      <c r="P146" s="881">
        <f t="shared" si="118"/>
        <v>6.4214621581073494E-3</v>
      </c>
      <c r="Q146" s="881">
        <f t="shared" si="118"/>
        <v>-1.8906537249130384E-2</v>
      </c>
      <c r="R146" s="881">
        <f t="shared" si="118"/>
        <v>0.2176464803225644</v>
      </c>
      <c r="S146" s="881">
        <f t="shared" si="118"/>
        <v>0.10662674433130115</v>
      </c>
      <c r="T146" s="882"/>
      <c r="U146" s="260"/>
      <c r="V146" s="260"/>
      <c r="W146" s="260"/>
      <c r="X146" s="260"/>
      <c r="Y146" s="260"/>
      <c r="Z146" s="260"/>
      <c r="AA146" s="260"/>
      <c r="AB146" s="260"/>
      <c r="AC146" s="287"/>
    </row>
    <row r="149" spans="4:29" ht="14.9" customHeight="1" x14ac:dyDescent="0.35"/>
  </sheetData>
  <mergeCells count="42">
    <mergeCell ref="D1:AC1"/>
    <mergeCell ref="D2:AC3"/>
    <mergeCell ref="AC6:AF6"/>
    <mergeCell ref="F6:H6"/>
    <mergeCell ref="I6:L6"/>
    <mergeCell ref="Q6:T6"/>
    <mergeCell ref="D5:E7"/>
    <mergeCell ref="M6:P6"/>
    <mergeCell ref="F5:AB5"/>
    <mergeCell ref="AC5:AN5"/>
    <mergeCell ref="AK6:AN6"/>
    <mergeCell ref="U6:X6"/>
    <mergeCell ref="Y111:AB111"/>
    <mergeCell ref="O68:V68"/>
    <mergeCell ref="P69:S69"/>
    <mergeCell ref="Q101:T101"/>
    <mergeCell ref="M101:P101"/>
    <mergeCell ref="AG101:AJ101"/>
    <mergeCell ref="AG111:AJ111"/>
    <mergeCell ref="W43:AH43"/>
    <mergeCell ref="D137:AC137"/>
    <mergeCell ref="D113:E113"/>
    <mergeCell ref="D111:E112"/>
    <mergeCell ref="Y44:AB44"/>
    <mergeCell ref="D101:E102"/>
    <mergeCell ref="F101:H101"/>
    <mergeCell ref="I101:L101"/>
    <mergeCell ref="M111:P111"/>
    <mergeCell ref="F111:H111"/>
    <mergeCell ref="I111:L111"/>
    <mergeCell ref="Q111:T111"/>
    <mergeCell ref="AC101:AF101"/>
    <mergeCell ref="AC111:AF111"/>
    <mergeCell ref="AG44:AJ44"/>
    <mergeCell ref="AG6:AJ6"/>
    <mergeCell ref="AC44:AF44"/>
    <mergeCell ref="D31:F31"/>
    <mergeCell ref="F43:V43"/>
    <mergeCell ref="F44:H44"/>
    <mergeCell ref="M44:P44"/>
    <mergeCell ref="Q44:T44"/>
    <mergeCell ref="I44:L44"/>
  </mergeCells>
  <pageMargins left="0.7" right="0.7" top="0.75" bottom="0.75" header="0.3" footer="0.3"/>
  <pageSetup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T81"/>
  <sheetViews>
    <sheetView topLeftCell="A41" zoomScaleNormal="100" workbookViewId="0">
      <pane xSplit="3" topLeftCell="Y1" activePane="topRight" state="frozen"/>
      <selection activeCell="A16" sqref="A16"/>
      <selection pane="topRight" activeCell="AI66" sqref="AI66"/>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40" x14ac:dyDescent="0.35">
      <c r="B1" s="1269" t="s">
        <v>1701</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x14ac:dyDescent="0.35">
      <c r="B2" s="1304" t="s">
        <v>1959</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40"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40"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40" x14ac:dyDescent="0.35">
      <c r="B5" s="241"/>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row>
    <row r="6" spans="2:40" x14ac:dyDescent="0.35">
      <c r="B6" s="56"/>
      <c r="C6" s="946"/>
      <c r="D6" s="927"/>
      <c r="E6" s="927"/>
      <c r="F6" s="927"/>
      <c r="G6" s="927"/>
      <c r="H6" s="927"/>
      <c r="I6" s="927"/>
      <c r="J6" s="927"/>
      <c r="K6" s="927"/>
      <c r="L6" s="927"/>
      <c r="M6" s="927"/>
      <c r="N6" s="927"/>
      <c r="O6" s="927"/>
      <c r="P6" s="927"/>
      <c r="Q6" s="927"/>
      <c r="R6" s="927"/>
      <c r="S6" s="927"/>
      <c r="T6" s="927"/>
      <c r="U6" s="927"/>
      <c r="V6" s="927"/>
      <c r="W6" s="927"/>
      <c r="X6" s="927"/>
      <c r="Y6" s="927"/>
      <c r="Z6" s="927"/>
      <c r="AA6" s="927"/>
      <c r="AB6" s="927"/>
      <c r="AC6" s="927"/>
      <c r="AD6" s="927"/>
      <c r="AE6" s="927"/>
      <c r="AF6" s="927"/>
    </row>
    <row r="7" spans="2:40" ht="14.5" customHeight="1" x14ac:dyDescent="0.35">
      <c r="B7" s="1382" t="s">
        <v>1726</v>
      </c>
      <c r="C7" s="1382"/>
      <c r="D7" s="1383"/>
      <c r="E7" s="1383"/>
      <c r="F7" s="1383"/>
      <c r="G7" s="241"/>
      <c r="H7" s="241"/>
      <c r="I7" s="241"/>
      <c r="J7" s="241"/>
      <c r="K7" s="241"/>
      <c r="L7" s="241"/>
      <c r="M7" s="241"/>
      <c r="N7" s="241"/>
      <c r="O7" s="241"/>
      <c r="P7" s="241"/>
      <c r="Q7" s="241"/>
      <c r="R7" s="241"/>
      <c r="S7" s="241"/>
      <c r="T7" s="241"/>
      <c r="U7" s="241"/>
      <c r="V7" s="241"/>
      <c r="W7" s="241"/>
      <c r="X7" s="241"/>
      <c r="Y7" s="241"/>
      <c r="Z7" s="241"/>
      <c r="AA7" s="241"/>
      <c r="AB7" s="241"/>
      <c r="AC7" s="241"/>
    </row>
    <row r="8" spans="2:40" x14ac:dyDescent="0.35">
      <c r="B8" s="1274" t="s">
        <v>1715</v>
      </c>
      <c r="C8" s="1275"/>
      <c r="D8" s="1298" t="s">
        <v>279</v>
      </c>
      <c r="E8" s="1299"/>
      <c r="F8" s="1299"/>
      <c r="G8" s="1299"/>
      <c r="H8" s="1299"/>
      <c r="I8" s="1299"/>
      <c r="J8" s="1299"/>
      <c r="K8" s="1299"/>
      <c r="L8" s="1299"/>
      <c r="M8" s="1299"/>
      <c r="N8" s="1299"/>
      <c r="O8" s="1299"/>
      <c r="P8" s="1299"/>
      <c r="Q8" s="1299"/>
      <c r="R8" s="1299"/>
      <c r="S8" s="1299"/>
      <c r="T8" s="1299"/>
      <c r="U8" s="1299"/>
      <c r="V8" s="1300"/>
      <c r="W8" s="921"/>
      <c r="X8" s="915"/>
      <c r="Y8" s="915"/>
      <c r="Z8" s="915"/>
      <c r="AA8" s="915"/>
      <c r="AB8" s="1302" t="s">
        <v>1741</v>
      </c>
      <c r="AC8" s="1282"/>
      <c r="AD8" s="1282"/>
      <c r="AE8" s="1282"/>
      <c r="AF8" s="1282"/>
      <c r="AG8" s="1282"/>
      <c r="AH8" s="1282"/>
      <c r="AI8" s="1282"/>
      <c r="AJ8" s="1282"/>
      <c r="AK8" s="1282"/>
      <c r="AL8" s="1282"/>
      <c r="AM8" s="1282"/>
      <c r="AN8" s="1283"/>
    </row>
    <row r="9" spans="2:40" x14ac:dyDescent="0.35">
      <c r="B9" s="1276"/>
      <c r="C9" s="1277"/>
      <c r="D9" s="918">
        <v>2018</v>
      </c>
      <c r="E9" s="1293">
        <v>2019</v>
      </c>
      <c r="F9" s="1301"/>
      <c r="G9" s="1301"/>
      <c r="H9" s="1295"/>
      <c r="I9" s="1293">
        <v>2020</v>
      </c>
      <c r="J9" s="1301"/>
      <c r="K9" s="1301"/>
      <c r="L9" s="1295"/>
      <c r="M9" s="1293">
        <v>2021</v>
      </c>
      <c r="N9" s="1301"/>
      <c r="O9" s="1301"/>
      <c r="P9" s="1295"/>
      <c r="Q9" s="1296">
        <v>2022</v>
      </c>
      <c r="R9" s="1297"/>
      <c r="S9" s="288"/>
      <c r="T9" s="295"/>
      <c r="U9" s="437"/>
      <c r="V9" s="288">
        <v>2023</v>
      </c>
      <c r="W9" s="288"/>
      <c r="X9" s="295"/>
      <c r="Y9" s="437"/>
      <c r="Z9" s="288">
        <v>2024</v>
      </c>
      <c r="AA9" s="288"/>
      <c r="AB9" s="321"/>
      <c r="AC9" s="1313">
        <v>2025</v>
      </c>
      <c r="AD9" s="1314"/>
      <c r="AE9" s="1314"/>
      <c r="AF9" s="1369"/>
      <c r="AG9" s="1314">
        <v>2026</v>
      </c>
      <c r="AH9" s="1314"/>
      <c r="AI9" s="1314"/>
      <c r="AJ9" s="1369"/>
      <c r="AK9" s="1280">
        <v>2027</v>
      </c>
      <c r="AL9" s="1281"/>
      <c r="AM9" s="1281"/>
      <c r="AN9" s="1285"/>
    </row>
    <row r="10" spans="2:40" x14ac:dyDescent="0.35">
      <c r="B10" s="1278"/>
      <c r="C10" s="1279"/>
      <c r="D10" s="919" t="s">
        <v>281</v>
      </c>
      <c r="E10" s="273" t="s">
        <v>282</v>
      </c>
      <c r="F10" s="274" t="s">
        <v>283</v>
      </c>
      <c r="G10" s="274" t="s">
        <v>238</v>
      </c>
      <c r="H10" s="272" t="s">
        <v>281</v>
      </c>
      <c r="I10" s="273" t="s">
        <v>282</v>
      </c>
      <c r="J10" s="274" t="s">
        <v>283</v>
      </c>
      <c r="K10" s="274" t="s">
        <v>238</v>
      </c>
      <c r="L10" s="272" t="s">
        <v>281</v>
      </c>
      <c r="M10" s="273" t="s">
        <v>282</v>
      </c>
      <c r="N10" s="274" t="s">
        <v>283</v>
      </c>
      <c r="O10" s="274" t="s">
        <v>238</v>
      </c>
      <c r="P10" s="272" t="s">
        <v>281</v>
      </c>
      <c r="Q10" s="273" t="s">
        <v>282</v>
      </c>
      <c r="R10" s="274" t="s">
        <v>283</v>
      </c>
      <c r="S10" s="274" t="s">
        <v>238</v>
      </c>
      <c r="T10" s="272" t="s">
        <v>281</v>
      </c>
      <c r="U10" s="273" t="s">
        <v>282</v>
      </c>
      <c r="V10" s="274" t="s">
        <v>283</v>
      </c>
      <c r="W10" s="274" t="s">
        <v>238</v>
      </c>
      <c r="X10" s="272" t="s">
        <v>281</v>
      </c>
      <c r="Y10" s="273" t="s">
        <v>282</v>
      </c>
      <c r="Z10" s="279" t="s">
        <v>283</v>
      </c>
      <c r="AA10" s="274" t="s">
        <v>238</v>
      </c>
      <c r="AB10" s="287" t="s">
        <v>281</v>
      </c>
      <c r="AC10" s="259" t="s">
        <v>282</v>
      </c>
      <c r="AD10" s="260" t="s">
        <v>283</v>
      </c>
      <c r="AE10" s="260" t="s">
        <v>238</v>
      </c>
      <c r="AF10" s="424" t="s">
        <v>281</v>
      </c>
      <c r="AG10" s="260" t="s">
        <v>282</v>
      </c>
      <c r="AH10" s="257" t="s">
        <v>283</v>
      </c>
      <c r="AI10" s="260" t="s">
        <v>238</v>
      </c>
      <c r="AJ10" s="287" t="s">
        <v>281</v>
      </c>
      <c r="AK10" s="259" t="s">
        <v>282</v>
      </c>
      <c r="AL10" s="257" t="s">
        <v>283</v>
      </c>
      <c r="AM10" s="260" t="s">
        <v>238</v>
      </c>
      <c r="AN10" s="287" t="s">
        <v>281</v>
      </c>
    </row>
    <row r="11" spans="2:40" x14ac:dyDescent="0.35">
      <c r="B11" s="1387" t="s">
        <v>1725</v>
      </c>
      <c r="C11" s="1388"/>
      <c r="D11" s="1388"/>
      <c r="E11" s="1388"/>
      <c r="F11" s="1388"/>
      <c r="G11" s="1388"/>
      <c r="H11" s="1388"/>
      <c r="I11" s="1388"/>
      <c r="J11" s="1388"/>
      <c r="K11" s="1388"/>
      <c r="L11" s="1388"/>
      <c r="M11" s="1388"/>
      <c r="N11" s="1388"/>
      <c r="O11" s="1388"/>
      <c r="P11" s="1388"/>
      <c r="Q11" s="1388"/>
      <c r="R11" s="1388"/>
      <c r="S11" s="1388"/>
      <c r="T11" s="1388"/>
      <c r="U11" s="1388"/>
      <c r="V11" s="1388"/>
      <c r="W11" s="1388"/>
      <c r="X11" s="1388"/>
      <c r="Y11" s="1388"/>
      <c r="Z11" s="1388"/>
      <c r="AA11" s="1388"/>
      <c r="AB11" s="1388"/>
      <c r="AC11" s="1388"/>
      <c r="AD11" s="1388"/>
      <c r="AE11" s="1388"/>
      <c r="AF11" s="1388"/>
      <c r="AG11" s="1388"/>
      <c r="AH11" s="1388"/>
      <c r="AI11" s="1388"/>
      <c r="AJ11" s="1388"/>
      <c r="AK11" s="1388"/>
      <c r="AL11" s="1388"/>
      <c r="AM11" s="1388"/>
      <c r="AN11" s="1389"/>
    </row>
    <row r="12" spans="2:40" x14ac:dyDescent="0.35">
      <c r="B12" s="956" t="s">
        <v>1704</v>
      </c>
      <c r="C12" s="957"/>
      <c r="D12" s="951">
        <f t="shared" ref="D12:T12" si="0">D45</f>
        <v>1.5264497223703488E-2</v>
      </c>
      <c r="E12" s="951">
        <f t="shared" si="0"/>
        <v>8.1697245486058723E-3</v>
      </c>
      <c r="F12" s="951">
        <f t="shared" si="0"/>
        <v>2.2550676192391039E-2</v>
      </c>
      <c r="G12" s="951">
        <f t="shared" si="0"/>
        <v>9.6649063963889503E-3</v>
      </c>
      <c r="H12" s="951">
        <f t="shared" si="0"/>
        <v>1.5834666967584843E-2</v>
      </c>
      <c r="I12" s="951">
        <f t="shared" si="0"/>
        <v>1.239349514115573E-2</v>
      </c>
      <c r="J12" s="951">
        <f t="shared" si="0"/>
        <v>-1.5843080973497181E-2</v>
      </c>
      <c r="K12" s="951">
        <f t="shared" si="0"/>
        <v>3.2862675445769929E-2</v>
      </c>
      <c r="L12" s="951">
        <f t="shared" si="0"/>
        <v>1.9524743592179927E-2</v>
      </c>
      <c r="M12" s="951">
        <f t="shared" si="0"/>
        <v>4.5919222990944863E-2</v>
      </c>
      <c r="N12" s="951">
        <f t="shared" si="0"/>
        <v>6.3763215063124212E-2</v>
      </c>
      <c r="O12" s="951">
        <f t="shared" si="0"/>
        <v>5.6353404292981857E-2</v>
      </c>
      <c r="P12" s="951">
        <f t="shared" si="0"/>
        <v>6.7661635913466744E-2</v>
      </c>
      <c r="Q12" s="951">
        <f t="shared" si="0"/>
        <v>7.7270298955965933E-2</v>
      </c>
      <c r="R12" s="951">
        <f t="shared" si="0"/>
        <v>7.554614845470442E-2</v>
      </c>
      <c r="S12" s="951">
        <f t="shared" si="0"/>
        <v>4.7220953130670873E-2</v>
      </c>
      <c r="T12" s="972">
        <f t="shared" si="0"/>
        <v>4.0176508092810925E-2</v>
      </c>
      <c r="U12" s="951">
        <f t="shared" ref="U12:AF12" si="1">U45+U13</f>
        <v>3.9428535960380762E-2</v>
      </c>
      <c r="V12" s="951">
        <f t="shared" si="1"/>
        <v>2.9211734875661532E-2</v>
      </c>
      <c r="W12" s="951">
        <f t="shared" si="1"/>
        <v>2.6927277215065937E-2</v>
      </c>
      <c r="X12" s="951">
        <f t="shared" si="1"/>
        <v>1.6533593023621451E-2</v>
      </c>
      <c r="Y12" s="951">
        <f t="shared" si="1"/>
        <v>3.4247515494288061E-2</v>
      </c>
      <c r="Z12" s="951">
        <f t="shared" si="1"/>
        <v>2.5312909540798456E-2</v>
      </c>
      <c r="AA12" s="951">
        <f t="shared" si="1"/>
        <v>1.5403536594506217E-2</v>
      </c>
      <c r="AB12" s="951">
        <f>AB45+AB13</f>
        <v>2.2688029589659209E-2</v>
      </c>
      <c r="AC12" s="951">
        <f t="shared" si="1"/>
        <v>2.2158368307400821E-2</v>
      </c>
      <c r="AD12" s="951">
        <f t="shared" si="1"/>
        <v>2.1483635680919155E-2</v>
      </c>
      <c r="AE12" s="951">
        <f t="shared" si="1"/>
        <v>2.0974932014508629E-2</v>
      </c>
      <c r="AF12" s="951">
        <f t="shared" si="1"/>
        <v>2.1111392938697359E-2</v>
      </c>
      <c r="AG12" s="927">
        <f>AG45+AG13</f>
        <v>2.0569131944638507E-2</v>
      </c>
      <c r="AH12" s="927">
        <f>AH45+AH13</f>
        <v>2.037795778240481E-2</v>
      </c>
      <c r="AI12" s="951">
        <f t="shared" ref="AI12" si="2">AI45+AI13</f>
        <v>2.031319568771961E-2</v>
      </c>
      <c r="AJ12" s="951">
        <f>AJ45+AJ13</f>
        <v>2.0411174157790368E-2</v>
      </c>
      <c r="AK12" s="927">
        <f t="shared" ref="AK12:AN12" si="3">AK45+AK13</f>
        <v>2.0278651758323107E-2</v>
      </c>
      <c r="AL12" s="927">
        <f t="shared" si="3"/>
        <v>2.0181831515000193E-2</v>
      </c>
      <c r="AM12" s="927">
        <f t="shared" si="3"/>
        <v>2.008748904793789E-2</v>
      </c>
      <c r="AN12" s="927">
        <f t="shared" si="3"/>
        <v>2.0063466029726529E-2</v>
      </c>
    </row>
    <row r="13" spans="2:40" x14ac:dyDescent="0.35">
      <c r="B13" s="961" t="s">
        <v>1736</v>
      </c>
      <c r="C13" s="958"/>
      <c r="D13" s="959"/>
      <c r="E13" s="960"/>
      <c r="F13" s="960"/>
      <c r="G13" s="960"/>
      <c r="H13" s="960"/>
      <c r="I13" s="960"/>
      <c r="J13" s="960"/>
      <c r="K13" s="960"/>
      <c r="L13" s="960"/>
      <c r="M13" s="960"/>
      <c r="N13" s="960"/>
      <c r="O13" s="960"/>
      <c r="P13" s="960"/>
      <c r="Q13" s="960"/>
      <c r="R13" s="960"/>
      <c r="S13" s="960"/>
      <c r="T13" s="960"/>
      <c r="U13" s="960"/>
      <c r="V13" s="960"/>
      <c r="W13" s="960"/>
      <c r="X13" s="960"/>
      <c r="Y13" s="960"/>
      <c r="Z13" s="960"/>
      <c r="AA13" s="960"/>
      <c r="AB13" s="960"/>
      <c r="AC13" s="960"/>
      <c r="AD13" s="960"/>
      <c r="AE13" s="960"/>
      <c r="AF13" s="960"/>
      <c r="AG13" s="927"/>
      <c r="AH13" s="927"/>
      <c r="AI13" s="960"/>
      <c r="AJ13" s="927"/>
    </row>
    <row r="14" spans="2:40" x14ac:dyDescent="0.35">
      <c r="B14" s="742" t="s">
        <v>1705</v>
      </c>
      <c r="C14" s="957"/>
      <c r="D14" s="927">
        <f t="shared" ref="D14:S14" si="4">D48</f>
        <v>2.9477765289275926E-2</v>
      </c>
      <c r="E14" s="927">
        <f t="shared" si="4"/>
        <v>3.7241332054374521E-2</v>
      </c>
      <c r="F14" s="927">
        <f t="shared" si="4"/>
        <v>-2.6356011696502479E-2</v>
      </c>
      <c r="G14" s="927">
        <f t="shared" si="4"/>
        <v>3.7347692764231333E-3</v>
      </c>
      <c r="H14" s="927">
        <f t="shared" si="4"/>
        <v>1.463826004028701E-2</v>
      </c>
      <c r="I14" s="927">
        <f t="shared" si="4"/>
        <v>1.2149501243322813E-2</v>
      </c>
      <c r="J14" s="927">
        <f t="shared" si="4"/>
        <v>2.5590697877679869E-3</v>
      </c>
      <c r="K14" s="927">
        <f t="shared" si="4"/>
        <v>2.2030538597398897E-2</v>
      </c>
      <c r="L14" s="927">
        <f t="shared" si="4"/>
        <v>3.0184246589695318E-2</v>
      </c>
      <c r="M14" s="927">
        <f t="shared" si="4"/>
        <v>3.1074822316861761E-2</v>
      </c>
      <c r="N14" s="927">
        <f t="shared" si="4"/>
        <v>4.3814411385844076E-2</v>
      </c>
      <c r="O14" s="927">
        <f t="shared" si="4"/>
        <v>4.8079114499886888E-2</v>
      </c>
      <c r="P14" s="927">
        <f t="shared" si="4"/>
        <v>5.0423609727379137E-2</v>
      </c>
      <c r="Q14" s="927">
        <f t="shared" si="4"/>
        <v>6.5677487260019429E-2</v>
      </c>
      <c r="R14" s="927">
        <f t="shared" si="4"/>
        <v>7.488961890096113E-2</v>
      </c>
      <c r="S14" s="927">
        <f t="shared" si="4"/>
        <v>5.3316340788000627E-2</v>
      </c>
      <c r="T14" s="927">
        <f>T48</f>
        <v>4.1496756379381328E-2</v>
      </c>
      <c r="U14" s="927">
        <f>U48+U15</f>
        <v>4.2898407970302532E-2</v>
      </c>
      <c r="V14" s="927">
        <f t="shared" ref="V14:AF14" si="5">V48+V15</f>
        <v>3.5017736429978852E-2</v>
      </c>
      <c r="W14" s="927">
        <f t="shared" si="5"/>
        <v>3.8113924198168725E-2</v>
      </c>
      <c r="X14" s="927">
        <f t="shared" si="5"/>
        <v>3.8299248311242984E-2</v>
      </c>
      <c r="Y14" s="927">
        <f t="shared" si="5"/>
        <v>3.5508670157945676E-2</v>
      </c>
      <c r="Z14" s="927">
        <f t="shared" si="5"/>
        <v>2.8203399736230539E-2</v>
      </c>
      <c r="AA14" s="927">
        <f t="shared" si="5"/>
        <v>2.4481644318991469E-2</v>
      </c>
      <c r="AB14" s="927">
        <f t="shared" si="5"/>
        <v>2.8359902568902751E-2</v>
      </c>
      <c r="AC14" s="927">
        <f t="shared" si="5"/>
        <v>1.8718659374028279E-2</v>
      </c>
      <c r="AD14" s="927">
        <f t="shared" si="5"/>
        <v>1.5299895562953081E-2</v>
      </c>
      <c r="AE14" s="927">
        <f>AE48+AE15</f>
        <v>1.4729668703095777E-2</v>
      </c>
      <c r="AF14" s="927">
        <f t="shared" si="5"/>
        <v>1.5119603614899724E-2</v>
      </c>
      <c r="AG14" s="920">
        <f t="shared" ref="AG14:AH14" si="6">AG48+AG15</f>
        <v>2.1515602617293128E-2</v>
      </c>
      <c r="AH14" s="920">
        <f t="shared" si="6"/>
        <v>2.2790850007197161E-2</v>
      </c>
      <c r="AI14" s="927">
        <f t="shared" ref="AI14:AN14" si="7">AI48+AI15</f>
        <v>2.3263295207157642E-2</v>
      </c>
      <c r="AJ14" s="920">
        <f t="shared" si="7"/>
        <v>2.3889685874715294E-2</v>
      </c>
      <c r="AK14" s="920">
        <f t="shared" si="7"/>
        <v>2.2412555601408091E-2</v>
      </c>
      <c r="AL14" s="920">
        <f t="shared" si="7"/>
        <v>2.2147320108405477E-2</v>
      </c>
      <c r="AM14" s="920">
        <f t="shared" si="7"/>
        <v>2.2772302614111117E-2</v>
      </c>
      <c r="AN14" s="920">
        <f t="shared" si="7"/>
        <v>2.3247045836330082E-2</v>
      </c>
    </row>
    <row r="15" spans="2:40" x14ac:dyDescent="0.35">
      <c r="B15" s="330" t="s">
        <v>1737</v>
      </c>
      <c r="C15" s="958"/>
      <c r="D15" s="959"/>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0"/>
      <c r="AG15" s="927"/>
      <c r="AH15" s="927"/>
      <c r="AI15" s="927"/>
      <c r="AJ15" s="927"/>
    </row>
    <row r="16" spans="2:40" x14ac:dyDescent="0.35">
      <c r="B16" s="742" t="s">
        <v>1706</v>
      </c>
      <c r="C16" s="957"/>
      <c r="D16" s="927">
        <f t="shared" ref="D16:T16" si="8">D49</f>
        <v>1.7606158659444704E-2</v>
      </c>
      <c r="E16" s="927">
        <f t="shared" si="8"/>
        <v>-1.9289094877951052E-2</v>
      </c>
      <c r="F16" s="927">
        <f t="shared" si="8"/>
        <v>3.0411677963670725E-2</v>
      </c>
      <c r="G16" s="927">
        <f t="shared" si="8"/>
        <v>1.5793384791695786E-2</v>
      </c>
      <c r="H16" s="927">
        <f t="shared" si="8"/>
        <v>2.3589262537388134E-2</v>
      </c>
      <c r="I16" s="927">
        <f t="shared" si="8"/>
        <v>5.264893740513088E-2</v>
      </c>
      <c r="J16" s="927">
        <f t="shared" si="8"/>
        <v>-5.217742186237273E-3</v>
      </c>
      <c r="K16" s="927">
        <f t="shared" si="8"/>
        <v>4.8875550231923137E-2</v>
      </c>
      <c r="L16" s="927">
        <f t="shared" si="8"/>
        <v>4.9958958569866319E-2</v>
      </c>
      <c r="M16" s="927">
        <f t="shared" si="8"/>
        <v>9.1754054615137415E-2</v>
      </c>
      <c r="N16" s="927">
        <f t="shared" si="8"/>
        <v>8.1251965588764241E-2</v>
      </c>
      <c r="O16" s="927">
        <f t="shared" si="8"/>
        <v>6.5854996027893797E-2</v>
      </c>
      <c r="P16" s="927">
        <f t="shared" si="8"/>
        <v>8.1420811365759738E-2</v>
      </c>
      <c r="Q16" s="927">
        <f t="shared" si="8"/>
        <v>9.5809760841454095E-2</v>
      </c>
      <c r="R16" s="927">
        <f t="shared" si="8"/>
        <v>0.14288883985037359</v>
      </c>
      <c r="S16" s="927">
        <f t="shared" si="8"/>
        <v>5.753757100426693E-3</v>
      </c>
      <c r="T16" s="927">
        <f t="shared" si="8"/>
        <v>1.1355976812321922E-2</v>
      </c>
      <c r="U16" s="945">
        <f>U49+U17</f>
        <v>-2.087064600501487E-2</v>
      </c>
      <c r="V16" s="927">
        <f t="shared" ref="V16:AF16" si="9">V49+V17</f>
        <v>-3.6759658065968148E-2</v>
      </c>
      <c r="W16" s="927">
        <f t="shared" si="9"/>
        <v>4.0372871979416969E-2</v>
      </c>
      <c r="X16" s="927">
        <f t="shared" si="9"/>
        <v>-1.1102871005200798E-3</v>
      </c>
      <c r="Y16" s="927">
        <f t="shared" si="9"/>
        <v>3.8608393322818291E-2</v>
      </c>
      <c r="Z16" s="927">
        <f t="shared" si="9"/>
        <v>1.6292943839810503E-2</v>
      </c>
      <c r="AA16" s="927">
        <f t="shared" si="9"/>
        <v>2.3887845221117976E-2</v>
      </c>
      <c r="AB16" s="927">
        <f t="shared" si="9"/>
        <v>2.1846140025559402E-2</v>
      </c>
      <c r="AC16" s="927">
        <f t="shared" si="9"/>
        <v>3.0746187880333675E-2</v>
      </c>
      <c r="AD16" s="927">
        <f t="shared" si="9"/>
        <v>2.8606309371189242E-2</v>
      </c>
      <c r="AE16" s="927">
        <f t="shared" si="9"/>
        <v>3.1343868352262882E-2</v>
      </c>
      <c r="AF16" s="927">
        <f t="shared" si="9"/>
        <v>3.2394354805230341E-2</v>
      </c>
      <c r="AG16" s="920">
        <f t="shared" ref="AG16:AH16" si="10">AG49+AG17</f>
        <v>3.3164637629816696E-2</v>
      </c>
      <c r="AH16" s="920">
        <f t="shared" si="10"/>
        <v>3.1425713898589613E-2</v>
      </c>
      <c r="AI16" s="920">
        <f t="shared" ref="AI16:AM16" si="11">AI49+AI17</f>
        <v>3.1013053419121528E-2</v>
      </c>
      <c r="AJ16" s="920">
        <f t="shared" si="11"/>
        <v>3.1015398756455648E-2</v>
      </c>
      <c r="AK16" s="920">
        <f t="shared" si="11"/>
        <v>3.0542269425562596E-2</v>
      </c>
      <c r="AL16" s="920">
        <f t="shared" si="11"/>
        <v>3.0334679878840642E-2</v>
      </c>
      <c r="AM16" s="920">
        <f t="shared" si="11"/>
        <v>2.9994558057691467E-2</v>
      </c>
      <c r="AN16" s="920">
        <f>AN49+AN17</f>
        <v>2.9803649988641601E-2</v>
      </c>
    </row>
    <row r="17" spans="2:40" x14ac:dyDescent="0.35">
      <c r="B17" s="330" t="s">
        <v>1738</v>
      </c>
      <c r="C17" s="958"/>
      <c r="D17" s="959"/>
      <c r="E17" s="960"/>
      <c r="F17" s="960"/>
      <c r="G17" s="960"/>
      <c r="H17" s="960"/>
      <c r="I17" s="960"/>
      <c r="J17" s="960"/>
      <c r="K17" s="960"/>
      <c r="L17" s="960"/>
      <c r="M17" s="960"/>
      <c r="N17" s="960"/>
      <c r="O17" s="960"/>
      <c r="P17" s="960"/>
      <c r="Q17" s="960"/>
      <c r="R17" s="960"/>
      <c r="S17" s="960"/>
      <c r="T17" s="960"/>
      <c r="U17" s="960"/>
      <c r="V17" s="960"/>
      <c r="W17" s="960"/>
      <c r="X17" s="960"/>
      <c r="Y17" s="960"/>
      <c r="Z17" s="960"/>
      <c r="AA17" s="960"/>
      <c r="AB17" s="960"/>
      <c r="AC17" s="960"/>
      <c r="AD17" s="960"/>
      <c r="AE17" s="960"/>
      <c r="AF17" s="960"/>
      <c r="AG17" s="927"/>
      <c r="AH17" s="927"/>
      <c r="AI17" s="927"/>
      <c r="AJ17" s="960"/>
    </row>
    <row r="18" spans="2:40" x14ac:dyDescent="0.35">
      <c r="B18" s="742" t="s">
        <v>1707</v>
      </c>
      <c r="C18" s="957"/>
      <c r="D18" s="927">
        <f t="shared" ref="D18:T18" si="12">D51</f>
        <v>1.2331231439726587E-2</v>
      </c>
      <c r="E18" s="927">
        <f t="shared" si="12"/>
        <v>-2.700843667145636E-2</v>
      </c>
      <c r="F18" s="927">
        <f t="shared" si="12"/>
        <v>2.7562863533678428E-2</v>
      </c>
      <c r="G18" s="927">
        <f t="shared" si="12"/>
        <v>1.5442696812244527E-2</v>
      </c>
      <c r="H18" s="927">
        <f t="shared" si="12"/>
        <v>2.7307145143274258E-2</v>
      </c>
      <c r="I18" s="927">
        <f t="shared" si="12"/>
        <v>6.2563226282339235E-2</v>
      </c>
      <c r="J18" s="927">
        <f t="shared" si="12"/>
        <v>-3.1076845521187391E-3</v>
      </c>
      <c r="K18" s="927">
        <f t="shared" si="12"/>
        <v>5.0835204325521355E-2</v>
      </c>
      <c r="L18" s="927">
        <f t="shared" si="12"/>
        <v>5.6516511024412575E-2</v>
      </c>
      <c r="M18" s="927">
        <f t="shared" si="12"/>
        <v>9.8643019696944334E-2</v>
      </c>
      <c r="N18" s="927">
        <f t="shared" si="12"/>
        <v>7.7982454628441111E-2</v>
      </c>
      <c r="O18" s="927">
        <f t="shared" si="12"/>
        <v>6.0955299775054206E-2</v>
      </c>
      <c r="P18" s="927">
        <f t="shared" si="12"/>
        <v>7.2782919540383961E-2</v>
      </c>
      <c r="Q18" s="927">
        <f t="shared" si="12"/>
        <v>9.0061872181369962E-2</v>
      </c>
      <c r="R18" s="927">
        <f t="shared" si="12"/>
        <v>0.1436965164831121</v>
      </c>
      <c r="S18" s="927">
        <f t="shared" si="12"/>
        <v>-1.1746560973159292E-2</v>
      </c>
      <c r="T18" s="927">
        <f t="shared" si="12"/>
        <v>2.1967430570584145E-3</v>
      </c>
      <c r="U18" s="945">
        <f>U51+U19</f>
        <v>-3.5599925493891349E-2</v>
      </c>
      <c r="V18" s="927">
        <f t="shared" ref="V18:AF18" si="13">V51+V19</f>
        <v>-4.5280831786954745E-2</v>
      </c>
      <c r="W18" s="927">
        <f t="shared" si="13"/>
        <v>4.8134298648978557E-2</v>
      </c>
      <c r="X18" s="927">
        <f t="shared" si="13"/>
        <v>-4.2594526301267255E-3</v>
      </c>
      <c r="Y18" s="927">
        <f t="shared" si="13"/>
        <v>4.217111451589628E-2</v>
      </c>
      <c r="Z18" s="927">
        <f t="shared" si="13"/>
        <v>1.9463682308167529E-2</v>
      </c>
      <c r="AA18" s="927">
        <f t="shared" si="13"/>
        <v>2.1874539845902152E-2</v>
      </c>
      <c r="AB18" s="927">
        <f t="shared" si="13"/>
        <v>2.3387020619908716E-2</v>
      </c>
      <c r="AC18" s="927">
        <f t="shared" si="13"/>
        <v>3.0746187880333675E-2</v>
      </c>
      <c r="AD18" s="927">
        <f t="shared" si="13"/>
        <v>2.8606309371189242E-2</v>
      </c>
      <c r="AE18" s="927">
        <f t="shared" si="13"/>
        <v>3.1343868352262882E-2</v>
      </c>
      <c r="AF18" s="927">
        <f t="shared" si="13"/>
        <v>3.2394354805230341E-2</v>
      </c>
      <c r="AG18" s="920">
        <f t="shared" ref="AG18:AH18" si="14">AG51+AG19</f>
        <v>3.3164637629816696E-2</v>
      </c>
      <c r="AH18" s="920">
        <f t="shared" si="14"/>
        <v>3.1425713898589613E-2</v>
      </c>
      <c r="AI18" s="920">
        <f t="shared" ref="AI18:AN18" si="15">AI51+AI19</f>
        <v>3.1013053419121528E-2</v>
      </c>
      <c r="AJ18" s="920">
        <f t="shared" si="15"/>
        <v>3.1015398756455648E-2</v>
      </c>
      <c r="AK18" s="920">
        <f t="shared" si="15"/>
        <v>3.0542269425562596E-2</v>
      </c>
      <c r="AL18" s="920">
        <f t="shared" si="15"/>
        <v>3.0334679878840642E-2</v>
      </c>
      <c r="AM18" s="920">
        <f t="shared" si="15"/>
        <v>2.9994558057691467E-2</v>
      </c>
      <c r="AN18" s="920">
        <f t="shared" si="15"/>
        <v>2.9803649988641601E-2</v>
      </c>
    </row>
    <row r="19" spans="2:40" x14ac:dyDescent="0.35">
      <c r="B19" s="330" t="s">
        <v>1739</v>
      </c>
      <c r="C19" s="958"/>
      <c r="D19" s="959"/>
      <c r="E19" s="960"/>
      <c r="F19" s="960"/>
      <c r="G19" s="960"/>
      <c r="H19" s="960"/>
      <c r="I19" s="960"/>
      <c r="J19" s="960"/>
      <c r="K19" s="960"/>
      <c r="L19" s="960"/>
      <c r="M19" s="960"/>
      <c r="N19" s="960"/>
      <c r="O19" s="960"/>
      <c r="P19" s="960"/>
      <c r="Q19" s="960"/>
      <c r="R19" s="960"/>
      <c r="S19" s="960"/>
      <c r="T19" s="960"/>
      <c r="U19" s="960"/>
      <c r="V19" s="960"/>
      <c r="W19" s="960"/>
      <c r="X19" s="960"/>
      <c r="Y19" s="960"/>
      <c r="Z19" s="960"/>
      <c r="AA19" s="960"/>
      <c r="AB19" s="960"/>
      <c r="AC19" s="960"/>
      <c r="AD19" s="960"/>
      <c r="AE19" s="960"/>
      <c r="AF19" s="960"/>
      <c r="AG19" s="927"/>
      <c r="AH19" s="927"/>
      <c r="AI19" s="927"/>
      <c r="AJ19" s="927"/>
    </row>
    <row r="20" spans="2:40" x14ac:dyDescent="0.35">
      <c r="B20" s="742" t="s">
        <v>1708</v>
      </c>
      <c r="C20" s="957"/>
      <c r="D20" s="927">
        <f t="shared" ref="D20:T20" si="16">D52</f>
        <v>4.0962242441666019E-2</v>
      </c>
      <c r="E20" s="927">
        <f t="shared" si="16"/>
        <v>1.51792670994777E-2</v>
      </c>
      <c r="F20" s="927">
        <f t="shared" si="16"/>
        <v>4.2702169718882965E-2</v>
      </c>
      <c r="G20" s="927">
        <f t="shared" si="16"/>
        <v>1.755007684826615E-2</v>
      </c>
      <c r="H20" s="927">
        <f t="shared" si="16"/>
        <v>7.6166905113348449E-3</v>
      </c>
      <c r="I20" s="927">
        <f t="shared" si="16"/>
        <v>1.0120807804920418E-2</v>
      </c>
      <c r="J20" s="927">
        <f t="shared" si="16"/>
        <v>-1.4337681566159555E-2</v>
      </c>
      <c r="K20" s="927">
        <f t="shared" si="16"/>
        <v>3.9796166071044636E-2</v>
      </c>
      <c r="L20" s="927">
        <f t="shared" si="16"/>
        <v>2.0329576447674524E-2</v>
      </c>
      <c r="M20" s="927">
        <f t="shared" si="16"/>
        <v>5.9674403216350091E-2</v>
      </c>
      <c r="N20" s="927">
        <f t="shared" si="16"/>
        <v>9.5803328528480503E-2</v>
      </c>
      <c r="O20" s="927">
        <f t="shared" si="16"/>
        <v>8.9244367976453631E-2</v>
      </c>
      <c r="P20" s="927">
        <f t="shared" si="16"/>
        <v>0.12456668920888303</v>
      </c>
      <c r="Q20" s="927">
        <f t="shared" si="16"/>
        <v>0.12433979312392585</v>
      </c>
      <c r="R20" s="927">
        <f t="shared" si="16"/>
        <v>0.13846732874655276</v>
      </c>
      <c r="S20" s="927">
        <f t="shared" si="16"/>
        <v>9.552027198699542E-2</v>
      </c>
      <c r="T20" s="927">
        <f t="shared" si="16"/>
        <v>5.5161829119105388E-2</v>
      </c>
      <c r="U20" s="927">
        <f>U52+U21</f>
        <v>5.0122233379745529E-2</v>
      </c>
      <c r="V20" s="927">
        <f t="shared" ref="V20:AF20" si="17">V52+V21</f>
        <v>2.1164173736800684E-3</v>
      </c>
      <c r="W20" s="927">
        <f t="shared" si="17"/>
        <v>5.8706332638096548E-3</v>
      </c>
      <c r="X20" s="927">
        <f t="shared" si="17"/>
        <v>1.2084409350409553E-2</v>
      </c>
      <c r="Y20" s="927">
        <f t="shared" si="17"/>
        <v>2.380676700323181E-2</v>
      </c>
      <c r="Z20" s="927">
        <f t="shared" si="17"/>
        <v>3.3212249496941126E-3</v>
      </c>
      <c r="AA20" s="927">
        <f t="shared" si="17"/>
        <v>3.2150473499066079E-2</v>
      </c>
      <c r="AB20" s="927">
        <f t="shared" si="17"/>
        <v>1.5613414603821152E-2</v>
      </c>
      <c r="AC20" s="927">
        <f t="shared" si="17"/>
        <v>3.0746187880333675E-2</v>
      </c>
      <c r="AD20" s="927">
        <f t="shared" si="17"/>
        <v>2.8606309371189242E-2</v>
      </c>
      <c r="AE20" s="927">
        <f t="shared" si="17"/>
        <v>3.1343868352262882E-2</v>
      </c>
      <c r="AF20" s="927">
        <f t="shared" si="17"/>
        <v>3.2394354805230341E-2</v>
      </c>
      <c r="AG20" s="920">
        <f t="shared" ref="AG20:AH20" si="18">AG52+AG21</f>
        <v>3.3164637629816696E-2</v>
      </c>
      <c r="AH20" s="920">
        <f t="shared" si="18"/>
        <v>3.1425713898589613E-2</v>
      </c>
      <c r="AI20" s="920">
        <f t="shared" ref="AI20:AN20" si="19">AI52+AI21</f>
        <v>3.1013053419121528E-2</v>
      </c>
      <c r="AJ20" s="920">
        <f t="shared" si="19"/>
        <v>3.1015398756455648E-2</v>
      </c>
      <c r="AK20" s="920">
        <f t="shared" si="19"/>
        <v>3.0542269425562596E-2</v>
      </c>
      <c r="AL20" s="920">
        <f t="shared" si="19"/>
        <v>3.0334679878840642E-2</v>
      </c>
      <c r="AM20" s="920">
        <f t="shared" si="19"/>
        <v>2.9994558057691467E-2</v>
      </c>
      <c r="AN20" s="920">
        <f t="shared" si="19"/>
        <v>2.9803649988641601E-2</v>
      </c>
    </row>
    <row r="21" spans="2:40" x14ac:dyDescent="0.35">
      <c r="B21" s="330" t="s">
        <v>1740</v>
      </c>
      <c r="C21" s="958"/>
      <c r="D21" s="931"/>
      <c r="E21" s="931"/>
      <c r="F21" s="931"/>
      <c r="G21" s="931"/>
      <c r="H21" s="931"/>
      <c r="I21" s="931"/>
      <c r="J21" s="931"/>
      <c r="K21" s="931"/>
      <c r="L21" s="931"/>
      <c r="M21" s="931"/>
      <c r="N21" s="931"/>
      <c r="O21" s="931"/>
      <c r="P21" s="931"/>
      <c r="Q21" s="931"/>
      <c r="R21" s="931"/>
      <c r="S21" s="931"/>
      <c r="T21" s="931"/>
      <c r="U21" s="931"/>
      <c r="V21" s="931"/>
      <c r="W21" s="931"/>
      <c r="X21" s="931"/>
      <c r="Y21" s="931"/>
      <c r="Z21" s="931"/>
      <c r="AA21" s="931"/>
      <c r="AB21" s="931"/>
      <c r="AC21" s="931"/>
      <c r="AD21" s="931"/>
      <c r="AE21" s="931"/>
      <c r="AF21" s="931"/>
      <c r="AG21" s="35"/>
      <c r="AH21" s="35"/>
      <c r="AI21" s="35"/>
      <c r="AJ21" s="35"/>
      <c r="AK21" s="35"/>
      <c r="AL21" s="35"/>
      <c r="AM21" s="35"/>
      <c r="AN21" s="35"/>
    </row>
    <row r="22" spans="2:40" x14ac:dyDescent="0.35">
      <c r="B22" s="1384" t="s">
        <v>1729</v>
      </c>
      <c r="C22" s="1385"/>
      <c r="D22" s="1385"/>
      <c r="E22" s="1385"/>
      <c r="F22" s="1385"/>
      <c r="G22" s="1385"/>
      <c r="H22" s="1385"/>
      <c r="I22" s="1385"/>
      <c r="J22" s="1385"/>
      <c r="K22" s="1385"/>
      <c r="L22" s="1385"/>
      <c r="M22" s="1385"/>
      <c r="N22" s="1385"/>
      <c r="O22" s="1385"/>
      <c r="P22" s="1385"/>
      <c r="Q22" s="1385"/>
      <c r="R22" s="1385"/>
      <c r="S22" s="1385"/>
      <c r="T22" s="1385"/>
      <c r="U22" s="1385"/>
      <c r="V22" s="1385"/>
      <c r="W22" s="1385"/>
      <c r="X22" s="1385"/>
      <c r="Y22" s="1385"/>
      <c r="Z22" s="1385"/>
      <c r="AA22" s="1385"/>
      <c r="AB22" s="1385"/>
      <c r="AC22" s="1385"/>
      <c r="AD22" s="1385"/>
      <c r="AE22" s="1385"/>
      <c r="AF22" s="1385"/>
      <c r="AG22" s="1385"/>
      <c r="AH22" s="1385"/>
      <c r="AI22" s="1385"/>
      <c r="AJ22" s="1385"/>
      <c r="AK22" s="1385"/>
      <c r="AL22" s="1385"/>
      <c r="AM22" s="1385"/>
      <c r="AN22" s="1386"/>
    </row>
    <row r="23" spans="2:40" x14ac:dyDescent="0.35">
      <c r="B23" s="944" t="s">
        <v>1704</v>
      </c>
      <c r="C23" s="952"/>
      <c r="D23" s="942">
        <f t="shared" ref="D23:AF23" si="20">(D12+1)^0.25-1</f>
        <v>3.7944725878693575E-3</v>
      </c>
      <c r="E23" s="942">
        <f t="shared" si="20"/>
        <v>2.0362035034391379E-3</v>
      </c>
      <c r="F23" s="942">
        <f t="shared" si="20"/>
        <v>5.590611661529854E-3</v>
      </c>
      <c r="G23" s="942">
        <f t="shared" si="20"/>
        <v>2.407518418966248E-3</v>
      </c>
      <c r="H23" s="942">
        <f t="shared" si="20"/>
        <v>3.9353749698576301E-3</v>
      </c>
      <c r="I23" s="942">
        <f t="shared" si="20"/>
        <v>3.0840771307514281E-3</v>
      </c>
      <c r="J23" s="942">
        <f t="shared" si="20"/>
        <v>-3.9845216658365157E-3</v>
      </c>
      <c r="K23" s="942">
        <f t="shared" si="20"/>
        <v>8.1163211139745339E-3</v>
      </c>
      <c r="L23" s="942">
        <f t="shared" si="20"/>
        <v>4.8458485958486897E-3</v>
      </c>
      <c r="M23" s="942">
        <f t="shared" si="20"/>
        <v>1.128726029998095E-2</v>
      </c>
      <c r="N23" s="942">
        <f t="shared" si="20"/>
        <v>1.5573224192473534E-2</v>
      </c>
      <c r="O23" s="942">
        <f t="shared" si="20"/>
        <v>1.3800051761748033E-2</v>
      </c>
      <c r="P23" s="942">
        <f t="shared" si="20"/>
        <v>1.6502402421568085E-2</v>
      </c>
      <c r="Q23" s="942">
        <f t="shared" si="20"/>
        <v>1.8781785076822377E-2</v>
      </c>
      <c r="R23" s="942">
        <f t="shared" si="20"/>
        <v>1.8373905005062419E-2</v>
      </c>
      <c r="S23" s="943">
        <f t="shared" si="20"/>
        <v>1.1601770523549382E-2</v>
      </c>
      <c r="T23" s="942">
        <f t="shared" si="20"/>
        <v>9.8962517305620779E-3</v>
      </c>
      <c r="U23" s="942">
        <f t="shared" si="20"/>
        <v>9.7146532173442157E-3</v>
      </c>
      <c r="V23" s="942">
        <f t="shared" si="20"/>
        <v>7.2242708682535017E-3</v>
      </c>
      <c r="W23" s="942">
        <f t="shared" si="20"/>
        <v>6.6648915811020615E-3</v>
      </c>
      <c r="X23" s="942">
        <f t="shared" si="20"/>
        <v>4.1080151756858196E-3</v>
      </c>
      <c r="Y23" s="942">
        <f t="shared" si="20"/>
        <v>8.4540665130061754E-3</v>
      </c>
      <c r="Z23" s="942">
        <f t="shared" si="20"/>
        <v>6.269029524843539E-3</v>
      </c>
      <c r="AA23" s="942">
        <f t="shared" si="20"/>
        <v>3.8288379639017656E-3</v>
      </c>
      <c r="AB23" s="942">
        <f t="shared" si="20"/>
        <v>5.6243787728187389E-3</v>
      </c>
      <c r="AC23" s="942">
        <f t="shared" si="20"/>
        <v>5.4941475191609968E-3</v>
      </c>
      <c r="AD23" s="942">
        <f>(AD12+1)^0.25-1</f>
        <v>5.3281733087207073E-3</v>
      </c>
      <c r="AE23" s="942">
        <f t="shared" si="20"/>
        <v>5.2029853847326279E-3</v>
      </c>
      <c r="AF23" s="943">
        <f t="shared" si="20"/>
        <v>5.2365719228046892E-3</v>
      </c>
      <c r="AG23" s="943">
        <f t="shared" ref="AG23" si="21">(AG12+1)^0.25-1</f>
        <v>5.1030876689082127E-3</v>
      </c>
      <c r="AH23" s="943">
        <f>(AH12+1)^0.25-1</f>
        <v>5.0560151008076648E-3</v>
      </c>
      <c r="AI23" s="943">
        <f>(AI12+1)^0.25-1</f>
        <v>5.0400673136283825E-3</v>
      </c>
      <c r="AJ23" s="943">
        <f>(AJ12+1)^0.25-1</f>
        <v>5.0641944009628403E-3</v>
      </c>
      <c r="AK23" s="943">
        <f>(AK12+1)^0.25-1</f>
        <v>5.0315604958042215E-3</v>
      </c>
      <c r="AL23" s="943">
        <f t="shared" ref="AL23:AN23" si="22">(AL12+1)^0.25-1</f>
        <v>5.0077163079846887E-3</v>
      </c>
      <c r="AM23" s="943">
        <f t="shared" si="22"/>
        <v>4.9844806962866528E-3</v>
      </c>
      <c r="AN23" s="943">
        <f t="shared" si="22"/>
        <v>4.9785638082857631E-3</v>
      </c>
    </row>
    <row r="24" spans="2:40" x14ac:dyDescent="0.35">
      <c r="B24" s="928" t="s">
        <v>1705</v>
      </c>
      <c r="C24" s="952"/>
      <c r="D24" s="942">
        <f t="shared" ref="D24:AF24" si="23">(D14+1)^0.25-1</f>
        <v>7.2893513350869021E-3</v>
      </c>
      <c r="E24" s="942">
        <f t="shared" si="23"/>
        <v>9.183063847828965E-3</v>
      </c>
      <c r="F24" s="942">
        <f t="shared" si="23"/>
        <v>-6.6551450859820838E-3</v>
      </c>
      <c r="G24" s="942">
        <f t="shared" si="23"/>
        <v>9.3238748870549948E-4</v>
      </c>
      <c r="H24" s="942">
        <f t="shared" si="23"/>
        <v>3.6396462148640119E-3</v>
      </c>
      <c r="I24" s="942">
        <f t="shared" si="23"/>
        <v>3.0236341019997948E-3</v>
      </c>
      <c r="J24" s="942">
        <f t="shared" si="23"/>
        <v>6.3915440825756953E-4</v>
      </c>
      <c r="K24" s="942">
        <f t="shared" si="23"/>
        <v>5.4627096183730295E-3</v>
      </c>
      <c r="L24" s="942">
        <f t="shared" si="23"/>
        <v>7.4621204938085661E-3</v>
      </c>
      <c r="M24" s="942">
        <f t="shared" si="23"/>
        <v>7.6797831590638133E-3</v>
      </c>
      <c r="N24" s="942">
        <f t="shared" si="23"/>
        <v>1.0778096367762835E-2</v>
      </c>
      <c r="O24" s="942">
        <f t="shared" si="23"/>
        <v>1.1808950038346699E-2</v>
      </c>
      <c r="P24" s="942">
        <f t="shared" si="23"/>
        <v>1.2374316216290149E-2</v>
      </c>
      <c r="Q24" s="942">
        <f t="shared" si="23"/>
        <v>1.602980443097346E-2</v>
      </c>
      <c r="R24" s="942">
        <f t="shared" si="23"/>
        <v>1.8218461729688551E-2</v>
      </c>
      <c r="S24" s="943">
        <f t="shared" si="23"/>
        <v>1.3070584644896854E-2</v>
      </c>
      <c r="T24" s="942">
        <f t="shared" si="23"/>
        <v>1.0216553053776778E-2</v>
      </c>
      <c r="U24" s="942">
        <f t="shared" si="23"/>
        <v>1.0556270288231362E-2</v>
      </c>
      <c r="V24" s="942">
        <f t="shared" si="23"/>
        <v>8.6417671359919623E-3</v>
      </c>
      <c r="W24" s="942">
        <f t="shared" si="23"/>
        <v>9.3952438667612714E-3</v>
      </c>
      <c r="X24" s="942">
        <f t="shared" si="23"/>
        <v>9.4402901647081539E-3</v>
      </c>
      <c r="Y24" s="942">
        <f t="shared" si="23"/>
        <v>8.7613516107596379E-3</v>
      </c>
      <c r="Z24" s="942">
        <f t="shared" si="23"/>
        <v>6.977481763400073E-3</v>
      </c>
      <c r="AA24" s="942">
        <f t="shared" si="23"/>
        <v>6.0650111043811794E-3</v>
      </c>
      <c r="AB24" s="942">
        <f t="shared" si="23"/>
        <v>7.015797585409711E-3</v>
      </c>
      <c r="AC24" s="942">
        <f t="shared" si="23"/>
        <v>4.6471700810972738E-3</v>
      </c>
      <c r="AD24" s="942">
        <f t="shared" si="23"/>
        <v>3.8032220794554927E-3</v>
      </c>
      <c r="AE24" s="942">
        <f t="shared" si="23"/>
        <v>3.6622499009297815E-3</v>
      </c>
      <c r="AF24" s="943">
        <f t="shared" si="23"/>
        <v>3.7586565053258081E-3</v>
      </c>
      <c r="AG24" s="943">
        <f t="shared" ref="AG24" si="24">(AG14+1)^0.25-1</f>
        <v>5.3360385557714718E-3</v>
      </c>
      <c r="AH24" s="943">
        <f>(AH14+1)^0.25-1</f>
        <v>5.6496540320822852E-3</v>
      </c>
      <c r="AI24" s="943">
        <f>(AI14+1)^0.25-1</f>
        <v>5.7657657657657069E-3</v>
      </c>
      <c r="AJ24" s="943">
        <f>(AJ14+1)^0.25-1</f>
        <v>5.9196503336531592E-3</v>
      </c>
      <c r="AK24" s="943">
        <f t="shared" ref="AK24:AN24" si="25">(AK14+1)^0.25-1</f>
        <v>5.5566525119521426E-3</v>
      </c>
      <c r="AL24" s="943">
        <f t="shared" si="25"/>
        <v>5.4914304880231413E-3</v>
      </c>
      <c r="AM24" s="943">
        <f t="shared" si="25"/>
        <v>5.6450948628539166E-3</v>
      </c>
      <c r="AN24" s="943">
        <f t="shared" si="25"/>
        <v>5.7617728642578303E-3</v>
      </c>
    </row>
    <row r="25" spans="2:40" x14ac:dyDescent="0.35">
      <c r="B25" s="928" t="s">
        <v>1706</v>
      </c>
      <c r="C25" s="952"/>
      <c r="D25" s="942">
        <f t="shared" ref="D25:AF25" si="26">(D16+1)^0.25-1</f>
        <v>4.372774229274734E-3</v>
      </c>
      <c r="E25" s="942">
        <f t="shared" si="26"/>
        <v>-4.8575529720429333E-3</v>
      </c>
      <c r="F25" s="942">
        <f t="shared" si="26"/>
        <v>7.5177196568785298E-3</v>
      </c>
      <c r="G25" s="942">
        <f t="shared" si="26"/>
        <v>3.9251751633120335E-3</v>
      </c>
      <c r="H25" s="942">
        <f t="shared" si="26"/>
        <v>5.8458545430506437E-3</v>
      </c>
      <c r="I25" s="942">
        <f t="shared" si="26"/>
        <v>1.2910070794133643E-2</v>
      </c>
      <c r="J25" s="942">
        <f t="shared" si="26"/>
        <v>-1.3069956711562192E-3</v>
      </c>
      <c r="K25" s="942">
        <f t="shared" si="26"/>
        <v>1.200111379246338E-2</v>
      </c>
      <c r="L25" s="942">
        <f t="shared" si="26"/>
        <v>1.2262342593526654E-2</v>
      </c>
      <c r="M25" s="942">
        <f t="shared" si="26"/>
        <v>2.2189000634230238E-2</v>
      </c>
      <c r="N25" s="942">
        <f t="shared" si="26"/>
        <v>1.972185536124238E-2</v>
      </c>
      <c r="O25" s="942">
        <f t="shared" si="26"/>
        <v>1.6072111539932488E-2</v>
      </c>
      <c r="P25" s="942">
        <f t="shared" si="26"/>
        <v>1.976166237499255E-2</v>
      </c>
      <c r="Q25" s="942">
        <f t="shared" si="26"/>
        <v>2.3137001585530559E-2</v>
      </c>
      <c r="R25" s="942">
        <f t="shared" si="26"/>
        <v>3.395347693115025E-2</v>
      </c>
      <c r="S25" s="943">
        <f t="shared" si="26"/>
        <v>1.4353459897542553E-3</v>
      </c>
      <c r="T25" s="942">
        <f t="shared" si="26"/>
        <v>2.8269838378878198E-3</v>
      </c>
      <c r="U25" s="942">
        <f t="shared" si="26"/>
        <v>-5.2590018951358397E-3</v>
      </c>
      <c r="V25" s="942">
        <f t="shared" si="26"/>
        <v>-9.3193833648214097E-3</v>
      </c>
      <c r="W25" s="942">
        <f t="shared" si="26"/>
        <v>9.9439102564102821E-3</v>
      </c>
      <c r="X25" s="942">
        <f t="shared" si="26"/>
        <v>-2.7768741917311157E-4</v>
      </c>
      <c r="Y25" s="942">
        <f t="shared" si="26"/>
        <v>9.5154199006395324E-3</v>
      </c>
      <c r="Z25" s="942">
        <f t="shared" si="26"/>
        <v>4.0485829959513442E-3</v>
      </c>
      <c r="AA25" s="942">
        <f t="shared" si="26"/>
        <v>5.9191982461634929E-3</v>
      </c>
      <c r="AB25" s="942">
        <f t="shared" si="26"/>
        <v>5.4173542140165676E-3</v>
      </c>
      <c r="AC25" s="942">
        <f t="shared" si="26"/>
        <v>7.5994791260280969E-3</v>
      </c>
      <c r="AD25" s="942">
        <f t="shared" si="26"/>
        <v>7.076115293487284E-3</v>
      </c>
      <c r="AE25" s="942">
        <f t="shared" si="26"/>
        <v>7.7455120761196206E-3</v>
      </c>
      <c r="AF25" s="943">
        <f t="shared" si="26"/>
        <v>8.0020266414988495E-3</v>
      </c>
      <c r="AG25" s="943">
        <f t="shared" ref="AG25" si="27">(AG16+1)^0.25-1</f>
        <v>8.189994905591913E-3</v>
      </c>
      <c r="AH25" s="943">
        <f>(AH16+1)^0.25-1</f>
        <v>7.7655046872424638E-3</v>
      </c>
      <c r="AI25" s="943">
        <f>(AI16+1)^0.25-1</f>
        <v>7.6646909789201967E-3</v>
      </c>
      <c r="AJ25" s="943">
        <f>(AJ16+1)^0.25-1</f>
        <v>7.6652640346144274E-3</v>
      </c>
      <c r="AK25" s="943">
        <f t="shared" ref="AK25:AN25" si="28">(AK16+1)^0.25-1</f>
        <v>7.549640626419496E-3</v>
      </c>
      <c r="AL25" s="943">
        <f t="shared" si="28"/>
        <v>7.4988972991580916E-3</v>
      </c>
      <c r="AM25" s="943">
        <f t="shared" si="28"/>
        <v>7.4157411184010424E-3</v>
      </c>
      <c r="AN25" s="943">
        <f t="shared" si="28"/>
        <v>7.3690570943414357E-3</v>
      </c>
    </row>
    <row r="26" spans="2:40" x14ac:dyDescent="0.35">
      <c r="B26" s="928" t="s">
        <v>1707</v>
      </c>
      <c r="C26" s="952"/>
      <c r="D26" s="942">
        <f t="shared" ref="D26:AF26" si="29">(D18+1)^0.25-1</f>
        <v>3.0686539854383188E-3</v>
      </c>
      <c r="E26" s="942">
        <f t="shared" si="29"/>
        <v>-6.8215934786326482E-3</v>
      </c>
      <c r="F26" s="942">
        <f t="shared" si="29"/>
        <v>6.8206168209994367E-3</v>
      </c>
      <c r="G26" s="942">
        <f t="shared" si="29"/>
        <v>3.838516280439741E-3</v>
      </c>
      <c r="H26" s="942">
        <f t="shared" si="29"/>
        <v>6.757971851248934E-3</v>
      </c>
      <c r="I26" s="942">
        <f t="shared" si="29"/>
        <v>1.5286696061748373E-2</v>
      </c>
      <c r="J26" s="942">
        <f t="shared" si="29"/>
        <v>-7.7782819256788649E-4</v>
      </c>
      <c r="K26" s="942">
        <f t="shared" si="29"/>
        <v>1.2473473018932424E-2</v>
      </c>
      <c r="L26" s="942">
        <f t="shared" si="29"/>
        <v>1.3839183561393131E-2</v>
      </c>
      <c r="M26" s="942">
        <f t="shared" si="29"/>
        <v>2.3797701481488298E-2</v>
      </c>
      <c r="N26" s="942">
        <f t="shared" si="29"/>
        <v>1.8950115958131564E-2</v>
      </c>
      <c r="O26" s="942">
        <f t="shared" si="29"/>
        <v>1.4902381611741955E-2</v>
      </c>
      <c r="P26" s="942">
        <f t="shared" si="29"/>
        <v>1.7719187543701054E-2</v>
      </c>
      <c r="Q26" s="942">
        <f t="shared" si="29"/>
        <v>2.1792680474562731E-2</v>
      </c>
      <c r="R26" s="942">
        <f t="shared" si="29"/>
        <v>3.413610161291647E-2</v>
      </c>
      <c r="S26" s="943">
        <f t="shared" si="29"/>
        <v>-2.9496653874211409E-3</v>
      </c>
      <c r="T26" s="942">
        <f t="shared" si="29"/>
        <v>5.4873393561516437E-4</v>
      </c>
      <c r="U26" s="942">
        <f t="shared" si="29"/>
        <v>-9.0213253002472404E-3</v>
      </c>
      <c r="V26" s="942">
        <f t="shared" si="29"/>
        <v>-1.1517669516674878E-2</v>
      </c>
      <c r="W26" s="942">
        <f t="shared" si="29"/>
        <v>1.1822268382531975E-2</v>
      </c>
      <c r="X26" s="942">
        <f t="shared" si="29"/>
        <v>-1.0665682964577927E-3</v>
      </c>
      <c r="Y26" s="942">
        <f t="shared" si="29"/>
        <v>1.0380039497134064E-2</v>
      </c>
      <c r="Z26" s="942">
        <f t="shared" si="29"/>
        <v>4.8308027236829698E-3</v>
      </c>
      <c r="AA26" s="942">
        <f t="shared" si="29"/>
        <v>5.424339946389134E-3</v>
      </c>
      <c r="AB26" s="942">
        <f t="shared" si="29"/>
        <v>5.79616682264672E-3</v>
      </c>
      <c r="AC26" s="942">
        <f t="shared" si="29"/>
        <v>7.5994791260280969E-3</v>
      </c>
      <c r="AD26" s="942">
        <f t="shared" si="29"/>
        <v>7.076115293487284E-3</v>
      </c>
      <c r="AE26" s="942">
        <f t="shared" si="29"/>
        <v>7.7455120761196206E-3</v>
      </c>
      <c r="AF26" s="943">
        <f t="shared" si="29"/>
        <v>8.0020266414988495E-3</v>
      </c>
      <c r="AG26" s="943">
        <f t="shared" ref="AG26" si="30">(AG18+1)^0.25-1</f>
        <v>8.189994905591913E-3</v>
      </c>
      <c r="AH26" s="943">
        <f>(AH18+1)^0.25-1</f>
        <v>7.7655046872424638E-3</v>
      </c>
      <c r="AI26" s="943">
        <f>(AI18+1)^0.25-1</f>
        <v>7.6646909789201967E-3</v>
      </c>
      <c r="AJ26" s="943">
        <f>(AJ18+1)^0.25-1</f>
        <v>7.6652640346144274E-3</v>
      </c>
      <c r="AK26" s="943">
        <f t="shared" ref="AK26:AN26" si="31">(AK18+1)^0.25-1</f>
        <v>7.549640626419496E-3</v>
      </c>
      <c r="AL26" s="943">
        <f t="shared" si="31"/>
        <v>7.4988972991580916E-3</v>
      </c>
      <c r="AM26" s="943">
        <f t="shared" si="31"/>
        <v>7.4157411184010424E-3</v>
      </c>
      <c r="AN26" s="943">
        <f t="shared" si="31"/>
        <v>7.3690570943414357E-3</v>
      </c>
    </row>
    <row r="27" spans="2:40" x14ac:dyDescent="0.35">
      <c r="B27" s="929" t="s">
        <v>1708</v>
      </c>
      <c r="C27" s="953"/>
      <c r="D27" s="954">
        <f t="shared" ref="D27:AF27" si="32">(D20+1)^0.25-1</f>
        <v>1.0086913000375342E-2</v>
      </c>
      <c r="E27" s="954">
        <f t="shared" si="32"/>
        <v>3.7734051169659999E-3</v>
      </c>
      <c r="F27" s="954">
        <f t="shared" si="32"/>
        <v>1.0508728795056044E-2</v>
      </c>
      <c r="G27" s="954">
        <f t="shared" si="32"/>
        <v>4.3589358184279448E-3</v>
      </c>
      <c r="H27" s="954">
        <f t="shared" si="32"/>
        <v>1.8987578569289454E-3</v>
      </c>
      <c r="I27" s="954">
        <f t="shared" si="32"/>
        <v>2.520655370396474E-3</v>
      </c>
      <c r="J27" s="954">
        <f t="shared" si="32"/>
        <v>-3.6038552870513163E-3</v>
      </c>
      <c r="K27" s="954">
        <f t="shared" si="32"/>
        <v>9.8039215686274161E-3</v>
      </c>
      <c r="L27" s="954">
        <f t="shared" si="32"/>
        <v>5.044101178190985E-3</v>
      </c>
      <c r="M27" s="954">
        <f t="shared" si="32"/>
        <v>1.4595918668041996E-2</v>
      </c>
      <c r="N27" s="954">
        <f t="shared" si="32"/>
        <v>2.3135500149758847E-2</v>
      </c>
      <c r="O27" s="954">
        <f t="shared" si="32"/>
        <v>2.1601050334439265E-2</v>
      </c>
      <c r="P27" s="954">
        <f t="shared" si="32"/>
        <v>2.9784388812184703E-2</v>
      </c>
      <c r="Q27" s="954">
        <f t="shared" si="32"/>
        <v>2.9732441753590244E-2</v>
      </c>
      <c r="R27" s="954">
        <f t="shared" si="32"/>
        <v>3.2952005044342814E-2</v>
      </c>
      <c r="S27" s="955">
        <f t="shared" si="32"/>
        <v>2.3069422313125587E-2</v>
      </c>
      <c r="T27" s="954">
        <f t="shared" si="32"/>
        <v>1.3514037086113317E-2</v>
      </c>
      <c r="U27" s="954">
        <f t="shared" si="32"/>
        <v>1.230169348981236E-2</v>
      </c>
      <c r="V27" s="954">
        <f t="shared" si="32"/>
        <v>5.2868493398983141E-4</v>
      </c>
      <c r="W27" s="954">
        <f t="shared" si="32"/>
        <v>1.464438304874971E-3</v>
      </c>
      <c r="X27" s="954">
        <f t="shared" si="32"/>
        <v>3.0075074622366582E-3</v>
      </c>
      <c r="Y27" s="954">
        <f t="shared" si="32"/>
        <v>5.8992838194293906E-3</v>
      </c>
      <c r="Z27" s="954">
        <f t="shared" si="32"/>
        <v>8.2927412365885189E-4</v>
      </c>
      <c r="AA27" s="954">
        <f t="shared" si="32"/>
        <v>7.9424915834969134E-3</v>
      </c>
      <c r="AB27" s="954">
        <f t="shared" si="32"/>
        <v>3.880705340413515E-3</v>
      </c>
      <c r="AC27" s="954">
        <f t="shared" si="32"/>
        <v>7.5994791260280969E-3</v>
      </c>
      <c r="AD27" s="954">
        <f t="shared" si="32"/>
        <v>7.076115293487284E-3</v>
      </c>
      <c r="AE27" s="954">
        <f t="shared" si="32"/>
        <v>7.7455120761196206E-3</v>
      </c>
      <c r="AF27" s="955">
        <f t="shared" si="32"/>
        <v>8.0020266414988495E-3</v>
      </c>
      <c r="AG27" s="955">
        <f t="shared" ref="AG27" si="33">(AG20+1)^0.25-1</f>
        <v>8.189994905591913E-3</v>
      </c>
      <c r="AH27" s="955">
        <f>(AH20+1)^0.25-1</f>
        <v>7.7655046872424638E-3</v>
      </c>
      <c r="AI27" s="955">
        <f>(AI20+1)^0.25-1</f>
        <v>7.6646909789201967E-3</v>
      </c>
      <c r="AJ27" s="955">
        <f>(AJ20+1)^0.25-1</f>
        <v>7.6652640346144274E-3</v>
      </c>
      <c r="AK27" s="955">
        <f t="shared" ref="AK27:AN27" si="34">(AK20+1)^0.25-1</f>
        <v>7.549640626419496E-3</v>
      </c>
      <c r="AL27" s="955">
        <f t="shared" si="34"/>
        <v>7.4988972991580916E-3</v>
      </c>
      <c r="AM27" s="955">
        <f t="shared" si="34"/>
        <v>7.4157411184010424E-3</v>
      </c>
      <c r="AN27" s="955">
        <f t="shared" si="34"/>
        <v>7.3690570943414357E-3</v>
      </c>
    </row>
    <row r="28" spans="2:40" x14ac:dyDescent="0.35">
      <c r="B28" s="56"/>
      <c r="C28" s="946"/>
      <c r="D28" s="927"/>
      <c r="E28" s="927"/>
      <c r="F28" s="927"/>
      <c r="G28" s="927"/>
      <c r="H28" s="927"/>
      <c r="I28" s="927"/>
      <c r="J28" s="927"/>
      <c r="K28" s="927"/>
      <c r="L28" s="927"/>
      <c r="M28" s="927"/>
      <c r="N28" s="927"/>
      <c r="O28" s="927"/>
      <c r="P28" s="927"/>
      <c r="Q28" s="927"/>
      <c r="R28" s="927"/>
      <c r="S28" s="927"/>
      <c r="T28" s="927"/>
      <c r="U28" s="927"/>
      <c r="V28" s="927"/>
      <c r="W28" s="927"/>
      <c r="X28" s="927"/>
      <c r="Y28" s="927"/>
      <c r="Z28" s="927"/>
      <c r="AA28" s="927"/>
      <c r="AB28" s="927"/>
      <c r="AC28" s="927"/>
      <c r="AD28" s="927"/>
      <c r="AE28" s="927"/>
      <c r="AF28" s="927"/>
    </row>
    <row r="29" spans="2:40" x14ac:dyDescent="0.35">
      <c r="B29" s="56"/>
      <c r="C29" s="946"/>
      <c r="D29" s="927"/>
      <c r="E29" s="927"/>
      <c r="F29" s="927"/>
      <c r="G29" s="927"/>
      <c r="H29" s="927"/>
      <c r="I29" s="927"/>
      <c r="J29" s="927"/>
      <c r="K29" s="927"/>
      <c r="L29" s="927"/>
      <c r="M29" s="927"/>
      <c r="N29" s="927"/>
      <c r="O29" s="927"/>
      <c r="P29" s="927"/>
      <c r="Q29" s="487"/>
      <c r="R29" s="927"/>
      <c r="S29" s="927"/>
      <c r="T29" s="927"/>
      <c r="U29" s="927"/>
      <c r="V29" s="927"/>
      <c r="W29" s="927"/>
      <c r="X29" s="927"/>
      <c r="Y29" s="927"/>
      <c r="Z29" s="927"/>
      <c r="AA29" s="927"/>
      <c r="AB29" s="927"/>
      <c r="AC29" s="927"/>
      <c r="AD29" s="927"/>
      <c r="AE29" s="927"/>
      <c r="AF29" s="927"/>
    </row>
    <row r="30" spans="2:40" x14ac:dyDescent="0.35">
      <c r="B30" s="56"/>
      <c r="C30" s="946"/>
      <c r="D30" s="927"/>
      <c r="E30" s="927"/>
      <c r="F30" s="927"/>
      <c r="G30" s="927"/>
      <c r="H30" s="927"/>
      <c r="I30" s="927"/>
      <c r="J30" s="927"/>
      <c r="K30" s="927"/>
      <c r="L30" s="927"/>
      <c r="M30" s="927"/>
      <c r="N30" s="927"/>
      <c r="O30" s="927"/>
      <c r="P30" s="927"/>
      <c r="Q30" s="487"/>
      <c r="R30" s="927"/>
      <c r="S30" s="927"/>
      <c r="T30" s="927"/>
      <c r="U30" s="927"/>
      <c r="V30" s="927"/>
      <c r="W30" s="927"/>
      <c r="X30" s="927"/>
      <c r="Y30" s="927"/>
      <c r="Z30" s="927"/>
      <c r="AA30" s="927"/>
      <c r="AB30" s="927"/>
      <c r="AC30" s="927"/>
      <c r="AD30" s="927"/>
      <c r="AE30" s="927"/>
      <c r="AF30" s="927"/>
    </row>
    <row r="31" spans="2:40" x14ac:dyDescent="0.35">
      <c r="B31" s="56"/>
      <c r="C31" s="946"/>
      <c r="D31" s="927"/>
      <c r="E31" s="927"/>
      <c r="F31" s="927"/>
      <c r="G31" s="927"/>
      <c r="H31" s="927"/>
      <c r="I31" s="927"/>
      <c r="J31" s="927"/>
      <c r="K31" s="927"/>
      <c r="L31" s="927"/>
      <c r="M31" s="927"/>
      <c r="N31" s="927"/>
      <c r="O31" s="927"/>
      <c r="P31" s="927"/>
      <c r="Q31" s="56"/>
      <c r="R31" s="927"/>
      <c r="S31" s="927"/>
      <c r="T31" s="927"/>
      <c r="U31" s="927"/>
      <c r="V31" s="927"/>
      <c r="W31" s="927"/>
      <c r="X31" s="927"/>
      <c r="Y31" s="927"/>
      <c r="Z31" s="927"/>
      <c r="AA31" s="927"/>
      <c r="AB31" s="927"/>
      <c r="AC31" s="927"/>
      <c r="AD31" s="927"/>
      <c r="AE31" s="927"/>
      <c r="AF31" s="927"/>
    </row>
    <row r="32" spans="2:40" x14ac:dyDescent="0.35">
      <c r="B32" s="56"/>
      <c r="C32" s="946"/>
      <c r="D32" s="927"/>
      <c r="E32" s="927"/>
      <c r="F32" s="927"/>
      <c r="G32" s="927"/>
      <c r="H32" s="927"/>
      <c r="I32" s="927"/>
      <c r="J32" s="927"/>
      <c r="K32" s="927"/>
      <c r="L32" s="927"/>
      <c r="M32" s="927"/>
      <c r="N32" s="927"/>
      <c r="O32" s="927"/>
      <c r="P32" s="927"/>
      <c r="Q32" s="56"/>
      <c r="R32" s="927"/>
      <c r="S32" s="927"/>
      <c r="T32" s="927"/>
      <c r="U32" s="927"/>
      <c r="V32" s="927"/>
      <c r="W32" s="927"/>
      <c r="X32" s="927"/>
      <c r="Y32" s="927"/>
      <c r="Z32" s="927"/>
      <c r="AA32" s="927"/>
      <c r="AB32" s="927"/>
      <c r="AC32" s="927"/>
      <c r="AD32" s="927"/>
      <c r="AE32" s="927"/>
      <c r="AF32" s="927"/>
    </row>
    <row r="33" spans="2:40" x14ac:dyDescent="0.35">
      <c r="B33" s="56"/>
      <c r="C33" s="946"/>
      <c r="D33" s="927"/>
      <c r="E33" s="927"/>
      <c r="F33" s="927"/>
      <c r="G33" s="927"/>
      <c r="H33" s="927"/>
      <c r="I33" s="927"/>
      <c r="J33" s="927"/>
      <c r="K33" s="927"/>
      <c r="L33" s="927"/>
      <c r="M33" s="927"/>
      <c r="N33" s="927"/>
      <c r="O33" s="927"/>
      <c r="P33" s="927"/>
      <c r="Q33" s="56"/>
      <c r="R33" s="927"/>
      <c r="S33" s="927"/>
      <c r="T33" s="927"/>
      <c r="U33" s="927"/>
      <c r="V33" s="927"/>
      <c r="W33" s="927"/>
      <c r="X33" s="927"/>
      <c r="Y33" s="927"/>
      <c r="Z33" s="927"/>
      <c r="AA33" s="927"/>
      <c r="AB33" s="927"/>
      <c r="AC33" s="927"/>
      <c r="AD33" s="927"/>
      <c r="AE33" s="927"/>
      <c r="AF33" s="927"/>
    </row>
    <row r="34" spans="2:40" x14ac:dyDescent="0.35">
      <c r="B34" s="56"/>
      <c r="C34" s="946"/>
      <c r="D34" s="927"/>
      <c r="E34" s="927"/>
      <c r="F34" s="927"/>
      <c r="G34" s="927"/>
      <c r="H34" s="927"/>
      <c r="I34" s="927"/>
      <c r="J34" s="927"/>
      <c r="K34" s="927"/>
      <c r="L34" s="927"/>
      <c r="M34" s="927"/>
      <c r="N34" s="927"/>
      <c r="O34" s="927"/>
      <c r="P34" s="927"/>
      <c r="Q34" s="56"/>
      <c r="R34" s="927"/>
      <c r="S34" s="927"/>
      <c r="T34" s="927"/>
      <c r="U34" s="927"/>
      <c r="V34" s="927"/>
      <c r="W34" s="927"/>
      <c r="X34" s="927"/>
      <c r="Y34" s="927"/>
      <c r="Z34" s="927"/>
      <c r="AA34" s="927"/>
      <c r="AB34" s="927"/>
      <c r="AC34" s="927"/>
      <c r="AD34" s="927"/>
      <c r="AE34" s="927"/>
      <c r="AF34" s="927"/>
    </row>
    <row r="35" spans="2:40" x14ac:dyDescent="0.35">
      <c r="B35" s="56"/>
      <c r="C35" s="946"/>
      <c r="D35" s="927"/>
      <c r="E35" s="927"/>
      <c r="F35" s="927"/>
      <c r="G35" s="927"/>
      <c r="H35" s="927"/>
      <c r="I35" s="927"/>
      <c r="J35" s="927"/>
      <c r="K35" s="927"/>
      <c r="L35" s="927"/>
      <c r="M35" s="927"/>
      <c r="N35" s="927"/>
      <c r="O35" s="927"/>
      <c r="P35" s="927"/>
      <c r="Q35" s="56"/>
      <c r="R35" s="927"/>
      <c r="S35" s="927"/>
      <c r="T35" s="927"/>
      <c r="U35" s="927"/>
      <c r="V35" s="927"/>
      <c r="W35" s="927"/>
      <c r="X35" s="927"/>
      <c r="Y35" s="927"/>
      <c r="Z35" s="927"/>
      <c r="AA35" s="927"/>
      <c r="AB35" s="927"/>
      <c r="AC35" s="927"/>
      <c r="AD35" s="927"/>
      <c r="AE35" s="927"/>
      <c r="AF35" s="927"/>
    </row>
    <row r="36" spans="2:40" x14ac:dyDescent="0.35">
      <c r="B36" s="56"/>
      <c r="C36" s="946"/>
      <c r="D36" s="927"/>
      <c r="E36" s="927"/>
      <c r="F36" s="927"/>
      <c r="G36" s="927"/>
      <c r="H36" s="927"/>
      <c r="I36" s="927"/>
      <c r="J36" s="927"/>
      <c r="K36" s="927"/>
      <c r="L36" s="927"/>
      <c r="M36" s="927"/>
      <c r="N36" s="927"/>
      <c r="O36" s="927"/>
      <c r="P36" s="927"/>
      <c r="Q36" s="56"/>
      <c r="R36" s="927"/>
      <c r="S36" s="927"/>
      <c r="T36" s="927"/>
      <c r="U36" s="927"/>
      <c r="V36" s="927"/>
      <c r="W36" s="927"/>
      <c r="X36" s="927"/>
      <c r="Y36" s="927"/>
      <c r="Z36" s="927"/>
      <c r="AA36" s="927"/>
      <c r="AB36" s="927"/>
      <c r="AC36" s="927"/>
      <c r="AD36" s="927"/>
      <c r="AE36" s="927"/>
      <c r="AF36" s="927"/>
    </row>
    <row r="37" spans="2:40" x14ac:dyDescent="0.35">
      <c r="B37" s="56"/>
      <c r="C37" s="946"/>
      <c r="D37" s="927"/>
      <c r="E37" s="927"/>
      <c r="F37" s="927"/>
      <c r="G37" s="927"/>
      <c r="H37" s="927"/>
      <c r="I37" s="927"/>
      <c r="J37" s="927"/>
      <c r="K37" s="927"/>
      <c r="L37" s="927"/>
      <c r="M37" s="927"/>
      <c r="N37" s="927"/>
      <c r="O37" s="927"/>
      <c r="P37" s="927"/>
      <c r="Q37" s="56"/>
      <c r="R37" s="927"/>
      <c r="S37" s="927"/>
      <c r="T37" s="927"/>
      <c r="U37" s="927"/>
      <c r="V37" s="927"/>
      <c r="W37" s="927"/>
      <c r="X37" s="927"/>
      <c r="Y37" s="927"/>
      <c r="Z37" s="927"/>
      <c r="AA37" s="927"/>
      <c r="AB37" s="927"/>
      <c r="AC37" s="927"/>
      <c r="AD37" s="927"/>
      <c r="AE37" s="927"/>
      <c r="AF37" s="927"/>
    </row>
    <row r="38" spans="2:40" x14ac:dyDescent="0.35">
      <c r="B38" s="56"/>
      <c r="C38" s="946"/>
      <c r="D38" s="927"/>
      <c r="E38" s="927"/>
      <c r="F38" s="927"/>
      <c r="G38" s="927"/>
      <c r="H38" s="927"/>
      <c r="I38" s="927"/>
      <c r="J38" s="927"/>
      <c r="K38" s="927"/>
      <c r="L38" s="927"/>
      <c r="M38" s="927"/>
      <c r="N38" s="927"/>
      <c r="O38" s="927"/>
      <c r="P38" s="927"/>
      <c r="Q38" s="56"/>
      <c r="R38" s="927"/>
      <c r="S38" s="927"/>
      <c r="T38" s="927"/>
      <c r="U38" s="927"/>
      <c r="V38" s="927"/>
      <c r="W38" s="927"/>
      <c r="X38" s="927"/>
      <c r="Y38" s="927"/>
      <c r="Z38" s="927"/>
      <c r="AA38" s="927"/>
      <c r="AB38" s="927"/>
      <c r="AC38" s="927"/>
      <c r="AD38" s="927"/>
      <c r="AE38" s="927"/>
      <c r="AF38" s="927"/>
    </row>
    <row r="39" spans="2:40" x14ac:dyDescent="0.35">
      <c r="B39" s="56"/>
      <c r="C39" s="946"/>
      <c r="D39" s="927"/>
      <c r="E39" s="927"/>
      <c r="F39" s="927"/>
      <c r="G39" s="927"/>
      <c r="H39" s="927"/>
      <c r="I39" s="927"/>
      <c r="J39" s="927"/>
      <c r="K39" s="927"/>
      <c r="L39" s="927"/>
      <c r="M39" s="927"/>
      <c r="N39" s="927"/>
      <c r="O39" s="927"/>
      <c r="P39" s="927"/>
      <c r="Q39" s="927"/>
      <c r="R39" s="927"/>
      <c r="S39" s="927"/>
      <c r="T39" s="927"/>
      <c r="U39" s="927"/>
      <c r="V39" s="927"/>
      <c r="W39" s="927"/>
      <c r="X39" s="927"/>
      <c r="Y39" s="927"/>
      <c r="Z39" s="927"/>
      <c r="AA39" s="927"/>
      <c r="AB39" s="927"/>
      <c r="AC39" s="927"/>
      <c r="AD39" s="927"/>
      <c r="AE39" s="927"/>
      <c r="AF39" s="927"/>
    </row>
    <row r="40" spans="2:40" x14ac:dyDescent="0.35">
      <c r="B40" s="56"/>
      <c r="C40" s="946"/>
      <c r="D40" s="927"/>
      <c r="E40" s="927"/>
      <c r="F40" s="927"/>
      <c r="G40" s="927"/>
      <c r="H40" s="927"/>
      <c r="I40" s="927"/>
      <c r="J40" s="927"/>
      <c r="K40" s="927"/>
      <c r="L40" s="927"/>
      <c r="M40" s="927"/>
      <c r="N40" s="927"/>
      <c r="O40" s="927"/>
      <c r="P40" s="927"/>
      <c r="Q40" s="927"/>
      <c r="R40" s="927"/>
      <c r="S40" s="927"/>
      <c r="T40" s="927"/>
      <c r="U40" s="927"/>
      <c r="V40" s="927"/>
      <c r="W40" s="927"/>
      <c r="X40" s="927"/>
      <c r="Y40" s="927"/>
      <c r="Z40" s="927"/>
      <c r="AA40" s="927"/>
      <c r="AB40" s="927"/>
      <c r="AC40" s="927"/>
      <c r="AD40" s="927"/>
      <c r="AE40" s="927"/>
      <c r="AF40" s="927"/>
    </row>
    <row r="41" spans="2:40" x14ac:dyDescent="0.35">
      <c r="B41" s="948" t="s">
        <v>1821</v>
      </c>
      <c r="C41" s="948"/>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row>
    <row r="42" spans="2:40" x14ac:dyDescent="0.35">
      <c r="B42" s="1274" t="s">
        <v>1703</v>
      </c>
      <c r="C42" s="1275"/>
      <c r="D42" s="1298" t="s">
        <v>1727</v>
      </c>
      <c r="E42" s="1299"/>
      <c r="F42" s="1299"/>
      <c r="G42" s="1299"/>
      <c r="H42" s="1299"/>
      <c r="I42" s="1299"/>
      <c r="J42" s="1299"/>
      <c r="K42" s="1299"/>
      <c r="L42" s="1299"/>
      <c r="M42" s="1299"/>
      <c r="N42" s="1299"/>
      <c r="O42" s="1299"/>
      <c r="P42" s="1299"/>
      <c r="Q42" s="1299"/>
      <c r="R42" s="1299"/>
      <c r="S42" s="1299"/>
      <c r="T42" s="1299"/>
      <c r="U42" s="1299"/>
      <c r="V42" s="1299"/>
      <c r="W42" s="1299"/>
      <c r="X42" s="1299"/>
      <c r="Y42" s="1299"/>
      <c r="Z42" s="1299"/>
      <c r="AA42" s="1299"/>
      <c r="AB42" s="1300"/>
      <c r="AC42" s="1302" t="s">
        <v>1735</v>
      </c>
      <c r="AD42" s="1282"/>
      <c r="AE42" s="1282"/>
      <c r="AF42" s="1282"/>
      <c r="AG42" s="1282"/>
      <c r="AH42" s="1282"/>
      <c r="AI42" s="1282"/>
      <c r="AJ42" s="1282"/>
      <c r="AK42" s="1282"/>
      <c r="AL42" s="1282"/>
      <c r="AM42" s="1282"/>
      <c r="AN42" s="1283"/>
    </row>
    <row r="43" spans="2:40" x14ac:dyDescent="0.35">
      <c r="B43" s="1276"/>
      <c r="C43" s="1277"/>
      <c r="D43" s="214">
        <v>2018</v>
      </c>
      <c r="E43" s="1271">
        <v>2019</v>
      </c>
      <c r="F43" s="1272"/>
      <c r="G43" s="1272"/>
      <c r="H43" s="1333"/>
      <c r="I43" s="1271">
        <v>2020</v>
      </c>
      <c r="J43" s="1272"/>
      <c r="K43" s="1272"/>
      <c r="L43" s="1272"/>
      <c r="M43" s="1271">
        <v>2021</v>
      </c>
      <c r="N43" s="1272"/>
      <c r="O43" s="1272"/>
      <c r="P43" s="1272"/>
      <c r="Q43" s="1293">
        <v>2022</v>
      </c>
      <c r="R43" s="1301"/>
      <c r="S43" s="1301"/>
      <c r="T43" s="1295"/>
      <c r="U43" s="437"/>
      <c r="V43" s="428">
        <v>2023</v>
      </c>
      <c r="W43" s="288"/>
      <c r="X43" s="288"/>
      <c r="Y43" s="437"/>
      <c r="Z43" s="288">
        <v>2024</v>
      </c>
      <c r="AA43" s="288"/>
      <c r="AB43" s="295"/>
      <c r="AC43" s="1280">
        <v>2025</v>
      </c>
      <c r="AD43" s="1281"/>
      <c r="AE43" s="1281"/>
      <c r="AF43" s="1281"/>
      <c r="AG43" s="1280">
        <v>2026</v>
      </c>
      <c r="AH43" s="1286"/>
      <c r="AI43" s="1286"/>
      <c r="AJ43" s="1285"/>
      <c r="AK43" s="1280">
        <v>2027</v>
      </c>
      <c r="AL43" s="1286"/>
      <c r="AM43" s="1286"/>
      <c r="AN43" s="1285"/>
    </row>
    <row r="44" spans="2:40" x14ac:dyDescent="0.35">
      <c r="B44" s="1278"/>
      <c r="C44" s="1279"/>
      <c r="D44" s="214" t="s">
        <v>281</v>
      </c>
      <c r="E44" s="214" t="s">
        <v>282</v>
      </c>
      <c r="F44" s="215" t="s">
        <v>283</v>
      </c>
      <c r="G44" s="215" t="s">
        <v>238</v>
      </c>
      <c r="H44" s="218" t="s">
        <v>281</v>
      </c>
      <c r="I44" s="215" t="s">
        <v>282</v>
      </c>
      <c r="J44" s="215" t="s">
        <v>283</v>
      </c>
      <c r="K44" s="215" t="s">
        <v>238</v>
      </c>
      <c r="L44" s="215" t="s">
        <v>281</v>
      </c>
      <c r="M44" s="214" t="s">
        <v>282</v>
      </c>
      <c r="N44" s="215" t="s">
        <v>283</v>
      </c>
      <c r="O44" s="215" t="s">
        <v>238</v>
      </c>
      <c r="P44" s="215" t="s">
        <v>281</v>
      </c>
      <c r="Q44" s="214" t="s">
        <v>282</v>
      </c>
      <c r="R44" s="215" t="s">
        <v>283</v>
      </c>
      <c r="S44" s="215" t="s">
        <v>238</v>
      </c>
      <c r="T44" s="218" t="s">
        <v>281</v>
      </c>
      <c r="U44" s="214" t="s">
        <v>282</v>
      </c>
      <c r="V44" s="215" t="s">
        <v>283</v>
      </c>
      <c r="W44" s="215" t="s">
        <v>238</v>
      </c>
      <c r="X44" s="215" t="s">
        <v>281</v>
      </c>
      <c r="Y44" s="214" t="s">
        <v>282</v>
      </c>
      <c r="Z44" s="292" t="s">
        <v>283</v>
      </c>
      <c r="AA44" s="215" t="s">
        <v>238</v>
      </c>
      <c r="AB44" s="218" t="s">
        <v>281</v>
      </c>
      <c r="AC44" s="259" t="s">
        <v>282</v>
      </c>
      <c r="AD44" s="315" t="s">
        <v>283</v>
      </c>
      <c r="AE44" s="315" t="s">
        <v>238</v>
      </c>
      <c r="AF44" s="315" t="s">
        <v>281</v>
      </c>
      <c r="AG44" s="259" t="s">
        <v>282</v>
      </c>
      <c r="AH44" s="257" t="s">
        <v>283</v>
      </c>
      <c r="AI44" s="260" t="s">
        <v>238</v>
      </c>
      <c r="AJ44" s="287" t="s">
        <v>281</v>
      </c>
      <c r="AK44" s="259" t="s">
        <v>282</v>
      </c>
      <c r="AL44" s="257" t="s">
        <v>283</v>
      </c>
      <c r="AM44" s="260" t="s">
        <v>238</v>
      </c>
      <c r="AN44" s="287" t="s">
        <v>281</v>
      </c>
    </row>
    <row r="45" spans="2:40" x14ac:dyDescent="0.35">
      <c r="B45" s="956" t="s">
        <v>1897</v>
      </c>
      <c r="C45" s="969"/>
      <c r="D45" s="964">
        <f>('Haver Pivoted'!GO76+1)^4-1</f>
        <v>1.5264497223703488E-2</v>
      </c>
      <c r="E45" s="951">
        <f>('Haver Pivoted'!GP76+1)^4-1</f>
        <v>8.1697245486058723E-3</v>
      </c>
      <c r="F45" s="951">
        <f>('Haver Pivoted'!GQ76+1)^4-1</f>
        <v>2.2550676192391039E-2</v>
      </c>
      <c r="G45" s="951">
        <f>('Haver Pivoted'!GR76+1)^4-1</f>
        <v>9.6649063963889503E-3</v>
      </c>
      <c r="H45" s="951">
        <f>('Haver Pivoted'!GS76+1)^4-1</f>
        <v>1.5834666967584843E-2</v>
      </c>
      <c r="I45" s="951">
        <f>('Haver Pivoted'!GT76+1)^4-1</f>
        <v>1.239349514115573E-2</v>
      </c>
      <c r="J45" s="951">
        <f>('Haver Pivoted'!GU76+1)^4-1</f>
        <v>-1.5843080973497181E-2</v>
      </c>
      <c r="K45" s="951">
        <f>('Haver Pivoted'!GV76+1)^4-1</f>
        <v>3.2862675445769929E-2</v>
      </c>
      <c r="L45" s="951">
        <f>('Haver Pivoted'!GW76+1)^4-1</f>
        <v>1.9524743592179927E-2</v>
      </c>
      <c r="M45" s="951">
        <f>('Haver Pivoted'!GX76+1)^4-1</f>
        <v>4.5919222990944863E-2</v>
      </c>
      <c r="N45" s="951">
        <f>('Haver Pivoted'!GY76+1)^4-1</f>
        <v>6.3763215063124212E-2</v>
      </c>
      <c r="O45" s="951">
        <f>('Haver Pivoted'!GZ76+1)^4-1</f>
        <v>5.6353404292981857E-2</v>
      </c>
      <c r="P45" s="951">
        <f>('Haver Pivoted'!HA76+1)^4-1</f>
        <v>6.7661635913466744E-2</v>
      </c>
      <c r="Q45" s="951">
        <f>('Haver Pivoted'!HB76+1)^4-1</f>
        <v>7.7270298955965933E-2</v>
      </c>
      <c r="R45" s="951">
        <f>('Haver Pivoted'!HC76+1)^4-1</f>
        <v>7.554614845470442E-2</v>
      </c>
      <c r="S45" s="965">
        <f>('Haver Pivoted'!HD76+1)^4-1</f>
        <v>4.7220953130670873E-2</v>
      </c>
      <c r="T45" s="950">
        <f>('Haver Pivoted'!HE76+1)^4-1</f>
        <v>4.0176508092810925E-2</v>
      </c>
      <c r="U45" s="965">
        <f>('Haver Pivoted'!HF76+1)^4-1</f>
        <v>3.9428535960380762E-2</v>
      </c>
      <c r="V45" s="965">
        <f>('Haver Pivoted'!HG76+1)^4-1</f>
        <v>2.9211734875661532E-2</v>
      </c>
      <c r="W45" s="965">
        <f>('Haver Pivoted'!HH76+1)^4-1</f>
        <v>2.6927277215065937E-2</v>
      </c>
      <c r="X45" s="965">
        <f>('Haver Pivoted'!HI76+1)^4-1</f>
        <v>1.6533593023621451E-2</v>
      </c>
      <c r="Y45" s="965">
        <f>('Haver Pivoted'!HJ76+1)^4-1</f>
        <v>3.4247515494288061E-2</v>
      </c>
      <c r="Z45" s="965">
        <f>('Haver Pivoted'!HK76+1)^4-1</f>
        <v>2.5312909540798456E-2</v>
      </c>
      <c r="AA45" s="965">
        <f>('Haver Pivoted'!HL76+1)^4-1</f>
        <v>1.5403536594506217E-2</v>
      </c>
      <c r="AB45" s="965">
        <f>('Haver Pivoted'!HM76+1)^4-1</f>
        <v>2.2688029589659209E-2</v>
      </c>
      <c r="AC45" s="972">
        <f>AC46+AC47</f>
        <v>2.2158368307400821E-2</v>
      </c>
      <c r="AD45" s="972">
        <f t="shared" ref="AD45:AF45" si="35">AD46+AD47</f>
        <v>2.1483635680919155E-2</v>
      </c>
      <c r="AE45" s="972">
        <f t="shared" si="35"/>
        <v>2.0974932014508629E-2</v>
      </c>
      <c r="AF45" s="972">
        <f t="shared" si="35"/>
        <v>2.1111392938697359E-2</v>
      </c>
      <c r="AG45" s="927">
        <f t="shared" ref="AG45" si="36">AG46+AG47</f>
        <v>2.0569131944638507E-2</v>
      </c>
      <c r="AH45" s="927">
        <f>AH46+AH47</f>
        <v>2.037795778240481E-2</v>
      </c>
      <c r="AI45" s="927">
        <f t="shared" ref="AI45" si="37">AI46+AI47</f>
        <v>2.031319568771961E-2</v>
      </c>
      <c r="AJ45" s="927">
        <f>AJ46+AJ47</f>
        <v>2.0411174157790368E-2</v>
      </c>
      <c r="AK45" s="927">
        <f t="shared" ref="AK45:AN45" si="38">AK46+AK47</f>
        <v>2.0278651758323107E-2</v>
      </c>
      <c r="AL45" s="927">
        <f t="shared" si="38"/>
        <v>2.0181831515000193E-2</v>
      </c>
      <c r="AM45" s="927">
        <f t="shared" si="38"/>
        <v>2.008748904793789E-2</v>
      </c>
      <c r="AN45" s="949">
        <f t="shared" si="38"/>
        <v>2.0063466029726529E-2</v>
      </c>
    </row>
    <row r="46" spans="2:40" x14ac:dyDescent="0.35">
      <c r="B46" s="81" t="s">
        <v>1896</v>
      </c>
      <c r="C46" s="946" t="s">
        <v>1694</v>
      </c>
      <c r="D46" s="973">
        <f>('Haver Pivoted'!GO76+1)^4-1</f>
        <v>1.5264497223703488E-2</v>
      </c>
      <c r="E46" s="927">
        <f>('Haver Pivoted'!GP76+1)^4-1</f>
        <v>8.1697245486058723E-3</v>
      </c>
      <c r="F46" s="927">
        <f>('Haver Pivoted'!GQ76+1)^4-1</f>
        <v>2.2550676192391039E-2</v>
      </c>
      <c r="G46" s="927">
        <f>('Haver Pivoted'!GR76+1)^4-1</f>
        <v>9.6649063963889503E-3</v>
      </c>
      <c r="H46" s="927">
        <f>('Haver Pivoted'!GS76+1)^4-1</f>
        <v>1.5834666967584843E-2</v>
      </c>
      <c r="I46" s="927">
        <f>('Haver Pivoted'!GT76+1)^4-1</f>
        <v>1.239349514115573E-2</v>
      </c>
      <c r="J46" s="927">
        <f>('Haver Pivoted'!GU76+1)^4-1</f>
        <v>-1.5843080973497181E-2</v>
      </c>
      <c r="K46" s="927">
        <f>('Haver Pivoted'!GV76+1)^4-1</f>
        <v>3.2862675445769929E-2</v>
      </c>
      <c r="L46" s="927">
        <f>('Haver Pivoted'!GW76+1)^4-1</f>
        <v>1.9524743592179927E-2</v>
      </c>
      <c r="M46" s="927">
        <f>('Haver Pivoted'!GX76+1)^4-1</f>
        <v>4.5919222990944863E-2</v>
      </c>
      <c r="N46" s="927">
        <f>('Haver Pivoted'!GY76+1)^4-1</f>
        <v>6.3763215063124212E-2</v>
      </c>
      <c r="O46" s="927">
        <f>('Haver Pivoted'!GZ76+1)^4-1</f>
        <v>5.6353404292981857E-2</v>
      </c>
      <c r="P46" s="927">
        <f>('Haver Pivoted'!HA76+1)^4-1</f>
        <v>6.7661635913466744E-2</v>
      </c>
      <c r="Q46" s="927">
        <f>('Haver Pivoted'!HB76+1)^4-1</f>
        <v>7.7270298955965933E-2</v>
      </c>
      <c r="R46" s="927">
        <f>('Haver Pivoted'!HC76+1)^4-1</f>
        <v>7.554614845470442E-2</v>
      </c>
      <c r="S46" s="927">
        <f>('Haver Pivoted'!HD76+1)^4-1</f>
        <v>4.7220953130670873E-2</v>
      </c>
      <c r="T46" s="927">
        <f>('Haver Pivoted'!HE76+1)^4-1</f>
        <v>4.0176508092810925E-2</v>
      </c>
      <c r="U46" s="927">
        <f>('Haver Pivoted'!HF76+1)^4-1</f>
        <v>3.9428535960380762E-2</v>
      </c>
      <c r="V46" s="927">
        <f>('Haver Pivoted'!HG76+1)^4-1</f>
        <v>2.9211734875661532E-2</v>
      </c>
      <c r="W46" s="927">
        <f>('Haver Pivoted'!HH76+1)^4-1</f>
        <v>2.6927277215065937E-2</v>
      </c>
      <c r="X46" s="927">
        <f>('Haver Pivoted'!HI76+1)^4-1</f>
        <v>1.6533593023621451E-2</v>
      </c>
      <c r="Y46" s="927">
        <f t="shared" ref="Y46:AH46" si="39">(Y66/X66)^4-1</f>
        <v>3.4257335695615954E-2</v>
      </c>
      <c r="Z46" s="927">
        <f t="shared" si="39"/>
        <v>2.5320587670252914E-2</v>
      </c>
      <c r="AA46" s="927">
        <f t="shared" si="39"/>
        <v>1.4999009292827825E-2</v>
      </c>
      <c r="AB46" s="927">
        <f t="shared" si="39"/>
        <v>2.4498276208370307E-2</v>
      </c>
      <c r="AC46" s="927">
        <f t="shared" si="39"/>
        <v>2.3058368307400823E-2</v>
      </c>
      <c r="AD46" s="927">
        <f t="shared" si="39"/>
        <v>2.1483635680919155E-2</v>
      </c>
      <c r="AE46" s="927">
        <f t="shared" si="39"/>
        <v>2.187493201450863E-2</v>
      </c>
      <c r="AF46" s="927">
        <f t="shared" si="39"/>
        <v>2.2011392938697361E-2</v>
      </c>
      <c r="AG46" s="927">
        <f t="shared" si="39"/>
        <v>2.1469131944638509E-2</v>
      </c>
      <c r="AH46" s="927">
        <f t="shared" si="39"/>
        <v>2.037795778240481E-2</v>
      </c>
      <c r="AI46" s="927">
        <f t="shared" ref="AI46" si="40">(AI66/AH66)^4-1</f>
        <v>2.031319568771961E-2</v>
      </c>
      <c r="AJ46" s="927">
        <f>(AJ66/AI66)^4-1</f>
        <v>2.0411174157790368E-2</v>
      </c>
      <c r="AK46" s="927">
        <f>(AK66/AJ66)^4-1</f>
        <v>2.0278651758323107E-2</v>
      </c>
      <c r="AL46" s="927">
        <f t="shared" ref="AL46:AN46" si="41">(AL66/AK66)^4-1</f>
        <v>2.0181831515000193E-2</v>
      </c>
      <c r="AM46" s="927">
        <f t="shared" si="41"/>
        <v>2.008748904793789E-2</v>
      </c>
      <c r="AN46" s="917">
        <f t="shared" si="41"/>
        <v>2.0063466029726529E-2</v>
      </c>
    </row>
    <row r="47" spans="2:40" x14ac:dyDescent="0.35">
      <c r="B47" s="81" t="s">
        <v>1898</v>
      </c>
      <c r="C47" s="946"/>
      <c r="D47" s="973"/>
      <c r="E47" s="927"/>
      <c r="F47" s="927"/>
      <c r="G47" s="927"/>
      <c r="H47" s="927"/>
      <c r="I47" s="927"/>
      <c r="J47" s="927"/>
      <c r="K47" s="927"/>
      <c r="L47" s="927"/>
      <c r="M47" s="927"/>
      <c r="N47" s="927"/>
      <c r="O47" s="927"/>
      <c r="P47" s="927"/>
      <c r="Q47" s="927"/>
      <c r="R47" s="927"/>
      <c r="S47" s="927"/>
      <c r="T47" s="927"/>
      <c r="U47" s="927"/>
      <c r="V47" s="927"/>
      <c r="W47" s="927"/>
      <c r="X47" s="927"/>
      <c r="Y47" s="927"/>
      <c r="Z47" s="927"/>
      <c r="AA47" s="927">
        <v>-7.4999999999999997E-3</v>
      </c>
      <c r="AB47" s="927">
        <v>5.0000000000000001E-4</v>
      </c>
      <c r="AC47" s="927">
        <v>-8.9999999999999998E-4</v>
      </c>
      <c r="AD47" s="927"/>
      <c r="AE47" s="927">
        <f>-0.09/100</f>
        <v>-8.9999999999999998E-4</v>
      </c>
      <c r="AF47" s="927">
        <f>-0.09/100</f>
        <v>-8.9999999999999998E-4</v>
      </c>
      <c r="AG47" s="927">
        <f>-0.09/100</f>
        <v>-8.9999999999999998E-4</v>
      </c>
      <c r="AN47" s="225"/>
    </row>
    <row r="48" spans="2:40" x14ac:dyDescent="0.35">
      <c r="B48" s="67" t="s">
        <v>1705</v>
      </c>
      <c r="C48" s="946" t="s">
        <v>1695</v>
      </c>
      <c r="D48" s="973">
        <f>('Haver Pivoted'!GO77+1)^4-1</f>
        <v>2.9477765289275926E-2</v>
      </c>
      <c r="E48" s="927">
        <f>('Haver Pivoted'!GP77+1)^4-1</f>
        <v>3.7241332054374521E-2</v>
      </c>
      <c r="F48" s="927">
        <f>('Haver Pivoted'!GQ77+1)^4-1</f>
        <v>-2.6356011696502479E-2</v>
      </c>
      <c r="G48" s="927">
        <f>('Haver Pivoted'!GR77+1)^4-1</f>
        <v>3.7347692764231333E-3</v>
      </c>
      <c r="H48" s="927">
        <f>('Haver Pivoted'!GS77+1)^4-1</f>
        <v>1.463826004028701E-2</v>
      </c>
      <c r="I48" s="927">
        <f>('Haver Pivoted'!GT77+1)^4-1</f>
        <v>1.2149501243322813E-2</v>
      </c>
      <c r="J48" s="927">
        <f>('Haver Pivoted'!GU77+1)^4-1</f>
        <v>2.5590697877679869E-3</v>
      </c>
      <c r="K48" s="927">
        <f>('Haver Pivoted'!GV77+1)^4-1</f>
        <v>2.2030538597398897E-2</v>
      </c>
      <c r="L48" s="927">
        <f>('Haver Pivoted'!GW77+1)^4-1</f>
        <v>3.0184246589695318E-2</v>
      </c>
      <c r="M48" s="927">
        <f>('Haver Pivoted'!GX77+1)^4-1</f>
        <v>3.1074822316861761E-2</v>
      </c>
      <c r="N48" s="927">
        <f>('Haver Pivoted'!GY77+1)^4-1</f>
        <v>4.3814411385844076E-2</v>
      </c>
      <c r="O48" s="927">
        <f>('Haver Pivoted'!GZ77+1)^4-1</f>
        <v>4.8079114499886888E-2</v>
      </c>
      <c r="P48" s="927">
        <f>('Haver Pivoted'!HA77+1)^4-1</f>
        <v>5.0423609727379137E-2</v>
      </c>
      <c r="Q48" s="927">
        <f>('Haver Pivoted'!HB77+1)^4-1</f>
        <v>6.5677487260019429E-2</v>
      </c>
      <c r="R48" s="927">
        <f>('Haver Pivoted'!HC77+1)^4-1</f>
        <v>7.488961890096113E-2</v>
      </c>
      <c r="S48" s="947">
        <f>('Haver Pivoted'!HD77+1)^4-1</f>
        <v>5.3316340788000627E-2</v>
      </c>
      <c r="T48" s="947">
        <f>('Haver Pivoted'!HE77+1)^4-1</f>
        <v>4.1496756379381328E-2</v>
      </c>
      <c r="U48" s="947">
        <f>('Haver Pivoted'!HF77+1)^4-1</f>
        <v>4.2898407970302532E-2</v>
      </c>
      <c r="V48" s="947">
        <f>('Haver Pivoted'!HG77+1)^4-1</f>
        <v>3.5017736429978852E-2</v>
      </c>
      <c r="W48" s="947">
        <f>('Haver Pivoted'!HH77+1)^4-1</f>
        <v>3.8113924198168725E-2</v>
      </c>
      <c r="X48" s="947">
        <f>('Haver Pivoted'!HI77+1)^4-1</f>
        <v>3.8299248311242984E-2</v>
      </c>
      <c r="Y48" s="947">
        <f>('Haver Pivoted'!HJ77+1)^4-1</f>
        <v>3.5508670157945676E-2</v>
      </c>
      <c r="Z48" s="947">
        <f>('Haver Pivoted'!HK77+1)^4-1</f>
        <v>2.8203399736230539E-2</v>
      </c>
      <c r="AA48" s="947">
        <f>('Haver Pivoted'!HL77+1)^4-1</f>
        <v>2.4481644318991469E-2</v>
      </c>
      <c r="AB48" s="947">
        <f>('Haver Pivoted'!HM77+1)^4-1</f>
        <v>2.8359902568902751E-2</v>
      </c>
      <c r="AC48" s="927">
        <f t="shared" ref="AC48:AN48" si="42">(AC67/AB67)^4-1+AC50</f>
        <v>1.8718659374028279E-2</v>
      </c>
      <c r="AD48" s="927">
        <f t="shared" si="42"/>
        <v>1.5299895562953081E-2</v>
      </c>
      <c r="AE48" s="927">
        <f t="shared" si="42"/>
        <v>1.4729668703095777E-2</v>
      </c>
      <c r="AF48" s="927">
        <f t="shared" si="42"/>
        <v>1.5119603614899724E-2</v>
      </c>
      <c r="AG48" s="927">
        <f t="shared" si="42"/>
        <v>2.1515602617293128E-2</v>
      </c>
      <c r="AH48" s="927">
        <f t="shared" si="42"/>
        <v>2.2790850007197161E-2</v>
      </c>
      <c r="AI48" s="927">
        <f t="shared" si="42"/>
        <v>2.3263295207157642E-2</v>
      </c>
      <c r="AJ48" s="927">
        <f t="shared" si="42"/>
        <v>2.3889685874715294E-2</v>
      </c>
      <c r="AK48" s="927">
        <f t="shared" si="42"/>
        <v>2.2412555601408091E-2</v>
      </c>
      <c r="AL48" s="927">
        <f t="shared" si="42"/>
        <v>2.2147320108405477E-2</v>
      </c>
      <c r="AM48" s="927">
        <f t="shared" si="42"/>
        <v>2.2772302614111117E-2</v>
      </c>
      <c r="AN48" s="917">
        <f t="shared" si="42"/>
        <v>2.3247045836330082E-2</v>
      </c>
    </row>
    <row r="49" spans="2:72" x14ac:dyDescent="0.35">
      <c r="B49" s="67" t="s">
        <v>1706</v>
      </c>
      <c r="C49" s="946" t="s">
        <v>1696</v>
      </c>
      <c r="D49" s="973">
        <f>('Haver Pivoted'!GO78+1)^4-1</f>
        <v>1.7606158659444704E-2</v>
      </c>
      <c r="E49" s="927">
        <f>('Haver Pivoted'!GP78+1)^4-1</f>
        <v>-1.9289094877951052E-2</v>
      </c>
      <c r="F49" s="927">
        <f>('Haver Pivoted'!GQ78+1)^4-1</f>
        <v>3.0411677963670725E-2</v>
      </c>
      <c r="G49" s="927">
        <f>('Haver Pivoted'!GR78+1)^4-1</f>
        <v>1.5793384791695786E-2</v>
      </c>
      <c r="H49" s="927">
        <f>('Haver Pivoted'!GS78+1)^4-1</f>
        <v>2.3589262537388134E-2</v>
      </c>
      <c r="I49" s="927">
        <f>('Haver Pivoted'!GT78+1)^4-1</f>
        <v>5.264893740513088E-2</v>
      </c>
      <c r="J49" s="927">
        <f>('Haver Pivoted'!GU78+1)^4-1</f>
        <v>-5.217742186237273E-3</v>
      </c>
      <c r="K49" s="927">
        <f>('Haver Pivoted'!GV78+1)^4-1</f>
        <v>4.8875550231923137E-2</v>
      </c>
      <c r="L49" s="927">
        <f>('Haver Pivoted'!GW78+1)^4-1</f>
        <v>4.9958958569866319E-2</v>
      </c>
      <c r="M49" s="927">
        <f>('Haver Pivoted'!GX78+1)^4-1</f>
        <v>9.1754054615137415E-2</v>
      </c>
      <c r="N49" s="927">
        <f>('Haver Pivoted'!GY78+1)^4-1</f>
        <v>8.1251965588764241E-2</v>
      </c>
      <c r="O49" s="927">
        <f>('Haver Pivoted'!GZ78+1)^4-1</f>
        <v>6.5854996027893797E-2</v>
      </c>
      <c r="P49" s="927">
        <f>('Haver Pivoted'!HA78+1)^4-1</f>
        <v>8.1420811365759738E-2</v>
      </c>
      <c r="Q49" s="927">
        <f>('Haver Pivoted'!HB78+1)^4-1</f>
        <v>9.5809760841454095E-2</v>
      </c>
      <c r="R49" s="927">
        <f>('Haver Pivoted'!HC78+1)^4-1</f>
        <v>0.14288883985037359</v>
      </c>
      <c r="S49" s="947">
        <f>('Haver Pivoted'!HD78+1)^4-1</f>
        <v>5.753757100426693E-3</v>
      </c>
      <c r="T49" s="947">
        <f>('Haver Pivoted'!HE78+1)^4-1</f>
        <v>1.1355976812321922E-2</v>
      </c>
      <c r="U49" s="947">
        <f>('Haver Pivoted'!HF78+1)^4-1</f>
        <v>-2.087064600501487E-2</v>
      </c>
      <c r="V49" s="947">
        <f>('Haver Pivoted'!HG78+1)^4-1</f>
        <v>-3.6759658065968148E-2</v>
      </c>
      <c r="W49" s="947">
        <f>('Haver Pivoted'!HH78+1)^4-1</f>
        <v>4.0372871979416969E-2</v>
      </c>
      <c r="X49" s="947">
        <f>('Haver Pivoted'!HI78+1)^4-1</f>
        <v>-1.1102871005200798E-3</v>
      </c>
      <c r="Y49" s="947">
        <f>('Haver Pivoted'!HJ78+1)^4-1</f>
        <v>3.8608393322818291E-2</v>
      </c>
      <c r="Z49" s="947">
        <f>('Haver Pivoted'!HK78+1)^4-1</f>
        <v>1.6292943839810503E-2</v>
      </c>
      <c r="AA49" s="947">
        <f>('Haver Pivoted'!HL78+1)^4-1</f>
        <v>2.3887845221117976E-2</v>
      </c>
      <c r="AB49" s="947">
        <f>('Haver Pivoted'!HM78+1)^4-1</f>
        <v>2.1846140025559402E-2</v>
      </c>
      <c r="AC49" s="927">
        <f t="shared" ref="AC49:AN49" si="43">(AC68/AB68)^4-1+AC50</f>
        <v>3.0746187880333675E-2</v>
      </c>
      <c r="AD49" s="927">
        <f t="shared" si="43"/>
        <v>2.8606309371189242E-2</v>
      </c>
      <c r="AE49" s="927">
        <f t="shared" si="43"/>
        <v>3.1343868352262882E-2</v>
      </c>
      <c r="AF49" s="927">
        <f t="shared" si="43"/>
        <v>3.2394354805230341E-2</v>
      </c>
      <c r="AG49" s="927">
        <f t="shared" si="43"/>
        <v>3.3164637629816696E-2</v>
      </c>
      <c r="AH49" s="927">
        <f t="shared" si="43"/>
        <v>3.1425713898589613E-2</v>
      </c>
      <c r="AI49" s="927">
        <f t="shared" si="43"/>
        <v>3.1013053419121528E-2</v>
      </c>
      <c r="AJ49" s="927">
        <f t="shared" si="43"/>
        <v>3.1015398756455648E-2</v>
      </c>
      <c r="AK49" s="927">
        <f t="shared" si="43"/>
        <v>3.0542269425562596E-2</v>
      </c>
      <c r="AL49" s="927">
        <f t="shared" si="43"/>
        <v>3.0334679878840642E-2</v>
      </c>
      <c r="AM49" s="927">
        <f t="shared" si="43"/>
        <v>2.9994558057691467E-2</v>
      </c>
      <c r="AN49" s="917">
        <f t="shared" si="43"/>
        <v>2.9803649988641601E-2</v>
      </c>
    </row>
    <row r="50" spans="2:72" x14ac:dyDescent="0.35">
      <c r="B50" s="67" t="s">
        <v>1902</v>
      </c>
      <c r="C50" s="946"/>
      <c r="D50" s="973"/>
      <c r="E50" s="927"/>
      <c r="F50" s="927"/>
      <c r="G50" s="927"/>
      <c r="H50" s="927"/>
      <c r="I50" s="927"/>
      <c r="J50" s="927"/>
      <c r="K50" s="927"/>
      <c r="L50" s="927"/>
      <c r="M50" s="927"/>
      <c r="N50" s="927"/>
      <c r="O50" s="927"/>
      <c r="P50" s="927"/>
      <c r="Q50" s="927"/>
      <c r="R50" s="927"/>
      <c r="S50" s="947"/>
      <c r="T50" s="947"/>
      <c r="U50" s="947"/>
      <c r="V50" s="947"/>
      <c r="W50" s="947"/>
      <c r="X50" s="947"/>
      <c r="Y50" s="947"/>
      <c r="Z50" s="947"/>
      <c r="AA50" s="947"/>
      <c r="AB50" s="947"/>
      <c r="AC50" s="927"/>
      <c r="AD50" s="927"/>
      <c r="AE50" s="927"/>
      <c r="AF50" s="927"/>
      <c r="AG50" s="927"/>
      <c r="AH50" s="927"/>
      <c r="AI50" s="927"/>
      <c r="AJ50" s="927"/>
      <c r="AK50" s="927"/>
      <c r="AL50" s="927"/>
      <c r="AM50" s="927"/>
      <c r="AN50" s="917"/>
    </row>
    <row r="51" spans="2:72" x14ac:dyDescent="0.35">
      <c r="B51" s="67" t="s">
        <v>1707</v>
      </c>
      <c r="C51" s="946" t="s">
        <v>1697</v>
      </c>
      <c r="D51" s="973">
        <f>('Haver Pivoted'!GO79+1)^4-1</f>
        <v>1.2331231439726587E-2</v>
      </c>
      <c r="E51" s="927">
        <f>('Haver Pivoted'!GP79+1)^4-1</f>
        <v>-2.700843667145636E-2</v>
      </c>
      <c r="F51" s="927">
        <f>('Haver Pivoted'!GQ79+1)^4-1</f>
        <v>2.7562863533678428E-2</v>
      </c>
      <c r="G51" s="927">
        <f>('Haver Pivoted'!GR79+1)^4-1</f>
        <v>1.5442696812244527E-2</v>
      </c>
      <c r="H51" s="927">
        <f>('Haver Pivoted'!GS79+1)^4-1</f>
        <v>2.7307145143274258E-2</v>
      </c>
      <c r="I51" s="927">
        <f>('Haver Pivoted'!GT79+1)^4-1</f>
        <v>6.2563226282339235E-2</v>
      </c>
      <c r="J51" s="927">
        <f>('Haver Pivoted'!GU79+1)^4-1</f>
        <v>-3.1076845521187391E-3</v>
      </c>
      <c r="K51" s="927">
        <f>('Haver Pivoted'!GV79+1)^4-1</f>
        <v>5.0835204325521355E-2</v>
      </c>
      <c r="L51" s="927">
        <f>('Haver Pivoted'!GW79+1)^4-1</f>
        <v>5.6516511024412575E-2</v>
      </c>
      <c r="M51" s="927">
        <f>('Haver Pivoted'!GX79+1)^4-1</f>
        <v>9.8643019696944334E-2</v>
      </c>
      <c r="N51" s="927">
        <f>('Haver Pivoted'!GY79+1)^4-1</f>
        <v>7.7982454628441111E-2</v>
      </c>
      <c r="O51" s="927">
        <f>('Haver Pivoted'!GZ79+1)^4-1</f>
        <v>6.0955299775054206E-2</v>
      </c>
      <c r="P51" s="927">
        <f>('Haver Pivoted'!HA79+1)^4-1</f>
        <v>7.2782919540383961E-2</v>
      </c>
      <c r="Q51" s="927">
        <f>('Haver Pivoted'!HB79+1)^4-1</f>
        <v>9.0061872181369962E-2</v>
      </c>
      <c r="R51" s="927">
        <f>('Haver Pivoted'!HC79+1)^4-1</f>
        <v>0.1436965164831121</v>
      </c>
      <c r="S51" s="947">
        <f>('Haver Pivoted'!HD79+1)^4-1</f>
        <v>-1.1746560973159292E-2</v>
      </c>
      <c r="T51" s="947">
        <f>('Haver Pivoted'!HE79+1)^4-1</f>
        <v>2.1967430570584145E-3</v>
      </c>
      <c r="U51" s="947">
        <f>('Haver Pivoted'!HF79+1)^4-1</f>
        <v>-3.5599925493891349E-2</v>
      </c>
      <c r="V51" s="947">
        <f>('Haver Pivoted'!HG79+1)^4-1</f>
        <v>-4.5280831786954745E-2</v>
      </c>
      <c r="W51" s="947">
        <f>('Haver Pivoted'!HH79+1)^4-1</f>
        <v>4.8134298648978557E-2</v>
      </c>
      <c r="X51" s="947">
        <f>('Haver Pivoted'!HI79+1)^4-1</f>
        <v>-4.2594526301267255E-3</v>
      </c>
      <c r="Y51" s="947">
        <f>('Haver Pivoted'!HJ79+1)^4-1</f>
        <v>4.217111451589628E-2</v>
      </c>
      <c r="Z51" s="947">
        <f>('Haver Pivoted'!HK79+1)^4-1</f>
        <v>1.9463682308167529E-2</v>
      </c>
      <c r="AA51" s="947">
        <f>('Haver Pivoted'!HL79+1)^4-1</f>
        <v>2.1874539845902152E-2</v>
      </c>
      <c r="AB51" s="947">
        <f>('Haver Pivoted'!HM79+1)^4-1</f>
        <v>2.3387020619908716E-2</v>
      </c>
      <c r="AC51" s="927">
        <f>AC49</f>
        <v>3.0746187880333675E-2</v>
      </c>
      <c r="AD51" s="927">
        <f t="shared" ref="AD51:AF51" si="44">AD49</f>
        <v>2.8606309371189242E-2</v>
      </c>
      <c r="AE51" s="927">
        <f t="shared" si="44"/>
        <v>3.1343868352262882E-2</v>
      </c>
      <c r="AF51" s="927">
        <f t="shared" si="44"/>
        <v>3.2394354805230341E-2</v>
      </c>
      <c r="AG51" s="927">
        <f t="shared" ref="AG51:AH51" si="45">AG49</f>
        <v>3.3164637629816696E-2</v>
      </c>
      <c r="AH51" s="927">
        <f t="shared" si="45"/>
        <v>3.1425713898589613E-2</v>
      </c>
      <c r="AI51" s="927">
        <f t="shared" ref="AI51:AN51" si="46">AI49</f>
        <v>3.1013053419121528E-2</v>
      </c>
      <c r="AJ51" s="927">
        <f t="shared" si="46"/>
        <v>3.1015398756455648E-2</v>
      </c>
      <c r="AK51" s="927">
        <f t="shared" si="46"/>
        <v>3.0542269425562596E-2</v>
      </c>
      <c r="AL51" s="927">
        <f>AL49</f>
        <v>3.0334679878840642E-2</v>
      </c>
      <c r="AM51" s="927">
        <f t="shared" si="46"/>
        <v>2.9994558057691467E-2</v>
      </c>
      <c r="AN51" s="917">
        <f t="shared" si="46"/>
        <v>2.9803649988641601E-2</v>
      </c>
    </row>
    <row r="52" spans="2:72" x14ac:dyDescent="0.35">
      <c r="B52" s="330" t="s">
        <v>1708</v>
      </c>
      <c r="C52" s="970" t="s">
        <v>1698</v>
      </c>
      <c r="D52" s="930">
        <f>('Haver Pivoted'!GO80+1)^4-1</f>
        <v>4.0962242441666019E-2</v>
      </c>
      <c r="E52" s="931">
        <f>('Haver Pivoted'!GP80+1)^4-1</f>
        <v>1.51792670994777E-2</v>
      </c>
      <c r="F52" s="931">
        <f>('Haver Pivoted'!GQ80+1)^4-1</f>
        <v>4.2702169718882965E-2</v>
      </c>
      <c r="G52" s="931">
        <f>('Haver Pivoted'!GR80+1)^4-1</f>
        <v>1.755007684826615E-2</v>
      </c>
      <c r="H52" s="931">
        <f>('Haver Pivoted'!GS80+1)^4-1</f>
        <v>7.6166905113348449E-3</v>
      </c>
      <c r="I52" s="931">
        <f>('Haver Pivoted'!GT80+1)^4-1</f>
        <v>1.0120807804920418E-2</v>
      </c>
      <c r="J52" s="931">
        <f>('Haver Pivoted'!GU80+1)^4-1</f>
        <v>-1.4337681566159555E-2</v>
      </c>
      <c r="K52" s="931">
        <f>('Haver Pivoted'!GV80+1)^4-1</f>
        <v>3.9796166071044636E-2</v>
      </c>
      <c r="L52" s="931">
        <f>('Haver Pivoted'!GW80+1)^4-1</f>
        <v>2.0329576447674524E-2</v>
      </c>
      <c r="M52" s="931">
        <f>('Haver Pivoted'!GX80+1)^4-1</f>
        <v>5.9674403216350091E-2</v>
      </c>
      <c r="N52" s="931">
        <f>('Haver Pivoted'!GY80+1)^4-1</f>
        <v>9.5803328528480503E-2</v>
      </c>
      <c r="O52" s="931">
        <f>('Haver Pivoted'!GZ80+1)^4-1</f>
        <v>8.9244367976453631E-2</v>
      </c>
      <c r="P52" s="931">
        <f>('Haver Pivoted'!HA80+1)^4-1</f>
        <v>0.12456668920888303</v>
      </c>
      <c r="Q52" s="931">
        <f>('Haver Pivoted'!HB80+1)^4-1</f>
        <v>0.12433979312392585</v>
      </c>
      <c r="R52" s="931">
        <f>('Haver Pivoted'!HC80+1)^4-1</f>
        <v>0.13846732874655276</v>
      </c>
      <c r="S52" s="963">
        <f>('Haver Pivoted'!HD80+1)^4-1</f>
        <v>9.552027198699542E-2</v>
      </c>
      <c r="T52" s="963">
        <f>('Haver Pivoted'!HE80+1)^4-1</f>
        <v>5.5161829119105388E-2</v>
      </c>
      <c r="U52" s="963">
        <f>('Haver Pivoted'!HF80+1)^4-1</f>
        <v>5.0122233379745529E-2</v>
      </c>
      <c r="V52" s="963">
        <f>('Haver Pivoted'!HG80+1)^4-1</f>
        <v>2.1164173736800684E-3</v>
      </c>
      <c r="W52" s="963">
        <f>('Haver Pivoted'!HH80+1)^4-1</f>
        <v>5.8706332638096548E-3</v>
      </c>
      <c r="X52" s="963">
        <f>('Haver Pivoted'!HI80+1)^4-1</f>
        <v>1.2084409350409553E-2</v>
      </c>
      <c r="Y52" s="963">
        <f>('Haver Pivoted'!HJ80+1)^4-1</f>
        <v>2.380676700323181E-2</v>
      </c>
      <c r="Z52" s="963">
        <f>('Haver Pivoted'!HK80+1)^4-1</f>
        <v>3.3212249496941126E-3</v>
      </c>
      <c r="AA52" s="963">
        <f>('Haver Pivoted'!HL80+1)^4-1</f>
        <v>3.2150473499066079E-2</v>
      </c>
      <c r="AB52" s="963">
        <f>('Haver Pivoted'!HM80+1)^4-1</f>
        <v>1.5613414603821152E-2</v>
      </c>
      <c r="AC52" s="931">
        <f>AC51</f>
        <v>3.0746187880333675E-2</v>
      </c>
      <c r="AD52" s="931">
        <f t="shared" ref="AD52:AF52" si="47">AD51</f>
        <v>2.8606309371189242E-2</v>
      </c>
      <c r="AE52" s="931">
        <f t="shared" si="47"/>
        <v>3.1343868352262882E-2</v>
      </c>
      <c r="AF52" s="931">
        <f t="shared" si="47"/>
        <v>3.2394354805230341E-2</v>
      </c>
      <c r="AG52" s="931">
        <f t="shared" ref="AG52:AH52" si="48">AG51</f>
        <v>3.3164637629816696E-2</v>
      </c>
      <c r="AH52" s="931">
        <f t="shared" si="48"/>
        <v>3.1425713898589613E-2</v>
      </c>
      <c r="AI52" s="931">
        <f>AI51</f>
        <v>3.1013053419121528E-2</v>
      </c>
      <c r="AJ52" s="931">
        <f t="shared" ref="AJ52:AN52" si="49">AJ51</f>
        <v>3.1015398756455648E-2</v>
      </c>
      <c r="AK52" s="931">
        <f t="shared" si="49"/>
        <v>3.0542269425562596E-2</v>
      </c>
      <c r="AL52" s="931">
        <f t="shared" si="49"/>
        <v>3.0334679878840642E-2</v>
      </c>
      <c r="AM52" s="931">
        <f t="shared" si="49"/>
        <v>2.9994558057691467E-2</v>
      </c>
      <c r="AN52" s="932">
        <f t="shared" si="49"/>
        <v>2.9803649988641601E-2</v>
      </c>
    </row>
    <row r="53" spans="2:72" x14ac:dyDescent="0.35">
      <c r="B53" s="56"/>
      <c r="C53" s="946"/>
      <c r="D53" s="927"/>
      <c r="E53" s="927"/>
      <c r="F53" s="927"/>
      <c r="G53" s="927"/>
      <c r="H53" s="927"/>
      <c r="I53" s="927"/>
      <c r="J53" s="927"/>
      <c r="K53" s="927"/>
      <c r="L53" s="927"/>
      <c r="M53" s="927"/>
      <c r="N53" s="927"/>
      <c r="O53" s="927"/>
      <c r="P53" s="927"/>
      <c r="Q53" s="927"/>
      <c r="R53" s="927"/>
      <c r="X53" s="927"/>
      <c r="AB53" s="927"/>
      <c r="AC53" s="927"/>
      <c r="AD53" s="927"/>
      <c r="AE53" s="927"/>
      <c r="AF53" s="927"/>
    </row>
    <row r="54" spans="2:72" x14ac:dyDescent="0.35">
      <c r="B54" s="56"/>
      <c r="C54" s="946"/>
      <c r="D54" s="927"/>
      <c r="E54" s="927"/>
      <c r="F54" s="927"/>
      <c r="G54" s="927"/>
      <c r="H54" s="927"/>
      <c r="I54" s="927"/>
      <c r="J54" s="927"/>
      <c r="K54" s="927"/>
      <c r="L54" s="927"/>
      <c r="M54" s="927"/>
      <c r="N54" s="927"/>
      <c r="O54" s="927"/>
      <c r="P54" s="927"/>
      <c r="Q54" s="927"/>
      <c r="R54" s="927"/>
      <c r="X54" s="927"/>
      <c r="AB54" s="927"/>
      <c r="AC54" s="927"/>
      <c r="AD54" s="927"/>
      <c r="AE54" s="927"/>
      <c r="AF54" s="927"/>
    </row>
    <row r="55" spans="2:72" x14ac:dyDescent="0.35">
      <c r="B55" s="56"/>
      <c r="C55" s="946"/>
      <c r="D55" s="927"/>
      <c r="E55" s="927"/>
      <c r="F55" s="927"/>
      <c r="G55" s="927"/>
      <c r="H55" s="927"/>
      <c r="I55" s="927"/>
      <c r="J55" s="927"/>
      <c r="K55" s="927"/>
      <c r="L55" s="927"/>
      <c r="M55" s="927"/>
      <c r="N55" s="927"/>
      <c r="O55" s="927"/>
      <c r="P55" s="927"/>
      <c r="Q55" s="927"/>
      <c r="R55" s="927"/>
      <c r="X55" s="927"/>
      <c r="Y55" s="927"/>
      <c r="Z55" s="927"/>
      <c r="AA55" s="927"/>
      <c r="AB55" s="927"/>
      <c r="AC55" s="927"/>
      <c r="AD55" s="927"/>
      <c r="AE55" s="927"/>
      <c r="AF55" s="927"/>
    </row>
    <row r="56" spans="2:72" ht="14.5" customHeight="1" x14ac:dyDescent="0.35">
      <c r="B56" s="1362" t="s">
        <v>1728</v>
      </c>
      <c r="C56" s="1362"/>
      <c r="D56" s="1362"/>
      <c r="E56" s="1362"/>
      <c r="F56" s="241"/>
      <c r="G56" s="241"/>
      <c r="H56" s="241"/>
      <c r="I56" s="241"/>
      <c r="J56" s="241"/>
      <c r="K56" s="241"/>
      <c r="L56" s="241"/>
      <c r="M56" s="241"/>
      <c r="N56" s="241"/>
      <c r="O56" s="241"/>
      <c r="P56" s="241"/>
      <c r="Q56" s="241"/>
      <c r="R56" s="241"/>
      <c r="S56" s="241"/>
      <c r="T56" s="241"/>
      <c r="U56" s="241"/>
      <c r="V56" s="241"/>
      <c r="W56" s="241"/>
      <c r="X56" s="241"/>
      <c r="Y56" s="241"/>
      <c r="Z56" s="241"/>
      <c r="AA56" s="241"/>
      <c r="AB56" s="241"/>
      <c r="AC56" s="241"/>
    </row>
    <row r="57" spans="2:72" ht="30" customHeight="1" x14ac:dyDescent="0.35">
      <c r="B57" s="939" t="s">
        <v>1977</v>
      </c>
      <c r="C57" s="962"/>
      <c r="D57" s="282">
        <v>2018</v>
      </c>
      <c r="E57" s="1293">
        <v>2019</v>
      </c>
      <c r="F57" s="1301"/>
      <c r="G57" s="1301"/>
      <c r="H57" s="1295"/>
      <c r="I57" s="1293">
        <v>2020</v>
      </c>
      <c r="J57" s="1301"/>
      <c r="K57" s="1301"/>
      <c r="L57" s="1301"/>
      <c r="M57" s="1293">
        <v>2021</v>
      </c>
      <c r="N57" s="1301"/>
      <c r="O57" s="1301"/>
      <c r="P57" s="1301"/>
      <c r="Q57" s="1296">
        <v>2022</v>
      </c>
      <c r="R57" s="1297"/>
      <c r="S57" s="288"/>
      <c r="T57" s="295"/>
      <c r="U57" s="1293">
        <v>2023</v>
      </c>
      <c r="V57" s="1301"/>
      <c r="W57" s="1301"/>
      <c r="X57" s="1295"/>
      <c r="Y57" s="437"/>
      <c r="Z57" s="288">
        <v>2024</v>
      </c>
      <c r="AA57" s="288"/>
      <c r="AB57" s="321"/>
      <c r="AC57" s="1280">
        <v>2025</v>
      </c>
      <c r="AD57" s="1281"/>
      <c r="AE57" s="1281"/>
      <c r="AF57" s="1285"/>
      <c r="AG57" s="1280">
        <v>2026</v>
      </c>
      <c r="AH57" s="1286"/>
      <c r="AI57" s="1286"/>
      <c r="AJ57" s="1285"/>
      <c r="AK57" s="1280">
        <v>2027</v>
      </c>
      <c r="AL57" s="1286"/>
      <c r="AM57" s="1286"/>
      <c r="AN57" s="1285"/>
    </row>
    <row r="58" spans="2:72" x14ac:dyDescent="0.35">
      <c r="B58" s="925"/>
      <c r="C58" s="235"/>
      <c r="D58" s="273" t="s">
        <v>281</v>
      </c>
      <c r="E58" s="273" t="s">
        <v>282</v>
      </c>
      <c r="F58" s="274" t="s">
        <v>283</v>
      </c>
      <c r="G58" s="274" t="s">
        <v>238</v>
      </c>
      <c r="H58" s="272" t="s">
        <v>281</v>
      </c>
      <c r="I58" s="274" t="s">
        <v>282</v>
      </c>
      <c r="J58" s="274" t="s">
        <v>283</v>
      </c>
      <c r="K58" s="274" t="s">
        <v>238</v>
      </c>
      <c r="L58" s="274" t="s">
        <v>281</v>
      </c>
      <c r="M58" s="273" t="s">
        <v>282</v>
      </c>
      <c r="N58" s="274" t="s">
        <v>283</v>
      </c>
      <c r="O58" s="274" t="s">
        <v>238</v>
      </c>
      <c r="P58" s="274" t="s">
        <v>281</v>
      </c>
      <c r="Q58" s="273" t="s">
        <v>282</v>
      </c>
      <c r="R58" s="274" t="s">
        <v>283</v>
      </c>
      <c r="S58" s="274" t="s">
        <v>238</v>
      </c>
      <c r="T58" s="272" t="s">
        <v>281</v>
      </c>
      <c r="U58" s="273" t="s">
        <v>282</v>
      </c>
      <c r="V58" s="274" t="s">
        <v>283</v>
      </c>
      <c r="W58" s="274" t="s">
        <v>238</v>
      </c>
      <c r="X58" s="272" t="s">
        <v>281</v>
      </c>
      <c r="Y58" s="273" t="s">
        <v>282</v>
      </c>
      <c r="Z58" s="279" t="s">
        <v>283</v>
      </c>
      <c r="AA58" s="274" t="s">
        <v>238</v>
      </c>
      <c r="AB58" s="287" t="s">
        <v>281</v>
      </c>
      <c r="AC58" s="259" t="s">
        <v>282</v>
      </c>
      <c r="AD58" s="260" t="s">
        <v>283</v>
      </c>
      <c r="AE58" s="260" t="s">
        <v>238</v>
      </c>
      <c r="AF58" s="287" t="s">
        <v>281</v>
      </c>
      <c r="AG58" s="259" t="s">
        <v>282</v>
      </c>
      <c r="AH58" s="257" t="s">
        <v>283</v>
      </c>
      <c r="AI58" s="260" t="s">
        <v>238</v>
      </c>
      <c r="AJ58" s="287" t="s">
        <v>281</v>
      </c>
      <c r="AK58" s="259" t="s">
        <v>282</v>
      </c>
      <c r="AL58" s="257" t="s">
        <v>283</v>
      </c>
      <c r="AM58" s="260" t="s">
        <v>238</v>
      </c>
      <c r="AN58" s="287" t="s">
        <v>281</v>
      </c>
    </row>
    <row r="59" spans="2:72" ht="28.5" customHeight="1" x14ac:dyDescent="0.35">
      <c r="B59" s="933" t="s">
        <v>1917</v>
      </c>
      <c r="C59" s="56" t="s">
        <v>1710</v>
      </c>
      <c r="D59" s="219"/>
      <c r="E59" s="219"/>
      <c r="F59" s="219"/>
      <c r="G59" s="219"/>
      <c r="H59" s="219"/>
      <c r="I59" s="219"/>
      <c r="J59" s="219"/>
      <c r="K59" s="219"/>
      <c r="L59" s="219"/>
      <c r="M59" s="747">
        <v>15217.7</v>
      </c>
      <c r="N59" s="747">
        <v>15950.9</v>
      </c>
      <c r="O59" s="747">
        <v>16285.1</v>
      </c>
      <c r="P59" s="747">
        <v>16718.2</v>
      </c>
      <c r="Q59" s="747">
        <v>17175.099999999999</v>
      </c>
      <c r="R59" s="747">
        <v>17603.8</v>
      </c>
      <c r="S59" s="922">
        <v>17876.2</v>
      </c>
      <c r="T59" s="922">
        <v>18108.3</v>
      </c>
      <c r="U59" s="922">
        <v>18506.2</v>
      </c>
      <c r="V59" s="922">
        <v>18685.7</v>
      </c>
      <c r="W59" s="922">
        <v>18929</v>
      </c>
      <c r="X59" s="922">
        <v>19170.2</v>
      </c>
      <c r="Y59" s="922">
        <v>19424.8</v>
      </c>
      <c r="Z59" s="922">
        <v>19682.7</v>
      </c>
      <c r="AA59" s="922">
        <v>19928.2</v>
      </c>
      <c r="AB59" s="922">
        <v>20185.7</v>
      </c>
      <c r="AC59" s="922">
        <v>20403.099999999999</v>
      </c>
      <c r="AD59" s="922">
        <v>20642.2</v>
      </c>
      <c r="AE59" s="922">
        <v>20846.8</v>
      </c>
      <c r="AF59" s="922">
        <v>21044.3</v>
      </c>
      <c r="AG59" s="922">
        <v>21224.400000000001</v>
      </c>
      <c r="AH59" s="916">
        <v>21419</v>
      </c>
      <c r="AI59" s="916">
        <v>21589.1</v>
      </c>
      <c r="AJ59" s="916">
        <v>21781.8</v>
      </c>
      <c r="AK59" s="916">
        <v>21986.799999999999</v>
      </c>
      <c r="AL59" s="916">
        <v>22169.7</v>
      </c>
      <c r="AM59" s="916">
        <v>22353.1</v>
      </c>
      <c r="AN59" s="916">
        <v>22549.7</v>
      </c>
      <c r="AO59" s="916">
        <v>22756.3</v>
      </c>
      <c r="AP59" s="916">
        <v>22960.5</v>
      </c>
      <c r="AQ59" s="916">
        <v>23175.7</v>
      </c>
      <c r="AR59" s="916">
        <v>23394.799999999999</v>
      </c>
      <c r="AS59" s="916">
        <v>23623.8</v>
      </c>
      <c r="AT59" s="916">
        <v>23858.3</v>
      </c>
      <c r="AU59" s="916">
        <v>24089.9</v>
      </c>
      <c r="AV59" s="916">
        <v>24324.3</v>
      </c>
      <c r="AW59" s="916">
        <v>24567.4</v>
      </c>
      <c r="AX59" s="916">
        <v>24824.5</v>
      </c>
      <c r="AY59" s="916">
        <v>25079.200000000001</v>
      </c>
      <c r="AZ59" s="916">
        <v>25340.7</v>
      </c>
      <c r="BA59" s="916">
        <v>25603</v>
      </c>
      <c r="BB59" s="916">
        <v>25871.9</v>
      </c>
      <c r="BC59" s="916">
        <v>26140.7</v>
      </c>
      <c r="BD59" s="916">
        <v>26411.5</v>
      </c>
      <c r="BE59" s="916">
        <v>26684.9</v>
      </c>
      <c r="BF59" s="916">
        <v>26961.599999999999</v>
      </c>
      <c r="BG59" s="916">
        <v>27241.4</v>
      </c>
      <c r="BH59" s="916">
        <v>27524.400000000001</v>
      </c>
      <c r="BI59" s="916">
        <v>27809.7</v>
      </c>
      <c r="BJ59" s="916">
        <v>28100.3</v>
      </c>
      <c r="BK59" s="916">
        <v>28394.3</v>
      </c>
      <c r="BL59" s="916">
        <v>28690.400000000001</v>
      </c>
      <c r="BM59" s="916">
        <v>28988.400000000001</v>
      </c>
      <c r="BN59" s="916">
        <v>29289</v>
      </c>
      <c r="BO59" s="916">
        <v>29593.3</v>
      </c>
      <c r="BP59" s="916">
        <v>29899.7</v>
      </c>
      <c r="BQ59">
        <v>30207</v>
      </c>
      <c r="BR59">
        <v>30516</v>
      </c>
      <c r="BS59">
        <v>30827</v>
      </c>
      <c r="BT59">
        <v>31138.6</v>
      </c>
    </row>
    <row r="60" spans="2:72" ht="26.25" customHeight="1" x14ac:dyDescent="0.35">
      <c r="B60" s="933" t="s">
        <v>1918</v>
      </c>
      <c r="C60" s="56" t="s">
        <v>1711</v>
      </c>
      <c r="D60" s="67"/>
      <c r="E60" s="56"/>
      <c r="F60" s="56"/>
      <c r="G60" s="56"/>
      <c r="H60" s="56"/>
      <c r="I60" s="56"/>
      <c r="J60" s="56"/>
      <c r="K60" s="56"/>
      <c r="L60" s="56"/>
      <c r="M60" s="916">
        <v>1609.9</v>
      </c>
      <c r="N60" s="916">
        <v>1588.5</v>
      </c>
      <c r="O60" s="916">
        <v>1576.4</v>
      </c>
      <c r="P60" s="916">
        <v>1602.5</v>
      </c>
      <c r="Q60" s="916">
        <v>1606.5</v>
      </c>
      <c r="R60" s="916">
        <v>1622.1</v>
      </c>
      <c r="S60" s="922">
        <v>1641.4</v>
      </c>
      <c r="T60" s="922">
        <v>1694.2</v>
      </c>
      <c r="U60" s="922">
        <v>1731.6</v>
      </c>
      <c r="V60" s="922">
        <v>1741.8</v>
      </c>
      <c r="W60" s="922">
        <v>1780.9</v>
      </c>
      <c r="X60" s="922">
        <v>1796.2</v>
      </c>
      <c r="Y60" s="922">
        <v>1810.3</v>
      </c>
      <c r="Z60" s="922">
        <v>1842.2</v>
      </c>
      <c r="AA60" s="922">
        <v>1893.4</v>
      </c>
      <c r="AB60" s="922">
        <v>1899.3</v>
      </c>
      <c r="AC60" s="922">
        <v>1905.1</v>
      </c>
      <c r="AD60" s="922">
        <v>1910.7</v>
      </c>
      <c r="AE60" s="922">
        <v>1916.3</v>
      </c>
      <c r="AF60" s="922">
        <v>1922.1</v>
      </c>
      <c r="AG60" s="934">
        <v>1932.1</v>
      </c>
      <c r="AH60" s="934">
        <v>1942.5</v>
      </c>
      <c r="AI60" s="934">
        <v>1953.7</v>
      </c>
      <c r="AJ60" s="934">
        <v>1963.7</v>
      </c>
      <c r="AK60" s="934">
        <v>1973.3</v>
      </c>
      <c r="AL60" s="934">
        <v>1984.4</v>
      </c>
      <c r="AM60" s="934">
        <v>1996</v>
      </c>
      <c r="AN60" s="934">
        <v>2006.3</v>
      </c>
      <c r="AO60" s="934">
        <v>2016.1</v>
      </c>
      <c r="AP60" s="916">
        <v>2026.1</v>
      </c>
      <c r="AQ60" s="916">
        <v>2036.2</v>
      </c>
      <c r="AR60" s="916">
        <v>2047.6</v>
      </c>
      <c r="AS60" s="916">
        <v>2057.4</v>
      </c>
      <c r="AT60" s="916">
        <v>2068.8000000000002</v>
      </c>
      <c r="AU60" s="916">
        <v>2080.3000000000002</v>
      </c>
      <c r="AV60" s="916">
        <v>2091.8000000000002</v>
      </c>
      <c r="AW60" s="916">
        <v>2103.1999999999998</v>
      </c>
      <c r="AX60" s="916">
        <v>2114.6999999999998</v>
      </c>
      <c r="AY60" s="916">
        <v>2124.6999999999998</v>
      </c>
      <c r="AZ60" s="916">
        <v>2134.8000000000002</v>
      </c>
      <c r="BA60" s="916">
        <v>2144.9</v>
      </c>
      <c r="BB60" s="916">
        <v>2156.6</v>
      </c>
      <c r="BC60" s="916">
        <v>2169.1</v>
      </c>
      <c r="BD60" s="916">
        <v>2181.9</v>
      </c>
      <c r="BE60" s="916">
        <v>2194.8000000000002</v>
      </c>
      <c r="BF60" s="916">
        <v>2207.5</v>
      </c>
      <c r="BG60" s="916">
        <v>2221.3000000000002</v>
      </c>
      <c r="BH60" s="916">
        <v>2235.5</v>
      </c>
      <c r="BI60" s="916">
        <v>2249.3000000000002</v>
      </c>
      <c r="BJ60" s="916">
        <v>2263.1999999999998</v>
      </c>
      <c r="BK60" s="916">
        <v>2277.4</v>
      </c>
      <c r="BL60" s="916">
        <v>2290.6999999999998</v>
      </c>
      <c r="BM60" s="916">
        <v>2304.1999999999998</v>
      </c>
      <c r="BN60" s="916">
        <v>2317.3000000000002</v>
      </c>
      <c r="BO60" s="916">
        <v>2330.5</v>
      </c>
      <c r="BP60" s="916">
        <v>2343.6</v>
      </c>
      <c r="BQ60">
        <v>2356.9</v>
      </c>
      <c r="BR60">
        <v>2370.1999999999998</v>
      </c>
      <c r="BS60">
        <v>2383.6999999999998</v>
      </c>
      <c r="BT60">
        <v>2397.6</v>
      </c>
    </row>
    <row r="61" spans="2:72" ht="26.25" customHeight="1" x14ac:dyDescent="0.35">
      <c r="B61" s="933" t="s">
        <v>1919</v>
      </c>
      <c r="C61" s="56" t="s">
        <v>1711</v>
      </c>
      <c r="D61" s="67"/>
      <c r="E61" s="56"/>
      <c r="F61" s="56"/>
      <c r="G61" s="56"/>
      <c r="H61" s="56"/>
      <c r="I61" s="56"/>
      <c r="J61" s="56"/>
      <c r="K61" s="56"/>
      <c r="L61" s="56"/>
      <c r="M61" s="916">
        <v>2533.9</v>
      </c>
      <c r="N61" s="916">
        <v>2571.6999999999998</v>
      </c>
      <c r="O61" s="916">
        <v>2625.1</v>
      </c>
      <c r="P61" s="916">
        <v>2664.2</v>
      </c>
      <c r="Q61" s="916">
        <v>2726.1</v>
      </c>
      <c r="R61" s="916">
        <v>2815.5</v>
      </c>
      <c r="S61" s="922">
        <v>2838.7</v>
      </c>
      <c r="T61" s="922">
        <v>2870.6</v>
      </c>
      <c r="U61" s="922">
        <v>2893</v>
      </c>
      <c r="V61" s="922">
        <v>2904.1</v>
      </c>
      <c r="W61" s="922">
        <v>2975.5</v>
      </c>
      <c r="X61" s="922">
        <v>3019</v>
      </c>
      <c r="Y61" s="922">
        <v>3070.7</v>
      </c>
      <c r="Z61" s="922">
        <v>3100.9</v>
      </c>
      <c r="AA61" s="922">
        <v>3139.2</v>
      </c>
      <c r="AB61" s="922">
        <v>3171.3</v>
      </c>
      <c r="AC61" s="922">
        <v>3201.4</v>
      </c>
      <c r="AD61" s="922">
        <v>3227.6</v>
      </c>
      <c r="AE61" s="922">
        <v>3257.1</v>
      </c>
      <c r="AF61" s="922">
        <v>3287.7</v>
      </c>
      <c r="AG61" s="747">
        <v>3319.2</v>
      </c>
      <c r="AH61" s="747">
        <v>3348.5</v>
      </c>
      <c r="AI61" s="747">
        <v>3378.4</v>
      </c>
      <c r="AJ61" s="747">
        <v>3407.6</v>
      </c>
      <c r="AK61" s="747">
        <v>3436.1</v>
      </c>
      <c r="AL61" s="747">
        <v>3465.5</v>
      </c>
      <c r="AM61" s="747">
        <v>3495</v>
      </c>
      <c r="AN61" s="747">
        <v>3524.3</v>
      </c>
      <c r="AO61" s="747">
        <v>3553.2</v>
      </c>
      <c r="AP61" s="916">
        <v>3582.3</v>
      </c>
      <c r="AQ61" s="916">
        <v>3611.3</v>
      </c>
      <c r="AR61" s="916">
        <v>3640.4</v>
      </c>
      <c r="AS61" s="916">
        <v>3669.2</v>
      </c>
      <c r="AT61" s="916">
        <v>3698.1</v>
      </c>
      <c r="AU61" s="916">
        <v>3727.3</v>
      </c>
      <c r="AV61" s="916">
        <v>3756.6</v>
      </c>
      <c r="AW61" s="916">
        <v>3785.8</v>
      </c>
      <c r="AX61" s="916">
        <v>3815.2</v>
      </c>
      <c r="AY61" s="916">
        <v>3845</v>
      </c>
      <c r="AZ61" s="916">
        <v>3874.9</v>
      </c>
      <c r="BA61" s="916">
        <v>3905.2</v>
      </c>
      <c r="BB61" s="916">
        <v>3935.8</v>
      </c>
      <c r="BC61" s="916">
        <v>3966.6</v>
      </c>
      <c r="BD61" s="916">
        <v>3997.8</v>
      </c>
      <c r="BE61" s="916">
        <v>4029.2</v>
      </c>
      <c r="BF61" s="916">
        <v>4060.9</v>
      </c>
      <c r="BG61" s="916">
        <v>4092.8</v>
      </c>
      <c r="BH61" s="916">
        <v>4125</v>
      </c>
      <c r="BI61" s="916">
        <v>4157.3999999999996</v>
      </c>
      <c r="BJ61" s="916">
        <v>4190</v>
      </c>
      <c r="BK61" s="916">
        <v>4222.8</v>
      </c>
      <c r="BL61" s="916">
        <v>4255.8</v>
      </c>
      <c r="BM61" s="916">
        <v>4289</v>
      </c>
      <c r="BN61" s="916">
        <v>4322.3</v>
      </c>
      <c r="BO61" s="916">
        <v>4355.7</v>
      </c>
      <c r="BP61" s="916">
        <v>4389</v>
      </c>
      <c r="BQ61">
        <v>4422.3999999999996</v>
      </c>
      <c r="BR61">
        <v>4456</v>
      </c>
      <c r="BS61">
        <v>4489.8</v>
      </c>
      <c r="BT61">
        <v>4524</v>
      </c>
    </row>
    <row r="62" spans="2:72" ht="26.25" customHeight="1" x14ac:dyDescent="0.35">
      <c r="B62" s="933" t="s">
        <v>1920</v>
      </c>
      <c r="C62" s="56" t="s">
        <v>1712</v>
      </c>
      <c r="D62" s="67"/>
      <c r="E62" s="56"/>
      <c r="F62" s="56"/>
      <c r="G62" s="56"/>
      <c r="H62" s="56"/>
      <c r="I62" s="56"/>
      <c r="J62" s="56"/>
      <c r="K62" s="56"/>
      <c r="L62" s="56"/>
      <c r="M62" s="916">
        <v>14282.6</v>
      </c>
      <c r="N62" s="916">
        <v>14745.6</v>
      </c>
      <c r="O62" s="916">
        <v>14848.8</v>
      </c>
      <c r="P62" s="916">
        <v>14995.6</v>
      </c>
      <c r="Q62" s="916">
        <v>15123.4</v>
      </c>
      <c r="R62" s="916">
        <v>15219.9</v>
      </c>
      <c r="S62" s="922">
        <v>15277.6</v>
      </c>
      <c r="T62" s="922">
        <v>15324</v>
      </c>
      <c r="U62" s="922">
        <v>15510.2</v>
      </c>
      <c r="V62" s="922">
        <v>15548.5</v>
      </c>
      <c r="W62" s="922">
        <v>15646.7</v>
      </c>
      <c r="X62" s="922">
        <v>15781.4</v>
      </c>
      <c r="Y62" s="922">
        <v>15856.9</v>
      </c>
      <c r="Z62" s="922">
        <v>15967.3</v>
      </c>
      <c r="AA62" s="922">
        <v>16106.4</v>
      </c>
      <c r="AB62" s="922">
        <v>16216.1</v>
      </c>
      <c r="AC62" s="922">
        <v>16297.6</v>
      </c>
      <c r="AD62" s="922">
        <v>16401.2</v>
      </c>
      <c r="AE62" s="922">
        <v>16474.400000000001</v>
      </c>
      <c r="AF62" s="922">
        <v>16540.2</v>
      </c>
      <c r="AG62" s="747">
        <v>16593.400000000001</v>
      </c>
      <c r="AH62" s="747">
        <v>16661.3</v>
      </c>
      <c r="AI62" s="747">
        <v>16709.400000000001</v>
      </c>
      <c r="AJ62" s="747">
        <v>16773.599999999999</v>
      </c>
      <c r="AK62" s="747">
        <v>16846.7</v>
      </c>
      <c r="AL62" s="747">
        <v>16902.2</v>
      </c>
      <c r="AM62" s="747">
        <v>16957.5</v>
      </c>
      <c r="AN62" s="747">
        <v>17021.900000000001</v>
      </c>
      <c r="AO62" s="747">
        <v>17093.099999999999</v>
      </c>
      <c r="AP62" s="916">
        <v>17161.400000000001</v>
      </c>
      <c r="AQ62" s="916">
        <v>17237</v>
      </c>
      <c r="AR62" s="916">
        <v>17314.599999999999</v>
      </c>
      <c r="AS62" s="916">
        <v>17398.5</v>
      </c>
      <c r="AT62" s="916">
        <v>17485.3</v>
      </c>
      <c r="AU62" s="916">
        <v>17568.900000000001</v>
      </c>
      <c r="AV62" s="916">
        <v>17653.3</v>
      </c>
      <c r="AW62" s="916">
        <v>17742.900000000001</v>
      </c>
      <c r="AX62" s="916">
        <v>17841.3</v>
      </c>
      <c r="AY62" s="916">
        <v>17936.8</v>
      </c>
      <c r="AZ62" s="916">
        <v>18035.7</v>
      </c>
      <c r="BA62" s="916">
        <v>18133.900000000001</v>
      </c>
      <c r="BB62" s="916">
        <v>18235.5</v>
      </c>
      <c r="BC62" s="916">
        <v>18335.599999999999</v>
      </c>
      <c r="BD62" s="916">
        <v>18435.7</v>
      </c>
      <c r="BE62" s="916">
        <v>18536.2</v>
      </c>
      <c r="BF62" s="916">
        <v>18637.7</v>
      </c>
      <c r="BG62" s="916">
        <v>18739.900000000001</v>
      </c>
      <c r="BH62" s="916">
        <v>18842.900000000001</v>
      </c>
      <c r="BI62" s="916">
        <v>18946</v>
      </c>
      <c r="BJ62" s="916">
        <v>19051.3</v>
      </c>
      <c r="BK62" s="916">
        <v>19157.5</v>
      </c>
      <c r="BL62" s="916">
        <v>19263.7</v>
      </c>
      <c r="BM62" s="916">
        <v>19369.599999999999</v>
      </c>
      <c r="BN62" s="916">
        <v>19475.8</v>
      </c>
      <c r="BO62" s="916">
        <v>19583</v>
      </c>
      <c r="BP62" s="916">
        <v>19690.099999999999</v>
      </c>
      <c r="BQ62">
        <v>19796.2</v>
      </c>
      <c r="BR62">
        <v>19902.099999999999</v>
      </c>
      <c r="BS62">
        <v>20007.8</v>
      </c>
      <c r="BT62">
        <v>20112.400000000001</v>
      </c>
    </row>
    <row r="63" spans="2:72" ht="26.25" customHeight="1" x14ac:dyDescent="0.35">
      <c r="B63" s="933" t="s">
        <v>1921</v>
      </c>
      <c r="C63" s="56" t="s">
        <v>1713</v>
      </c>
      <c r="D63" s="67"/>
      <c r="E63" s="56"/>
      <c r="F63" s="56"/>
      <c r="G63" s="56"/>
      <c r="H63" s="56"/>
      <c r="I63" s="56"/>
      <c r="J63" s="56"/>
      <c r="K63" s="56"/>
      <c r="L63" s="56"/>
      <c r="M63" s="916">
        <v>1499.1</v>
      </c>
      <c r="N63" s="916">
        <v>1464.8</v>
      </c>
      <c r="O63" s="916">
        <v>1439.1</v>
      </c>
      <c r="P63" s="916">
        <v>1446.5</v>
      </c>
      <c r="Q63" s="916">
        <v>1426.3</v>
      </c>
      <c r="R63" s="916">
        <v>1414.4</v>
      </c>
      <c r="S63" s="922">
        <v>1412.9</v>
      </c>
      <c r="T63" s="922">
        <v>1443.6</v>
      </c>
      <c r="U63" s="922">
        <v>1460</v>
      </c>
      <c r="V63" s="922">
        <v>1456</v>
      </c>
      <c r="W63" s="922">
        <v>1474.8</v>
      </c>
      <c r="X63" s="922">
        <v>1473.5</v>
      </c>
      <c r="Y63" s="922">
        <v>1472.2</v>
      </c>
      <c r="Z63" s="922">
        <v>1487.8</v>
      </c>
      <c r="AA63" s="922">
        <v>1519.9</v>
      </c>
      <c r="AB63" s="922">
        <v>1513.2</v>
      </c>
      <c r="AC63" s="922">
        <v>1510.8</v>
      </c>
      <c r="AD63" s="922">
        <v>1509.5</v>
      </c>
      <c r="AE63" s="922">
        <v>1508.4</v>
      </c>
      <c r="AF63" s="922">
        <v>1507.3</v>
      </c>
      <c r="AG63" s="747">
        <v>1507.1</v>
      </c>
      <c r="AH63" s="747">
        <v>1506.7</v>
      </c>
      <c r="AI63" s="747">
        <v>1506.7</v>
      </c>
      <c r="AJ63" s="747">
        <v>1505.5</v>
      </c>
      <c r="AK63" s="747">
        <v>1504.5</v>
      </c>
      <c r="AL63" s="747">
        <v>1504.7</v>
      </c>
      <c r="AM63" s="747">
        <v>1505</v>
      </c>
      <c r="AN63" s="747">
        <v>1504.1</v>
      </c>
      <c r="AO63" s="747">
        <v>1503.1</v>
      </c>
      <c r="AP63" s="916">
        <v>1502.1</v>
      </c>
      <c r="AQ63" s="916">
        <v>1501.3</v>
      </c>
      <c r="AR63" s="916">
        <v>1501.5</v>
      </c>
      <c r="AS63" s="916">
        <v>1500.5</v>
      </c>
      <c r="AT63" s="916">
        <v>1500.8</v>
      </c>
      <c r="AU63" s="916">
        <v>1501.1</v>
      </c>
      <c r="AV63" s="916">
        <v>1501.5</v>
      </c>
      <c r="AW63" s="916">
        <v>1501.8</v>
      </c>
      <c r="AX63" s="916">
        <v>1502.2</v>
      </c>
      <c r="AY63" s="916">
        <v>1501.5</v>
      </c>
      <c r="AZ63" s="916">
        <v>1500.9</v>
      </c>
      <c r="BA63" s="916">
        <v>1500.2</v>
      </c>
      <c r="BB63" s="916">
        <v>1500.7</v>
      </c>
      <c r="BC63" s="916">
        <v>1501.7</v>
      </c>
      <c r="BD63" s="916">
        <v>1502.7</v>
      </c>
      <c r="BE63" s="916">
        <v>1504</v>
      </c>
      <c r="BF63" s="916">
        <v>1505</v>
      </c>
      <c r="BG63" s="916">
        <v>1506.6</v>
      </c>
      <c r="BH63" s="916">
        <v>1508.1</v>
      </c>
      <c r="BI63" s="916">
        <v>1509.4</v>
      </c>
      <c r="BJ63" s="916">
        <v>1510.6</v>
      </c>
      <c r="BK63" s="916">
        <v>1512</v>
      </c>
      <c r="BL63" s="916">
        <v>1513.2</v>
      </c>
      <c r="BM63" s="916">
        <v>1514.3</v>
      </c>
      <c r="BN63" s="916">
        <v>1515.2</v>
      </c>
      <c r="BO63" s="916">
        <v>1516.2</v>
      </c>
      <c r="BP63" s="916">
        <v>1517</v>
      </c>
      <c r="BQ63">
        <v>1517.9</v>
      </c>
      <c r="BR63">
        <v>1518.8</v>
      </c>
      <c r="BS63">
        <v>1519.7</v>
      </c>
      <c r="BT63">
        <v>1520.8</v>
      </c>
    </row>
    <row r="64" spans="2:72" ht="26.15" customHeight="1" x14ac:dyDescent="0.35">
      <c r="B64" s="933" t="s">
        <v>1922</v>
      </c>
      <c r="C64" s="35" t="s">
        <v>1714</v>
      </c>
      <c r="D64" s="330"/>
      <c r="E64" s="35"/>
      <c r="F64" s="35"/>
      <c r="G64" s="35"/>
      <c r="H64" s="35"/>
      <c r="I64" s="35"/>
      <c r="J64" s="35"/>
      <c r="K64" s="35"/>
      <c r="L64" s="35"/>
      <c r="M64" s="924">
        <v>2247</v>
      </c>
      <c r="N64" s="924">
        <v>2239.1999999999998</v>
      </c>
      <c r="O64" s="924">
        <v>2250.1</v>
      </c>
      <c r="P64" s="924">
        <v>2240.9</v>
      </c>
      <c r="Q64" s="924">
        <v>2235.3000000000002</v>
      </c>
      <c r="R64" s="924">
        <v>2232.9</v>
      </c>
      <c r="S64" s="923">
        <v>2248</v>
      </c>
      <c r="T64" s="923">
        <v>2266.9</v>
      </c>
      <c r="U64" s="923">
        <v>2296.6</v>
      </c>
      <c r="V64" s="923">
        <v>2327.1</v>
      </c>
      <c r="W64" s="923">
        <v>2360.8000000000002</v>
      </c>
      <c r="X64" s="923">
        <v>2395.9</v>
      </c>
      <c r="Y64" s="923">
        <v>2414</v>
      </c>
      <c r="Z64" s="922">
        <v>2427.9</v>
      </c>
      <c r="AA64" s="922">
        <v>2443.9</v>
      </c>
      <c r="AB64" s="922">
        <v>2449.9</v>
      </c>
      <c r="AC64" s="922">
        <v>2454.5</v>
      </c>
      <c r="AD64" s="922">
        <v>2457.1999999999998</v>
      </c>
      <c r="AE64" s="922">
        <v>2460.6</v>
      </c>
      <c r="AF64" s="922">
        <v>2464</v>
      </c>
      <c r="AG64" s="916">
        <v>2467.4</v>
      </c>
      <c r="AH64" s="916">
        <v>2470</v>
      </c>
      <c r="AI64" s="916">
        <v>2473.1</v>
      </c>
      <c r="AJ64" s="916">
        <v>2475.5</v>
      </c>
      <c r="AK64" s="747">
        <v>2477.5</v>
      </c>
      <c r="AL64" s="747">
        <v>2480.1</v>
      </c>
      <c r="AM64" s="747">
        <v>2482.8000000000002</v>
      </c>
      <c r="AN64" s="747">
        <v>2485.3000000000002</v>
      </c>
      <c r="AO64" s="747">
        <v>2487.4</v>
      </c>
      <c r="AP64" s="916">
        <v>2489.6</v>
      </c>
      <c r="AQ64" s="916">
        <v>2491.4</v>
      </c>
      <c r="AR64" s="916">
        <v>2493.1999999999998</v>
      </c>
      <c r="AS64" s="916">
        <v>2494.8000000000002</v>
      </c>
      <c r="AT64" s="916">
        <v>2496.1999999999998</v>
      </c>
      <c r="AU64" s="916">
        <v>2497.8000000000002</v>
      </c>
      <c r="AV64" s="916">
        <v>2499.3000000000002</v>
      </c>
      <c r="AW64" s="916">
        <v>2500.6</v>
      </c>
      <c r="AX64" s="916">
        <v>2501.9</v>
      </c>
      <c r="AY64" s="916">
        <v>2503.3000000000002</v>
      </c>
      <c r="AZ64" s="916">
        <v>2504.6999999999998</v>
      </c>
      <c r="BA64" s="916">
        <v>2506.3000000000002</v>
      </c>
      <c r="BB64" s="916">
        <v>2507.9</v>
      </c>
      <c r="BC64" s="916">
        <v>2509.6</v>
      </c>
      <c r="BD64" s="916">
        <v>2511.1999999999998</v>
      </c>
      <c r="BE64" s="916">
        <v>2512.8000000000002</v>
      </c>
      <c r="BF64" s="916">
        <v>2514.4</v>
      </c>
      <c r="BG64" s="916">
        <v>2515.9</v>
      </c>
      <c r="BH64" s="916">
        <v>2517.5</v>
      </c>
      <c r="BI64" s="916">
        <v>2519</v>
      </c>
      <c r="BJ64" s="916">
        <v>2520.5</v>
      </c>
      <c r="BK64" s="916">
        <v>2521.9</v>
      </c>
      <c r="BL64" s="916">
        <v>2523.3000000000002</v>
      </c>
      <c r="BM64" s="916">
        <v>2524.6999999999998</v>
      </c>
      <c r="BN64" s="916">
        <v>2526</v>
      </c>
      <c r="BO64" s="916">
        <v>2527</v>
      </c>
      <c r="BP64" s="916">
        <v>2527.8000000000002</v>
      </c>
      <c r="BQ64">
        <v>2528.5</v>
      </c>
      <c r="BR64">
        <v>2529.1</v>
      </c>
      <c r="BS64">
        <v>2529.6999999999998</v>
      </c>
      <c r="BT64">
        <v>2530.1999999999998</v>
      </c>
    </row>
    <row r="65" spans="2:48" x14ac:dyDescent="0.35">
      <c r="B65" s="941"/>
      <c r="C65" s="940"/>
      <c r="D65" s="966"/>
      <c r="E65" s="966"/>
      <c r="F65" s="966"/>
      <c r="G65" s="966"/>
      <c r="H65" s="966"/>
      <c r="I65" s="966"/>
      <c r="J65" s="966"/>
      <c r="K65" s="966"/>
      <c r="L65" s="966"/>
      <c r="M65" s="966"/>
      <c r="N65" s="966"/>
      <c r="O65" s="966"/>
      <c r="P65" s="966"/>
      <c r="Q65" s="966"/>
      <c r="R65" s="966"/>
      <c r="S65" s="966"/>
      <c r="T65" s="967"/>
      <c r="U65" s="967"/>
      <c r="V65" s="967"/>
      <c r="W65" s="967"/>
      <c r="X65" s="967"/>
      <c r="Y65" s="967"/>
      <c r="Z65" s="941"/>
      <c r="AA65" s="941"/>
      <c r="AB65" s="941"/>
      <c r="AC65" s="941"/>
      <c r="AD65" s="941"/>
      <c r="AE65" s="941"/>
      <c r="AF65" s="941"/>
      <c r="AG65" s="380"/>
      <c r="AH65" s="380"/>
      <c r="AI65" s="380"/>
      <c r="AJ65" s="380"/>
      <c r="AK65" s="380"/>
      <c r="AL65" s="380"/>
      <c r="AM65" s="380"/>
      <c r="AN65" s="380"/>
      <c r="AO65" s="235"/>
      <c r="AP65" s="56"/>
      <c r="AQ65" s="56"/>
      <c r="AR65" s="56"/>
      <c r="AS65" s="56"/>
      <c r="AT65" s="56"/>
      <c r="AU65" s="56"/>
      <c r="AV65" s="56"/>
    </row>
    <row r="66" spans="2:48" x14ac:dyDescent="0.35">
      <c r="B66" s="81" t="s">
        <v>1704</v>
      </c>
      <c r="C66" s="741"/>
      <c r="D66" s="926"/>
      <c r="E66" s="926"/>
      <c r="F66" s="926"/>
      <c r="G66" s="926"/>
      <c r="H66" s="926"/>
      <c r="I66" s="926"/>
      <c r="J66" s="926"/>
      <c r="K66" s="926"/>
      <c r="L66" s="926"/>
      <c r="M66" s="926"/>
      <c r="N66" s="926"/>
      <c r="O66" s="926"/>
      <c r="P66" s="926"/>
      <c r="Q66" s="926"/>
      <c r="R66" s="926"/>
      <c r="S66" s="938">
        <f t="shared" ref="S66:AE66" si="50">S59/S62</f>
        <v>1.1700921610724198</v>
      </c>
      <c r="T66" s="938">
        <f t="shared" si="50"/>
        <v>1.1816953797963978</v>
      </c>
      <c r="U66" s="938">
        <f t="shared" si="50"/>
        <v>1.1931632087271602</v>
      </c>
      <c r="V66" s="938">
        <f>V59/V62</f>
        <v>1.201768659356208</v>
      </c>
      <c r="W66" s="938">
        <f t="shared" si="50"/>
        <v>1.2097758632810751</v>
      </c>
      <c r="X66" s="938">
        <f t="shared" si="50"/>
        <v>1.2147338005500146</v>
      </c>
      <c r="Y66" s="938">
        <f t="shared" si="50"/>
        <v>1.2250061487428185</v>
      </c>
      <c r="Z66" s="938">
        <f t="shared" si="50"/>
        <v>1.2326880562148892</v>
      </c>
      <c r="AA66" s="938">
        <f t="shared" si="50"/>
        <v>1.2372845576913525</v>
      </c>
      <c r="AB66" s="938">
        <f t="shared" si="50"/>
        <v>1.2447937543552396</v>
      </c>
      <c r="AC66" s="938">
        <f>AC59/AC62</f>
        <v>1.2519082564303945</v>
      </c>
      <c r="AD66" s="938">
        <f t="shared" si="50"/>
        <v>1.2585786405872741</v>
      </c>
      <c r="AE66" s="938">
        <f t="shared" si="50"/>
        <v>1.2654057203904239</v>
      </c>
      <c r="AF66" s="934">
        <f>AF59/AF62</f>
        <v>1.27231230577623</v>
      </c>
      <c r="AG66" s="934">
        <f>AG59/AG62</f>
        <v>1.2790868658623309</v>
      </c>
      <c r="AH66" s="934">
        <f t="shared" ref="AH66:AI66" si="51">AH59/AH62</f>
        <v>1.2855539483713756</v>
      </c>
      <c r="AI66" s="934">
        <f t="shared" si="51"/>
        <v>1.292033226806468</v>
      </c>
      <c r="AJ66" s="934">
        <f>AJ59/AJ62</f>
        <v>1.2985763342395193</v>
      </c>
      <c r="AK66" s="934">
        <f>AK59/AK62</f>
        <v>1.3051101996236651</v>
      </c>
      <c r="AL66" s="934">
        <f>AL59/AL62</f>
        <v>1.3116458212540378</v>
      </c>
      <c r="AM66" s="934">
        <f>AM59/AM62</f>
        <v>1.3181836945304437</v>
      </c>
      <c r="AN66" s="934">
        <f>AN59/AN62</f>
        <v>1.3247463561647055</v>
      </c>
      <c r="AO66" s="935"/>
    </row>
    <row r="67" spans="2:48" x14ac:dyDescent="0.35">
      <c r="B67" s="67" t="s">
        <v>1705</v>
      </c>
      <c r="C67" s="225"/>
      <c r="D67" s="56"/>
      <c r="E67" s="56"/>
      <c r="F67" s="56"/>
      <c r="G67" s="56"/>
      <c r="H67" s="56"/>
      <c r="I67" s="56"/>
      <c r="J67" s="56"/>
      <c r="K67" s="56"/>
      <c r="L67" s="56"/>
      <c r="M67" s="56"/>
      <c r="N67" s="56"/>
      <c r="O67" s="56"/>
      <c r="P67" s="56"/>
      <c r="Q67" s="56"/>
      <c r="R67" s="56"/>
      <c r="S67" s="934">
        <f t="shared" ref="S67:AE67" si="52">S60/S63</f>
        <v>1.1617241135253733</v>
      </c>
      <c r="T67" s="934">
        <f t="shared" si="52"/>
        <v>1.1735937932945415</v>
      </c>
      <c r="U67" s="934">
        <f t="shared" si="52"/>
        <v>1.186027397260274</v>
      </c>
      <c r="V67" s="934">
        <f t="shared" si="52"/>
        <v>1.1962912087912088</v>
      </c>
      <c r="W67" s="934">
        <f t="shared" si="52"/>
        <v>1.2075535665852999</v>
      </c>
      <c r="X67" s="934">
        <f t="shared" si="52"/>
        <v>1.2190023752969121</v>
      </c>
      <c r="Y67" s="934">
        <f t="shared" si="52"/>
        <v>1.229656296698818</v>
      </c>
      <c r="Z67" s="934">
        <f t="shared" si="52"/>
        <v>1.2382040596854416</v>
      </c>
      <c r="AA67" s="934">
        <f t="shared" si="52"/>
        <v>1.245739851306007</v>
      </c>
      <c r="AB67" s="934">
        <f t="shared" si="52"/>
        <v>1.2551546391752577</v>
      </c>
      <c r="AC67" s="934">
        <f>AC60/AC63</f>
        <v>1.2609875562615833</v>
      </c>
      <c r="AD67" s="934">
        <f t="shared" si="52"/>
        <v>1.265783371977476</v>
      </c>
      <c r="AE67" s="934">
        <f t="shared" si="52"/>
        <v>1.2704189870060991</v>
      </c>
      <c r="AF67" s="934">
        <f>AF60/AF63</f>
        <v>1.275194055596099</v>
      </c>
      <c r="AG67" s="934">
        <f>AG60/AG63</f>
        <v>1.2819985402428504</v>
      </c>
      <c r="AH67" s="934">
        <f t="shared" ref="AH67:AJ67" si="53">AH60/AH63</f>
        <v>1.289241388464857</v>
      </c>
      <c r="AI67" s="934">
        <f t="shared" si="53"/>
        <v>1.2966748523262759</v>
      </c>
      <c r="AJ67" s="934">
        <f t="shared" si="53"/>
        <v>1.3043507140484889</v>
      </c>
      <c r="AK67" s="934">
        <f t="shared" ref="AK67:AM67" si="54">AK60/AK63</f>
        <v>1.3115985377201729</v>
      </c>
      <c r="AL67" s="934">
        <f t="shared" si="54"/>
        <v>1.3188010899182561</v>
      </c>
      <c r="AM67" s="934">
        <f t="shared" si="54"/>
        <v>1.3262458471760796</v>
      </c>
      <c r="AN67" s="934">
        <f>AN60/AN63</f>
        <v>1.3338873745096735</v>
      </c>
      <c r="AO67" s="936"/>
    </row>
    <row r="68" spans="2:48" x14ac:dyDescent="0.35">
      <c r="B68" s="330" t="s">
        <v>1706</v>
      </c>
      <c r="C68" s="226"/>
      <c r="D68" s="35"/>
      <c r="E68" s="35"/>
      <c r="F68" s="35"/>
      <c r="G68" s="35"/>
      <c r="H68" s="35"/>
      <c r="I68" s="35"/>
      <c r="J68" s="35"/>
      <c r="K68" s="35"/>
      <c r="L68" s="35"/>
      <c r="M68" s="35"/>
      <c r="N68" s="35"/>
      <c r="O68" s="35"/>
      <c r="P68" s="35"/>
      <c r="Q68" s="35"/>
      <c r="R68" s="35"/>
      <c r="S68" s="937">
        <f t="shared" ref="S68:AF68" si="55">S61/S64</f>
        <v>1.2627669039145906</v>
      </c>
      <c r="T68" s="937">
        <f t="shared" si="55"/>
        <v>1.2663108209449025</v>
      </c>
      <c r="U68" s="937">
        <f t="shared" si="55"/>
        <v>1.2596882347818514</v>
      </c>
      <c r="V68" s="937">
        <f t="shared" si="55"/>
        <v>1.247948089897297</v>
      </c>
      <c r="W68" s="937">
        <f t="shared" si="55"/>
        <v>1.2603778380210098</v>
      </c>
      <c r="X68" s="937">
        <f t="shared" si="55"/>
        <v>1.2600692850285904</v>
      </c>
      <c r="Y68" s="937">
        <f t="shared" si="55"/>
        <v>1.2720381110190555</v>
      </c>
      <c r="Z68" s="937">
        <f t="shared" si="55"/>
        <v>1.2771942831253347</v>
      </c>
      <c r="AA68" s="937">
        <f t="shared" si="55"/>
        <v>1.284504275952371</v>
      </c>
      <c r="AB68" s="937">
        <f t="shared" si="55"/>
        <v>1.2944609984080984</v>
      </c>
      <c r="AC68" s="937">
        <f>AC61/AC64</f>
        <v>1.3042982277449582</v>
      </c>
      <c r="AD68" s="937">
        <f t="shared" si="55"/>
        <v>1.3135275923815726</v>
      </c>
      <c r="AE68" s="937">
        <f t="shared" si="55"/>
        <v>1.3237015362106803</v>
      </c>
      <c r="AF68" s="937">
        <f t="shared" si="55"/>
        <v>1.334293831168831</v>
      </c>
      <c r="AG68" s="937">
        <f t="shared" ref="AG68:AJ68" si="56">AG61/AG64</f>
        <v>1.3452216908486665</v>
      </c>
      <c r="AH68" s="937">
        <f t="shared" si="56"/>
        <v>1.355668016194332</v>
      </c>
      <c r="AI68" s="937">
        <f t="shared" si="56"/>
        <v>1.3660587926084673</v>
      </c>
      <c r="AJ68" s="937">
        <f t="shared" si="56"/>
        <v>1.3765299939406179</v>
      </c>
      <c r="AK68" s="937">
        <f t="shared" ref="AK68:AN68" si="57">AK61/AK64</f>
        <v>1.3869223007063571</v>
      </c>
      <c r="AL68" s="937">
        <f t="shared" si="57"/>
        <v>1.3973226886012662</v>
      </c>
      <c r="AM68" s="937">
        <f t="shared" si="57"/>
        <v>1.4076848719188013</v>
      </c>
      <c r="AN68" s="937">
        <f t="shared" si="57"/>
        <v>1.4180581821108116</v>
      </c>
      <c r="AO68" s="936"/>
    </row>
    <row r="70" spans="2:48" x14ac:dyDescent="0.35">
      <c r="B70" t="s">
        <v>2294</v>
      </c>
    </row>
    <row r="71" spans="2:48" x14ac:dyDescent="0.35">
      <c r="B71" s="81" t="s">
        <v>1704</v>
      </c>
      <c r="T71" s="1216">
        <f>(T66/S66)^4-1</f>
        <v>4.0259931464399212E-2</v>
      </c>
      <c r="U71" s="1216">
        <f t="shared" ref="U71:AI71" si="58">(U66/T66)^4-1</f>
        <v>3.9386958950965445E-2</v>
      </c>
      <c r="V71" s="1216">
        <f t="shared" si="58"/>
        <v>2.9162805684212367E-2</v>
      </c>
      <c r="W71" s="1216">
        <f t="shared" si="58"/>
        <v>2.6918945227875746E-2</v>
      </c>
      <c r="X71" s="1216">
        <f t="shared" si="58"/>
        <v>1.6493960285627995E-2</v>
      </c>
      <c r="Y71" s="1216">
        <f t="shared" si="58"/>
        <v>3.4257335695615954E-2</v>
      </c>
      <c r="Z71" s="1216">
        <f t="shared" si="58"/>
        <v>2.5320587670252914E-2</v>
      </c>
      <c r="AA71" s="1216">
        <f t="shared" si="58"/>
        <v>1.4999009292827825E-2</v>
      </c>
      <c r="AB71" s="1216">
        <f t="shared" si="58"/>
        <v>2.4498276208370307E-2</v>
      </c>
      <c r="AC71" s="1216">
        <f t="shared" si="58"/>
        <v>2.3058368307400823E-2</v>
      </c>
      <c r="AD71" s="1216">
        <f t="shared" si="58"/>
        <v>2.1483635680919155E-2</v>
      </c>
      <c r="AE71" s="1216">
        <f t="shared" si="58"/>
        <v>2.187493201450863E-2</v>
      </c>
      <c r="AF71" s="1216">
        <f t="shared" si="58"/>
        <v>2.2011392938697361E-2</v>
      </c>
      <c r="AG71" s="1216">
        <f t="shared" si="58"/>
        <v>2.1469131944638509E-2</v>
      </c>
      <c r="AH71" s="1216">
        <f t="shared" si="58"/>
        <v>2.037795778240481E-2</v>
      </c>
      <c r="AI71" s="1216">
        <f t="shared" si="58"/>
        <v>2.031319568771961E-2</v>
      </c>
      <c r="AJ71" s="1216">
        <f>(AJ66/AI66)^4-1</f>
        <v>2.0411174157790368E-2</v>
      </c>
      <c r="AK71" s="1216">
        <f t="shared" ref="AK71:AN71" si="59">(AK66/AJ66)^4-1</f>
        <v>2.0278651758323107E-2</v>
      </c>
      <c r="AL71" s="1216">
        <f t="shared" si="59"/>
        <v>2.0181831515000193E-2</v>
      </c>
      <c r="AM71" s="1216">
        <f t="shared" si="59"/>
        <v>2.008748904793789E-2</v>
      </c>
      <c r="AN71" s="1216">
        <f t="shared" si="59"/>
        <v>2.0063466029726529E-2</v>
      </c>
    </row>
    <row r="72" spans="2:48" x14ac:dyDescent="0.35">
      <c r="B72" s="67" t="s">
        <v>1705</v>
      </c>
      <c r="C72" s="30"/>
      <c r="D72" s="968"/>
      <c r="E72" s="968"/>
      <c r="F72" s="968"/>
      <c r="G72" s="968"/>
      <c r="T72" s="1216">
        <f t="shared" ref="T72:AI72" si="60">(T67/S67)^4-1</f>
        <v>4.1499822425288269E-2</v>
      </c>
      <c r="U72" s="1216">
        <f t="shared" si="60"/>
        <v>4.3056105029513958E-2</v>
      </c>
      <c r="V72" s="1216">
        <f t="shared" si="60"/>
        <v>3.5067707597488118E-2</v>
      </c>
      <c r="W72" s="1216">
        <f t="shared" si="60"/>
        <v>3.8192709856685436E-2</v>
      </c>
      <c r="X72" s="1216">
        <f t="shared" si="60"/>
        <v>3.8466730538867289E-2</v>
      </c>
      <c r="Y72" s="1216">
        <f t="shared" si="60"/>
        <v>3.5420465201227769E-2</v>
      </c>
      <c r="Z72" s="1216">
        <f t="shared" si="60"/>
        <v>2.8096645923673114E-2</v>
      </c>
      <c r="AA72" s="1216">
        <f t="shared" si="60"/>
        <v>2.4567408257700318E-2</v>
      </c>
      <c r="AB72" s="1216">
        <f t="shared" si="60"/>
        <v>3.0574782511549436E-2</v>
      </c>
      <c r="AC72" s="1216">
        <f t="shared" si="60"/>
        <v>1.8718659374028279E-2</v>
      </c>
      <c r="AD72" s="1216">
        <f t="shared" si="60"/>
        <v>1.5299895562953081E-2</v>
      </c>
      <c r="AE72" s="1216">
        <f t="shared" si="60"/>
        <v>1.4729668703095777E-2</v>
      </c>
      <c r="AF72" s="1216">
        <f t="shared" si="60"/>
        <v>1.5119603614899724E-2</v>
      </c>
      <c r="AG72" s="1216">
        <f t="shared" si="60"/>
        <v>2.1515602617293128E-2</v>
      </c>
      <c r="AH72" s="1216">
        <f t="shared" si="60"/>
        <v>2.2790850007197161E-2</v>
      </c>
      <c r="AI72" s="1216">
        <f t="shared" si="60"/>
        <v>2.3263295207157642E-2</v>
      </c>
      <c r="AJ72" s="1216">
        <f t="shared" ref="AJ72:AN72" si="61">(AJ67/AI67)^4-1</f>
        <v>2.3889685874715294E-2</v>
      </c>
      <c r="AK72" s="1216">
        <f t="shared" si="61"/>
        <v>2.2412555601408091E-2</v>
      </c>
      <c r="AL72" s="1216">
        <f t="shared" si="61"/>
        <v>2.2147320108405477E-2</v>
      </c>
      <c r="AM72" s="1216">
        <f t="shared" si="61"/>
        <v>2.2772302614111117E-2</v>
      </c>
      <c r="AN72" s="1216">
        <f t="shared" si="61"/>
        <v>2.3247045836330082E-2</v>
      </c>
    </row>
    <row r="73" spans="2:48" x14ac:dyDescent="0.35">
      <c r="B73" s="330" t="s">
        <v>1706</v>
      </c>
      <c r="T73" s="1216">
        <f t="shared" ref="T73:AI73" si="62">(T68/S68)^4-1</f>
        <v>1.1273224837508922E-2</v>
      </c>
      <c r="U73" s="1216">
        <f t="shared" si="62"/>
        <v>-2.0755771759674468E-2</v>
      </c>
      <c r="V73" s="1216">
        <f t="shared" si="62"/>
        <v>-3.6761594826687838E-2</v>
      </c>
      <c r="W73" s="1216">
        <f t="shared" si="62"/>
        <v>4.0439782991124273E-2</v>
      </c>
      <c r="X73" s="1216">
        <f t="shared" si="62"/>
        <v>-9.7888013056945944E-4</v>
      </c>
      <c r="Y73" s="1216">
        <f t="shared" si="62"/>
        <v>3.8538954072275589E-2</v>
      </c>
      <c r="Z73" s="1216">
        <f t="shared" si="62"/>
        <v>1.6312742433889582E-2</v>
      </c>
      <c r="AA73" s="1216">
        <f t="shared" si="62"/>
        <v>2.3091210473439983E-2</v>
      </c>
      <c r="AB73" s="1216">
        <f t="shared" si="62"/>
        <v>3.1368022796318673E-2</v>
      </c>
      <c r="AC73" s="1216">
        <f t="shared" si="62"/>
        <v>3.0746187880333675E-2</v>
      </c>
      <c r="AD73" s="1216">
        <f t="shared" si="62"/>
        <v>2.8606309371189242E-2</v>
      </c>
      <c r="AE73" s="1216">
        <f t="shared" si="62"/>
        <v>3.1343868352262882E-2</v>
      </c>
      <c r="AF73" s="1216">
        <f t="shared" si="62"/>
        <v>3.2394354805230341E-2</v>
      </c>
      <c r="AG73" s="1216">
        <f t="shared" si="62"/>
        <v>3.3164637629816696E-2</v>
      </c>
      <c r="AH73" s="1216">
        <f t="shared" si="62"/>
        <v>3.1425713898589613E-2</v>
      </c>
      <c r="AI73" s="1216">
        <f t="shared" si="62"/>
        <v>3.1013053419121528E-2</v>
      </c>
      <c r="AJ73" s="1216">
        <f t="shared" ref="AJ73:AN73" si="63">(AJ68/AI68)^4-1</f>
        <v>3.1015398756455648E-2</v>
      </c>
      <c r="AK73" s="1216">
        <f t="shared" si="63"/>
        <v>3.0542269425562596E-2</v>
      </c>
      <c r="AL73" s="1216">
        <f t="shared" si="63"/>
        <v>3.0334679878840642E-2</v>
      </c>
      <c r="AM73" s="1216">
        <f t="shared" si="63"/>
        <v>2.9994558057691467E-2</v>
      </c>
      <c r="AN73" s="1216">
        <f t="shared" si="63"/>
        <v>2.9803649988641601E-2</v>
      </c>
    </row>
    <row r="76" spans="2:48" x14ac:dyDescent="0.35">
      <c r="C76" s="14"/>
      <c r="D76" s="79"/>
      <c r="E76" s="79"/>
      <c r="F76" s="79"/>
      <c r="G76" s="79"/>
      <c r="H76" s="79"/>
      <c r="I76" s="79"/>
      <c r="J76" s="79"/>
      <c r="K76" s="79"/>
      <c r="L76" s="79"/>
      <c r="M76" s="79"/>
    </row>
    <row r="77" spans="2:48" x14ac:dyDescent="0.35">
      <c r="C77" s="30"/>
      <c r="D77" s="971"/>
      <c r="E77" s="971"/>
      <c r="F77" s="971"/>
      <c r="G77" s="971"/>
      <c r="H77" s="971"/>
      <c r="I77" s="971"/>
      <c r="J77" s="971"/>
      <c r="K77" s="971"/>
      <c r="L77" s="971"/>
      <c r="M77" s="971"/>
    </row>
    <row r="78" spans="2:48" x14ac:dyDescent="0.35">
      <c r="C78" s="968"/>
      <c r="D78" s="971"/>
      <c r="E78" s="971"/>
      <c r="F78" s="971"/>
      <c r="G78" s="971"/>
      <c r="H78" s="971"/>
      <c r="I78" s="971"/>
      <c r="J78" s="971"/>
      <c r="K78" s="971"/>
      <c r="L78" s="971"/>
      <c r="M78" s="971"/>
    </row>
    <row r="79" spans="2:48" x14ac:dyDescent="0.35">
      <c r="C79" s="968"/>
      <c r="D79" s="971"/>
      <c r="E79" s="971"/>
      <c r="F79" s="971"/>
      <c r="G79" s="971"/>
      <c r="H79" s="971"/>
      <c r="I79" s="971"/>
      <c r="J79" s="971"/>
      <c r="K79" s="971"/>
      <c r="L79" s="971"/>
      <c r="M79" s="971"/>
    </row>
    <row r="80" spans="2:48" x14ac:dyDescent="0.35">
      <c r="C80" s="968"/>
      <c r="D80" s="971"/>
      <c r="E80" s="971"/>
      <c r="F80" s="971"/>
      <c r="G80" s="971"/>
      <c r="H80" s="971"/>
      <c r="I80" s="971"/>
      <c r="J80" s="971"/>
      <c r="K80" s="971"/>
      <c r="L80" s="971"/>
      <c r="M80" s="971"/>
    </row>
    <row r="81" spans="3:13" x14ac:dyDescent="0.35">
      <c r="C81" s="968"/>
      <c r="D81" s="971"/>
      <c r="E81" s="971"/>
      <c r="F81" s="971"/>
      <c r="G81" s="971"/>
      <c r="H81" s="971"/>
      <c r="I81" s="971"/>
      <c r="J81" s="971"/>
      <c r="K81" s="971"/>
      <c r="L81" s="971"/>
      <c r="M81" s="971"/>
    </row>
  </sheetData>
  <mergeCells count="34">
    <mergeCell ref="B1:AC1"/>
    <mergeCell ref="B2:AC4"/>
    <mergeCell ref="B42:C44"/>
    <mergeCell ref="E43:H43"/>
    <mergeCell ref="I43:L43"/>
    <mergeCell ref="M43:P43"/>
    <mergeCell ref="B8:C10"/>
    <mergeCell ref="AC9:AF9"/>
    <mergeCell ref="Q43:T43"/>
    <mergeCell ref="B7:F7"/>
    <mergeCell ref="AC43:AF43"/>
    <mergeCell ref="AB8:AN8"/>
    <mergeCell ref="AK9:AN9"/>
    <mergeCell ref="B22:AN22"/>
    <mergeCell ref="B11:AN11"/>
    <mergeCell ref="D8:V8"/>
    <mergeCell ref="AK57:AN57"/>
    <mergeCell ref="AK43:AN43"/>
    <mergeCell ref="U57:X57"/>
    <mergeCell ref="E57:H57"/>
    <mergeCell ref="AG57:AJ57"/>
    <mergeCell ref="AG43:AJ43"/>
    <mergeCell ref="AC57:AF57"/>
    <mergeCell ref="B56:E56"/>
    <mergeCell ref="Q57:R57"/>
    <mergeCell ref="M57:P57"/>
    <mergeCell ref="I57:L57"/>
    <mergeCell ref="D42:AB42"/>
    <mergeCell ref="AC42:AN42"/>
    <mergeCell ref="I9:L9"/>
    <mergeCell ref="M9:P9"/>
    <mergeCell ref="AG9:AJ9"/>
    <mergeCell ref="E9:H9"/>
    <mergeCell ref="Q9:R9"/>
  </mergeCells>
  <pageMargins left="0.7" right="0.7" top="0.75" bottom="0.75" header="0.3" footer="0.3"/>
  <pageSetup paperSize="9" orientation="portrait" horizontalDpi="300" verticalDpi="300"/>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 zoomScale="90" zoomScaleNormal="90" workbookViewId="0">
      <selection activeCell="R21" sqref="R21"/>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69" t="s">
        <v>315</v>
      </c>
      <c r="I1" s="1269"/>
      <c r="J1" s="1269"/>
      <c r="K1" s="1269"/>
      <c r="L1" s="1269"/>
      <c r="M1" s="1269"/>
      <c r="N1" s="1269"/>
      <c r="O1" s="1269"/>
      <c r="P1" s="1269"/>
      <c r="Q1" s="1269"/>
      <c r="R1" s="1269"/>
      <c r="S1" s="1269"/>
    </row>
    <row r="2" spans="8:22" x14ac:dyDescent="0.35">
      <c r="H2" s="1304" t="s">
        <v>316</v>
      </c>
      <c r="I2" s="1304"/>
      <c r="J2" s="1304"/>
      <c r="K2" s="1304"/>
      <c r="L2" s="1304"/>
      <c r="M2" s="1304"/>
      <c r="N2" s="1304"/>
      <c r="O2" s="1304"/>
      <c r="P2" s="1304"/>
      <c r="Q2" s="1304"/>
      <c r="R2" s="1304"/>
      <c r="S2" s="1304"/>
    </row>
    <row r="3" spans="8:22" x14ac:dyDescent="0.35">
      <c r="H3" s="1304"/>
      <c r="I3" s="1304"/>
      <c r="J3" s="1304"/>
      <c r="K3" s="1304"/>
      <c r="L3" s="1304"/>
      <c r="M3" s="1304"/>
      <c r="N3" s="1304"/>
      <c r="O3" s="1304"/>
      <c r="P3" s="1304"/>
      <c r="Q3" s="1304"/>
      <c r="R3" s="1304"/>
      <c r="S3" s="1304"/>
    </row>
    <row r="4" spans="8:22" x14ac:dyDescent="0.35">
      <c r="H4" s="1304"/>
      <c r="I4" s="1304"/>
      <c r="J4" s="1304"/>
      <c r="K4" s="1304"/>
      <c r="L4" s="1304"/>
      <c r="M4" s="1304"/>
      <c r="N4" s="1304"/>
      <c r="O4" s="1304"/>
      <c r="P4" s="1304"/>
      <c r="Q4" s="1304"/>
      <c r="R4" s="1304"/>
      <c r="S4" s="1304"/>
    </row>
    <row r="5" spans="8:22" ht="54.75" customHeight="1" x14ac:dyDescent="0.35">
      <c r="H5" s="1304"/>
      <c r="I5" s="1304"/>
      <c r="J5" s="1304"/>
      <c r="K5" s="1304"/>
      <c r="L5" s="1304"/>
      <c r="M5" s="1304"/>
      <c r="N5" s="1304"/>
      <c r="O5" s="1304"/>
      <c r="P5" s="1304"/>
      <c r="Q5" s="1304"/>
      <c r="R5" s="1304"/>
      <c r="S5" s="1304"/>
    </row>
    <row r="6" spans="8:22" x14ac:dyDescent="0.35">
      <c r="H6" s="220"/>
      <c r="I6" s="220"/>
      <c r="J6" s="220"/>
      <c r="K6" s="220"/>
      <c r="L6" s="220"/>
      <c r="M6" s="220"/>
      <c r="N6" s="220"/>
      <c r="O6" s="220"/>
      <c r="P6" s="220"/>
      <c r="Q6" s="220"/>
      <c r="R6" s="220"/>
      <c r="S6" s="220"/>
    </row>
    <row r="7" spans="8:22" x14ac:dyDescent="0.35">
      <c r="H7" s="987" t="s">
        <v>317</v>
      </c>
    </row>
    <row r="8" spans="8:22" ht="16.399999999999999" customHeight="1" x14ac:dyDescent="0.35"/>
    <row r="9" spans="8:22" ht="15.75" customHeight="1" x14ac:dyDescent="0.35">
      <c r="L9" s="1293">
        <v>2020</v>
      </c>
      <c r="M9" s="1294"/>
      <c r="N9" s="1294"/>
      <c r="O9" s="428">
        <v>2021</v>
      </c>
      <c r="P9" s="428"/>
      <c r="Q9" s="428"/>
      <c r="R9" s="978"/>
    </row>
    <row r="10" spans="8:22" ht="41.9" customHeight="1" x14ac:dyDescent="0.35">
      <c r="H10" s="982" t="s">
        <v>318</v>
      </c>
      <c r="I10" s="982" t="s">
        <v>319</v>
      </c>
      <c r="J10" s="983" t="s">
        <v>320</v>
      </c>
      <c r="K10" s="231"/>
      <c r="L10" s="992" t="s">
        <v>283</v>
      </c>
      <c r="M10" s="993" t="s">
        <v>238</v>
      </c>
      <c r="N10" s="993" t="s">
        <v>281</v>
      </c>
      <c r="O10" s="993" t="s">
        <v>282</v>
      </c>
      <c r="P10" s="993" t="s">
        <v>283</v>
      </c>
      <c r="Q10" s="993" t="s">
        <v>238</v>
      </c>
      <c r="R10" s="981" t="s">
        <v>281</v>
      </c>
      <c r="S10" s="220" t="s">
        <v>321</v>
      </c>
      <c r="T10" s="231"/>
      <c r="U10" s="231"/>
      <c r="V10" s="231"/>
    </row>
    <row r="11" spans="8:22" x14ac:dyDescent="0.35">
      <c r="H11" s="984">
        <v>43934</v>
      </c>
      <c r="I11" s="219">
        <v>248</v>
      </c>
      <c r="J11" s="545">
        <f>I11</f>
        <v>248</v>
      </c>
      <c r="K11" s="219"/>
      <c r="L11" s="975">
        <f>S11/26*J11</f>
        <v>95.384615384615387</v>
      </c>
      <c r="M11" s="618">
        <f>13/26*J11</f>
        <v>124</v>
      </c>
      <c r="N11" s="618">
        <f>J11-SUM(L11:M11)</f>
        <v>28.615384615384613</v>
      </c>
      <c r="O11" s="618"/>
      <c r="P11" s="618"/>
      <c r="Q11" s="618"/>
      <c r="R11" s="593"/>
      <c r="S11" s="219">
        <v>10</v>
      </c>
      <c r="T11" s="219"/>
      <c r="U11" s="989"/>
      <c r="V11" s="219"/>
    </row>
    <row r="12" spans="8:22" x14ac:dyDescent="0.35">
      <c r="H12" s="990">
        <v>43937</v>
      </c>
      <c r="I12" s="219">
        <v>342</v>
      </c>
      <c r="J12" s="545">
        <f>I12-I11</f>
        <v>94</v>
      </c>
      <c r="K12" s="219"/>
      <c r="L12" s="975">
        <f t="shared" ref="L12:L20" si="0">S12/26*J12</f>
        <v>36.153846153846153</v>
      </c>
      <c r="M12" s="618">
        <f t="shared" ref="M12:M20" si="1">13/26*J12</f>
        <v>47</v>
      </c>
      <c r="N12" s="618">
        <f t="shared" ref="N12:N21" si="2">J12-SUM(L12:M12)</f>
        <v>10.84615384615384</v>
      </c>
      <c r="O12" s="618"/>
      <c r="P12" s="618"/>
      <c r="Q12" s="618"/>
      <c r="R12" s="593"/>
      <c r="S12" s="219">
        <v>10</v>
      </c>
      <c r="T12" s="219"/>
      <c r="U12" s="219"/>
      <c r="V12" s="219"/>
    </row>
    <row r="13" spans="8:22" x14ac:dyDescent="0.35">
      <c r="H13" s="990">
        <v>43952</v>
      </c>
      <c r="I13" s="219">
        <v>518</v>
      </c>
      <c r="J13" s="545">
        <f>I13-I12</f>
        <v>176</v>
      </c>
      <c r="K13" s="219"/>
      <c r="L13" s="975">
        <f t="shared" si="0"/>
        <v>54.15384615384616</v>
      </c>
      <c r="M13" s="618">
        <f t="shared" si="1"/>
        <v>88</v>
      </c>
      <c r="N13" s="618">
        <f t="shared" si="2"/>
        <v>33.84615384615384</v>
      </c>
      <c r="O13" s="618"/>
      <c r="P13" s="618"/>
      <c r="Q13" s="618"/>
      <c r="R13" s="593"/>
      <c r="S13" s="219">
        <v>8</v>
      </c>
      <c r="T13" s="219"/>
      <c r="U13" s="219"/>
      <c r="V13" s="219"/>
    </row>
    <row r="14" spans="8:22" x14ac:dyDescent="0.35">
      <c r="H14" s="990">
        <v>43959</v>
      </c>
      <c r="I14" s="219">
        <v>531</v>
      </c>
      <c r="J14" s="545">
        <f t="shared" ref="J14:J45" si="3">I14-I13</f>
        <v>13</v>
      </c>
      <c r="K14" s="219"/>
      <c r="L14" s="975">
        <f t="shared" si="0"/>
        <v>3.5</v>
      </c>
      <c r="M14" s="618">
        <f t="shared" si="1"/>
        <v>6.5</v>
      </c>
      <c r="N14" s="618">
        <f t="shared" si="2"/>
        <v>3</v>
      </c>
      <c r="O14" s="618"/>
      <c r="P14" s="618"/>
      <c r="Q14" s="618"/>
      <c r="R14" s="593"/>
      <c r="S14" s="219">
        <f t="shared" ref="S14:S20" si="4">S13-1</f>
        <v>7</v>
      </c>
      <c r="T14" s="219"/>
      <c r="U14" s="219"/>
      <c r="V14" s="219"/>
    </row>
    <row r="15" spans="8:22" x14ac:dyDescent="0.35">
      <c r="H15" s="990">
        <v>43967</v>
      </c>
      <c r="I15" s="219">
        <v>513</v>
      </c>
      <c r="J15" s="545">
        <f t="shared" si="3"/>
        <v>-18</v>
      </c>
      <c r="K15" s="219"/>
      <c r="L15" s="975">
        <f t="shared" ref="L15:L17" si="5">S15/26*J15</f>
        <v>-4.1538461538461542</v>
      </c>
      <c r="M15" s="618">
        <f t="shared" ref="M15:M17" si="6">13/26*J15</f>
        <v>-9</v>
      </c>
      <c r="N15" s="618">
        <f t="shared" ref="N15:N17" si="7">J15-SUM(L15:M15)</f>
        <v>-4.8461538461538467</v>
      </c>
      <c r="O15" s="618"/>
      <c r="P15" s="618"/>
      <c r="Q15" s="618"/>
      <c r="R15" s="593"/>
      <c r="S15" s="219">
        <f t="shared" si="4"/>
        <v>6</v>
      </c>
      <c r="T15" s="219"/>
      <c r="U15" s="219"/>
      <c r="V15" s="219"/>
    </row>
    <row r="16" spans="8:22" x14ac:dyDescent="0.35">
      <c r="H16" s="990">
        <v>43974</v>
      </c>
      <c r="I16" s="219">
        <v>511</v>
      </c>
      <c r="J16" s="545">
        <f t="shared" si="3"/>
        <v>-2</v>
      </c>
      <c r="K16" s="219"/>
      <c r="L16" s="975">
        <f t="shared" si="5"/>
        <v>-0.38461538461538464</v>
      </c>
      <c r="M16" s="618">
        <f t="shared" si="6"/>
        <v>-1</v>
      </c>
      <c r="N16" s="618">
        <f t="shared" si="7"/>
        <v>-0.61538461538461542</v>
      </c>
      <c r="O16" s="618"/>
      <c r="P16" s="618"/>
      <c r="Q16" s="618"/>
      <c r="R16" s="593"/>
      <c r="S16" s="219">
        <f t="shared" si="4"/>
        <v>5</v>
      </c>
      <c r="T16" s="219"/>
      <c r="U16" s="219"/>
      <c r="V16" s="219"/>
    </row>
    <row r="17" spans="8:22" x14ac:dyDescent="0.35">
      <c r="H17" s="990">
        <v>43981</v>
      </c>
      <c r="I17" s="219">
        <v>510</v>
      </c>
      <c r="J17" s="545">
        <f t="shared" si="3"/>
        <v>-1</v>
      </c>
      <c r="K17" s="219"/>
      <c r="L17" s="975">
        <f t="shared" si="5"/>
        <v>-0.15384615384615385</v>
      </c>
      <c r="M17" s="618">
        <f t="shared" si="6"/>
        <v>-0.5</v>
      </c>
      <c r="N17" s="618">
        <f t="shared" si="7"/>
        <v>-0.34615384615384615</v>
      </c>
      <c r="O17" s="618"/>
      <c r="P17" s="618"/>
      <c r="Q17" s="618"/>
      <c r="R17" s="593"/>
      <c r="S17" s="219">
        <f t="shared" si="4"/>
        <v>4</v>
      </c>
      <c r="T17" s="219"/>
      <c r="U17" s="219"/>
      <c r="V17" s="219"/>
    </row>
    <row r="18" spans="8:22" x14ac:dyDescent="0.35">
      <c r="H18" s="990">
        <v>43988</v>
      </c>
      <c r="I18" s="219">
        <v>511</v>
      </c>
      <c r="J18" s="545">
        <f t="shared" si="3"/>
        <v>1</v>
      </c>
      <c r="K18" s="219"/>
      <c r="L18" s="975">
        <f t="shared" si="0"/>
        <v>0.11538461538461539</v>
      </c>
      <c r="M18" s="618">
        <f t="shared" si="1"/>
        <v>0.5</v>
      </c>
      <c r="N18" s="618">
        <f t="shared" si="2"/>
        <v>0.38461538461538458</v>
      </c>
      <c r="O18" s="618"/>
      <c r="P18" s="618"/>
      <c r="Q18" s="618"/>
      <c r="R18" s="593"/>
      <c r="S18" s="219">
        <f t="shared" si="4"/>
        <v>3</v>
      </c>
      <c r="T18" s="219"/>
      <c r="U18" s="219"/>
      <c r="V18" s="219"/>
    </row>
    <row r="19" spans="8:22" x14ac:dyDescent="0.35">
      <c r="H19" s="990">
        <v>43994</v>
      </c>
      <c r="I19" s="219">
        <v>512</v>
      </c>
      <c r="J19" s="545">
        <f t="shared" si="3"/>
        <v>1</v>
      </c>
      <c r="K19" s="219"/>
      <c r="L19" s="975">
        <f t="shared" si="0"/>
        <v>7.6923076923076927E-2</v>
      </c>
      <c r="M19" s="618">
        <f t="shared" si="1"/>
        <v>0.5</v>
      </c>
      <c r="N19" s="618">
        <f t="shared" si="2"/>
        <v>0.42307692307692313</v>
      </c>
      <c r="O19" s="618"/>
      <c r="P19" s="618"/>
      <c r="Q19" s="618"/>
      <c r="R19" s="593"/>
      <c r="S19" s="219">
        <f t="shared" si="4"/>
        <v>2</v>
      </c>
      <c r="T19" s="219"/>
      <c r="U19" s="219"/>
      <c r="V19" s="219"/>
    </row>
    <row r="20" spans="8:22" x14ac:dyDescent="0.35">
      <c r="H20" s="990">
        <v>44002</v>
      </c>
      <c r="I20" s="219">
        <v>515</v>
      </c>
      <c r="J20" s="545">
        <f t="shared" si="3"/>
        <v>3</v>
      </c>
      <c r="K20" s="219"/>
      <c r="L20" s="975">
        <f t="shared" si="0"/>
        <v>0.11538461538461539</v>
      </c>
      <c r="M20" s="618">
        <f t="shared" si="1"/>
        <v>1.5</v>
      </c>
      <c r="N20" s="618">
        <f t="shared" si="2"/>
        <v>1.3846153846153846</v>
      </c>
      <c r="O20" s="618"/>
      <c r="P20" s="618"/>
      <c r="Q20" s="618"/>
      <c r="R20" s="593"/>
      <c r="S20" s="219">
        <f t="shared" si="4"/>
        <v>1</v>
      </c>
      <c r="T20" s="219"/>
      <c r="U20" s="219"/>
      <c r="V20" s="219"/>
    </row>
    <row r="21" spans="8:22" x14ac:dyDescent="0.35">
      <c r="H21" s="990">
        <v>44009</v>
      </c>
      <c r="I21" s="219">
        <v>519</v>
      </c>
      <c r="J21" s="545">
        <f t="shared" si="3"/>
        <v>4</v>
      </c>
      <c r="K21" s="219"/>
      <c r="L21" s="975"/>
      <c r="M21" s="618">
        <f>S21/26*J21</f>
        <v>2</v>
      </c>
      <c r="N21" s="618">
        <f t="shared" si="2"/>
        <v>2</v>
      </c>
      <c r="O21" s="618"/>
      <c r="P21" s="618"/>
      <c r="Q21" s="618"/>
      <c r="R21" s="593"/>
      <c r="S21" s="219">
        <v>13</v>
      </c>
      <c r="T21" s="219"/>
      <c r="U21" s="219"/>
      <c r="V21" s="219"/>
    </row>
    <row r="22" spans="8:22" x14ac:dyDescent="0.35">
      <c r="H22" s="990">
        <v>44012</v>
      </c>
      <c r="I22" s="219">
        <v>521</v>
      </c>
      <c r="J22" s="545">
        <f t="shared" si="3"/>
        <v>2</v>
      </c>
      <c r="K22" s="219"/>
      <c r="L22" s="975"/>
      <c r="M22" s="618">
        <f t="shared" ref="M22:M26" si="8">S22/26*J22</f>
        <v>1</v>
      </c>
      <c r="N22" s="618">
        <f>J22-SUM(L22:M22)</f>
        <v>1</v>
      </c>
      <c r="O22" s="618"/>
      <c r="P22" s="618"/>
      <c r="Q22" s="618"/>
      <c r="R22" s="593"/>
      <c r="S22" s="219">
        <v>13</v>
      </c>
      <c r="T22" s="219"/>
      <c r="U22" s="219"/>
      <c r="V22" s="219"/>
    </row>
    <row r="23" spans="8:22" x14ac:dyDescent="0.35">
      <c r="H23" s="990">
        <v>44029</v>
      </c>
      <c r="I23" s="219">
        <v>518</v>
      </c>
      <c r="J23" s="545">
        <f t="shared" si="3"/>
        <v>-3</v>
      </c>
      <c r="K23" s="219"/>
      <c r="L23" s="975"/>
      <c r="M23" s="618">
        <f t="shared" ref="M23" si="9">S23/26*J23</f>
        <v>-1.153846153846154</v>
      </c>
      <c r="N23" s="618">
        <f t="shared" ref="N23" si="10">13/26*J23</f>
        <v>-1.5</v>
      </c>
      <c r="O23" s="618">
        <f t="shared" ref="O23" si="11">J23-N23-M23</f>
        <v>-0.34615384615384603</v>
      </c>
      <c r="P23" s="618"/>
      <c r="Q23" s="618"/>
      <c r="R23" s="593"/>
      <c r="S23" s="219">
        <f>S22-3</f>
        <v>10</v>
      </c>
      <c r="T23" s="219"/>
      <c r="U23" s="219"/>
      <c r="V23" s="219"/>
    </row>
    <row r="24" spans="8:22" x14ac:dyDescent="0.35">
      <c r="H24" s="990">
        <v>44036</v>
      </c>
      <c r="I24" s="219">
        <v>520</v>
      </c>
      <c r="J24" s="545">
        <f t="shared" si="3"/>
        <v>2</v>
      </c>
      <c r="K24" s="219"/>
      <c r="L24" s="975"/>
      <c r="M24" s="618">
        <f t="shared" si="8"/>
        <v>0.69230769230769229</v>
      </c>
      <c r="N24" s="618">
        <f t="shared" ref="N24:N26" si="12">13/26*J24</f>
        <v>1</v>
      </c>
      <c r="O24" s="618">
        <f t="shared" ref="O24:O26" si="13">J24-N24-M24</f>
        <v>0.30769230769230771</v>
      </c>
      <c r="P24" s="618"/>
      <c r="Q24" s="618"/>
      <c r="R24" s="593"/>
      <c r="S24" s="219">
        <f>S23-1</f>
        <v>9</v>
      </c>
      <c r="T24" s="219"/>
      <c r="U24" s="219"/>
      <c r="V24" s="219"/>
    </row>
    <row r="25" spans="8:22" x14ac:dyDescent="0.35">
      <c r="H25" s="990">
        <v>44043</v>
      </c>
      <c r="I25" s="219">
        <v>521</v>
      </c>
      <c r="J25" s="545">
        <f t="shared" si="3"/>
        <v>1</v>
      </c>
      <c r="K25" s="219"/>
      <c r="L25" s="975"/>
      <c r="M25" s="618">
        <f t="shared" si="8"/>
        <v>0.30769230769230771</v>
      </c>
      <c r="N25" s="618">
        <f t="shared" si="12"/>
        <v>0.5</v>
      </c>
      <c r="O25" s="618">
        <f t="shared" si="13"/>
        <v>0.19230769230769229</v>
      </c>
      <c r="P25" s="618"/>
      <c r="Q25" s="618"/>
      <c r="R25" s="593"/>
      <c r="S25" s="219">
        <f>S24-1</f>
        <v>8</v>
      </c>
      <c r="T25" s="219"/>
      <c r="U25" s="219"/>
      <c r="V25" s="219"/>
    </row>
    <row r="26" spans="8:22" x14ac:dyDescent="0.35">
      <c r="H26" s="990">
        <v>44051</v>
      </c>
      <c r="I26" s="219">
        <v>525</v>
      </c>
      <c r="J26" s="545">
        <f t="shared" si="3"/>
        <v>4</v>
      </c>
      <c r="K26" s="219"/>
      <c r="L26" s="975"/>
      <c r="M26" s="618">
        <f t="shared" si="8"/>
        <v>1.0769230769230769</v>
      </c>
      <c r="N26" s="618">
        <f t="shared" si="12"/>
        <v>2</v>
      </c>
      <c r="O26" s="618">
        <f t="shared" si="13"/>
        <v>0.92307692307692313</v>
      </c>
      <c r="P26" s="618"/>
      <c r="Q26" s="618"/>
      <c r="R26" s="593"/>
      <c r="S26" s="219">
        <f>S25-1</f>
        <v>7</v>
      </c>
      <c r="T26" s="219"/>
      <c r="U26" s="219"/>
      <c r="V26" s="219"/>
    </row>
    <row r="27" spans="8:22" x14ac:dyDescent="0.35">
      <c r="H27" s="990">
        <v>44220</v>
      </c>
      <c r="I27" s="219">
        <v>558</v>
      </c>
      <c r="J27" s="545">
        <f t="shared" si="3"/>
        <v>33</v>
      </c>
      <c r="K27" s="219"/>
      <c r="L27" s="975"/>
      <c r="M27" s="618"/>
      <c r="N27" s="618"/>
      <c r="O27" s="618">
        <f>S27/26*J27</f>
        <v>12.692307692307693</v>
      </c>
      <c r="P27" s="618">
        <f>J27/2</f>
        <v>16.5</v>
      </c>
      <c r="Q27" s="618">
        <f>J27-P27-O27</f>
        <v>3.8076923076923066</v>
      </c>
      <c r="R27" s="593"/>
      <c r="S27" s="219">
        <v>10</v>
      </c>
      <c r="T27" s="219">
        <v>10</v>
      </c>
      <c r="U27" s="219"/>
      <c r="V27" s="219"/>
    </row>
    <row r="28" spans="8:22" x14ac:dyDescent="0.35">
      <c r="H28" s="990">
        <v>44227</v>
      </c>
      <c r="I28" s="219">
        <v>596</v>
      </c>
      <c r="J28" s="545">
        <f t="shared" si="3"/>
        <v>38</v>
      </c>
      <c r="K28" s="219"/>
      <c r="L28" s="975"/>
      <c r="M28" s="618"/>
      <c r="N28" s="618"/>
      <c r="O28" s="618">
        <f t="shared" ref="O28:O36" si="14">S28/26*J28</f>
        <v>13.153846153846153</v>
      </c>
      <c r="P28" s="618">
        <f t="shared" ref="P28:P36" si="15">J28/2</f>
        <v>19</v>
      </c>
      <c r="Q28" s="618">
        <f t="shared" ref="Q28:Q36" si="16">J28-P28-O28</f>
        <v>5.8461538461538467</v>
      </c>
      <c r="R28" s="593"/>
      <c r="S28" s="219">
        <f>S27-1</f>
        <v>9</v>
      </c>
      <c r="T28" s="219">
        <f>T27-1</f>
        <v>9</v>
      </c>
      <c r="U28" s="219"/>
      <c r="V28" s="219"/>
    </row>
    <row r="29" spans="8:22" x14ac:dyDescent="0.35">
      <c r="H29" s="990">
        <v>44234</v>
      </c>
      <c r="I29" s="219">
        <v>623</v>
      </c>
      <c r="J29" s="545">
        <f t="shared" si="3"/>
        <v>27</v>
      </c>
      <c r="K29" s="219"/>
      <c r="L29" s="975"/>
      <c r="M29" s="618"/>
      <c r="N29" s="618"/>
      <c r="O29" s="618">
        <f t="shared" si="14"/>
        <v>8.3076923076923084</v>
      </c>
      <c r="P29" s="618">
        <f t="shared" si="15"/>
        <v>13.5</v>
      </c>
      <c r="Q29" s="618">
        <f t="shared" si="16"/>
        <v>5.1923076923076916</v>
      </c>
      <c r="R29" s="593"/>
      <c r="S29" s="219">
        <f t="shared" ref="S29:S36" si="17">S28-1</f>
        <v>8</v>
      </c>
      <c r="T29" s="219">
        <f t="shared" ref="T29:T36" si="18">T28-1</f>
        <v>8</v>
      </c>
      <c r="U29" s="219"/>
      <c r="V29" s="219"/>
    </row>
    <row r="30" spans="8:22" x14ac:dyDescent="0.35">
      <c r="H30" s="990">
        <v>44242</v>
      </c>
      <c r="I30" s="219">
        <v>648</v>
      </c>
      <c r="J30" s="545">
        <f t="shared" si="3"/>
        <v>25</v>
      </c>
      <c r="K30" s="219"/>
      <c r="L30" s="975"/>
      <c r="M30" s="618"/>
      <c r="N30" s="618"/>
      <c r="O30" s="618">
        <f t="shared" si="14"/>
        <v>6.7307692307692308</v>
      </c>
      <c r="P30" s="618">
        <f t="shared" si="15"/>
        <v>12.5</v>
      </c>
      <c r="Q30" s="618">
        <f t="shared" si="16"/>
        <v>5.7692307692307692</v>
      </c>
      <c r="R30" s="593"/>
      <c r="S30" s="219">
        <f t="shared" si="17"/>
        <v>7</v>
      </c>
      <c r="T30" s="219">
        <f t="shared" si="18"/>
        <v>7</v>
      </c>
      <c r="U30" s="219"/>
      <c r="V30" s="219"/>
    </row>
    <row r="31" spans="8:22" x14ac:dyDescent="0.35">
      <c r="H31" s="990">
        <v>44248</v>
      </c>
      <c r="I31" s="219">
        <v>663</v>
      </c>
      <c r="J31" s="545">
        <f t="shared" si="3"/>
        <v>15</v>
      </c>
      <c r="K31" s="219"/>
      <c r="L31" s="975"/>
      <c r="M31" s="618"/>
      <c r="N31" s="618"/>
      <c r="O31" s="618">
        <f t="shared" si="14"/>
        <v>3.4615384615384617</v>
      </c>
      <c r="P31" s="618">
        <f t="shared" si="15"/>
        <v>7.5</v>
      </c>
      <c r="Q31" s="618">
        <f t="shared" si="16"/>
        <v>4.0384615384615383</v>
      </c>
      <c r="R31" s="593"/>
      <c r="S31" s="219">
        <f t="shared" si="17"/>
        <v>6</v>
      </c>
      <c r="T31" s="219">
        <f t="shared" si="18"/>
        <v>6</v>
      </c>
      <c r="U31" s="219"/>
      <c r="V31" s="219"/>
    </row>
    <row r="32" spans="8:22" x14ac:dyDescent="0.35">
      <c r="H32" s="990">
        <v>44255</v>
      </c>
      <c r="I32" s="219">
        <v>679</v>
      </c>
      <c r="J32" s="545">
        <f t="shared" si="3"/>
        <v>16</v>
      </c>
      <c r="K32" s="219"/>
      <c r="L32" s="975"/>
      <c r="M32" s="618"/>
      <c r="N32" s="618"/>
      <c r="O32" s="618">
        <f t="shared" si="14"/>
        <v>3.0769230769230771</v>
      </c>
      <c r="P32" s="618">
        <f t="shared" si="15"/>
        <v>8</v>
      </c>
      <c r="Q32" s="618">
        <f t="shared" si="16"/>
        <v>4.9230769230769234</v>
      </c>
      <c r="R32" s="593"/>
      <c r="S32" s="219">
        <f t="shared" si="17"/>
        <v>5</v>
      </c>
      <c r="T32" s="219">
        <f t="shared" si="18"/>
        <v>5</v>
      </c>
      <c r="U32" s="219"/>
      <c r="V32" s="219"/>
    </row>
    <row r="33" spans="8:22" x14ac:dyDescent="0.35">
      <c r="H33" s="990">
        <v>44262</v>
      </c>
      <c r="I33" s="219">
        <v>687</v>
      </c>
      <c r="J33" s="545">
        <f t="shared" si="3"/>
        <v>8</v>
      </c>
      <c r="K33" s="219"/>
      <c r="L33" s="975"/>
      <c r="M33" s="618"/>
      <c r="N33" s="618"/>
      <c r="O33" s="618">
        <f t="shared" si="14"/>
        <v>1.2307692307692308</v>
      </c>
      <c r="P33" s="618">
        <f t="shared" si="15"/>
        <v>4</v>
      </c>
      <c r="Q33" s="618">
        <f t="shared" si="16"/>
        <v>2.7692307692307692</v>
      </c>
      <c r="R33" s="593"/>
      <c r="S33" s="219">
        <f t="shared" si="17"/>
        <v>4</v>
      </c>
      <c r="T33" s="219">
        <f t="shared" si="18"/>
        <v>4</v>
      </c>
      <c r="U33" s="219"/>
      <c r="V33" s="219"/>
    </row>
    <row r="34" spans="8:22" x14ac:dyDescent="0.35">
      <c r="H34" s="990">
        <v>44269</v>
      </c>
      <c r="I34" s="219">
        <v>704</v>
      </c>
      <c r="J34" s="545">
        <f t="shared" si="3"/>
        <v>17</v>
      </c>
      <c r="K34" s="219"/>
      <c r="L34" s="975"/>
      <c r="M34" s="618"/>
      <c r="N34" s="618"/>
      <c r="O34" s="618">
        <f t="shared" si="14"/>
        <v>1.9615384615384617</v>
      </c>
      <c r="P34" s="618">
        <f t="shared" si="15"/>
        <v>8.5</v>
      </c>
      <c r="Q34" s="618">
        <f t="shared" si="16"/>
        <v>6.5384615384615383</v>
      </c>
      <c r="R34" s="593"/>
      <c r="S34" s="219">
        <f t="shared" si="17"/>
        <v>3</v>
      </c>
      <c r="T34" s="219">
        <f t="shared" si="18"/>
        <v>3</v>
      </c>
      <c r="U34" s="219"/>
      <c r="V34" s="219"/>
    </row>
    <row r="35" spans="8:22" x14ac:dyDescent="0.35">
      <c r="H35" s="990">
        <v>44276</v>
      </c>
      <c r="I35" s="219">
        <v>718</v>
      </c>
      <c r="J35" s="545">
        <f t="shared" si="3"/>
        <v>14</v>
      </c>
      <c r="K35" s="219"/>
      <c r="L35" s="975"/>
      <c r="M35" s="618"/>
      <c r="N35" s="618"/>
      <c r="O35" s="618">
        <f t="shared" si="14"/>
        <v>1.0769230769230771</v>
      </c>
      <c r="P35" s="618">
        <f t="shared" si="15"/>
        <v>7</v>
      </c>
      <c r="Q35" s="618">
        <f t="shared" si="16"/>
        <v>5.9230769230769234</v>
      </c>
      <c r="R35" s="593"/>
      <c r="S35" s="219">
        <f t="shared" si="17"/>
        <v>2</v>
      </c>
      <c r="T35" s="219">
        <f t="shared" si="18"/>
        <v>2</v>
      </c>
      <c r="U35" s="219"/>
      <c r="V35" s="219"/>
    </row>
    <row r="36" spans="8:22" x14ac:dyDescent="0.35">
      <c r="H36" s="990">
        <v>44283</v>
      </c>
      <c r="I36" s="219">
        <v>734</v>
      </c>
      <c r="J36" s="545">
        <f t="shared" si="3"/>
        <v>16</v>
      </c>
      <c r="K36" s="219"/>
      <c r="L36" s="975"/>
      <c r="M36" s="618"/>
      <c r="N36" s="618"/>
      <c r="O36" s="618">
        <f t="shared" si="14"/>
        <v>0.61538461538461542</v>
      </c>
      <c r="P36" s="618">
        <f t="shared" si="15"/>
        <v>8</v>
      </c>
      <c r="Q36" s="618">
        <f t="shared" si="16"/>
        <v>7.384615384615385</v>
      </c>
      <c r="R36" s="593"/>
      <c r="S36" s="219">
        <f t="shared" si="17"/>
        <v>1</v>
      </c>
      <c r="T36" s="219">
        <f t="shared" si="18"/>
        <v>1</v>
      </c>
      <c r="U36" s="219"/>
      <c r="V36" s="219"/>
    </row>
    <row r="37" spans="8:22" x14ac:dyDescent="0.35">
      <c r="H37" s="990">
        <v>44290</v>
      </c>
      <c r="I37" s="219">
        <v>746</v>
      </c>
      <c r="J37" s="545">
        <f t="shared" si="3"/>
        <v>12</v>
      </c>
      <c r="K37" s="219"/>
      <c r="L37" s="975"/>
      <c r="M37" s="618"/>
      <c r="N37" s="618"/>
      <c r="O37" s="618"/>
      <c r="P37" s="618">
        <f>T37/26*J37</f>
        <v>6</v>
      </c>
      <c r="Q37" s="618">
        <f>J37/2</f>
        <v>6</v>
      </c>
      <c r="R37" s="593">
        <f>J37-Q37-P37</f>
        <v>0</v>
      </c>
      <c r="S37" s="219">
        <v>13</v>
      </c>
      <c r="T37" s="219">
        <v>13</v>
      </c>
      <c r="U37" s="219"/>
      <c r="V37" s="219"/>
    </row>
    <row r="38" spans="8:22" x14ac:dyDescent="0.35">
      <c r="H38" s="990">
        <v>44297</v>
      </c>
      <c r="I38" s="219">
        <v>755</v>
      </c>
      <c r="J38" s="545">
        <f t="shared" si="3"/>
        <v>9</v>
      </c>
      <c r="K38" s="219"/>
      <c r="L38" s="975"/>
      <c r="M38" s="618"/>
      <c r="N38" s="618"/>
      <c r="O38" s="618"/>
      <c r="P38" s="618">
        <f t="shared" ref="P38:P45" si="19">T38/26*J38</f>
        <v>4.1538461538461542</v>
      </c>
      <c r="Q38" s="618">
        <f t="shared" ref="Q38:Q45" si="20">J38/2</f>
        <v>4.5</v>
      </c>
      <c r="R38" s="593">
        <f t="shared" ref="R38:R45" si="21">J38-Q38-P38</f>
        <v>0.34615384615384581</v>
      </c>
      <c r="S38" s="219">
        <f>S37-1</f>
        <v>12</v>
      </c>
      <c r="T38" s="219">
        <f>T37-1</f>
        <v>12</v>
      </c>
      <c r="U38" s="219"/>
      <c r="V38" s="219"/>
    </row>
    <row r="39" spans="8:22" x14ac:dyDescent="0.35">
      <c r="H39" s="990">
        <v>44304</v>
      </c>
      <c r="I39" s="219">
        <v>762</v>
      </c>
      <c r="J39" s="545">
        <f t="shared" si="3"/>
        <v>7</v>
      </c>
      <c r="K39" s="219"/>
      <c r="L39" s="975"/>
      <c r="M39" s="618"/>
      <c r="N39" s="618"/>
      <c r="O39" s="618"/>
      <c r="P39" s="618">
        <f t="shared" si="19"/>
        <v>2.9615384615384617</v>
      </c>
      <c r="Q39" s="618">
        <f t="shared" si="20"/>
        <v>3.5</v>
      </c>
      <c r="R39" s="593">
        <f t="shared" si="21"/>
        <v>0.53846153846153832</v>
      </c>
      <c r="S39" s="219">
        <f t="shared" ref="S39:S45" si="22">S38-1</f>
        <v>11</v>
      </c>
      <c r="T39" s="219">
        <f t="shared" ref="T39:T45" si="23">T38-1</f>
        <v>11</v>
      </c>
      <c r="U39" s="219"/>
      <c r="V39" s="219"/>
    </row>
    <row r="40" spans="8:22" x14ac:dyDescent="0.35">
      <c r="H40" s="990">
        <v>44311</v>
      </c>
      <c r="I40" s="219">
        <v>771</v>
      </c>
      <c r="J40" s="545">
        <f t="shared" si="3"/>
        <v>9</v>
      </c>
      <c r="K40" s="219"/>
      <c r="L40" s="975"/>
      <c r="M40" s="618"/>
      <c r="N40" s="618"/>
      <c r="O40" s="618"/>
      <c r="P40" s="618">
        <f t="shared" si="19"/>
        <v>3.4615384615384617</v>
      </c>
      <c r="Q40" s="618">
        <f t="shared" si="20"/>
        <v>4.5</v>
      </c>
      <c r="R40" s="593">
        <f t="shared" si="21"/>
        <v>1.0384615384615383</v>
      </c>
      <c r="S40" s="219">
        <f t="shared" si="22"/>
        <v>10</v>
      </c>
      <c r="T40" s="219">
        <f t="shared" si="23"/>
        <v>10</v>
      </c>
      <c r="U40" s="219"/>
      <c r="V40" s="219"/>
    </row>
    <row r="41" spans="8:22" x14ac:dyDescent="0.35">
      <c r="H41" s="990">
        <v>44318</v>
      </c>
      <c r="I41" s="219">
        <v>780</v>
      </c>
      <c r="J41" s="545">
        <f t="shared" si="3"/>
        <v>9</v>
      </c>
      <c r="K41" s="219"/>
      <c r="L41" s="975"/>
      <c r="M41" s="618"/>
      <c r="N41" s="618"/>
      <c r="O41" s="618"/>
      <c r="P41" s="618">
        <f t="shared" si="19"/>
        <v>3.1153846153846154</v>
      </c>
      <c r="Q41" s="618">
        <f t="shared" si="20"/>
        <v>4.5</v>
      </c>
      <c r="R41" s="593">
        <f t="shared" si="21"/>
        <v>1.3846153846153846</v>
      </c>
      <c r="S41" s="219">
        <f t="shared" si="22"/>
        <v>9</v>
      </c>
      <c r="T41" s="219">
        <f t="shared" si="23"/>
        <v>9</v>
      </c>
      <c r="U41" s="219"/>
      <c r="V41" s="219"/>
    </row>
    <row r="42" spans="8:22" x14ac:dyDescent="0.35">
      <c r="H42" s="990">
        <v>44325</v>
      </c>
      <c r="I42" s="219">
        <v>782</v>
      </c>
      <c r="J42" s="545">
        <f t="shared" si="3"/>
        <v>2</v>
      </c>
      <c r="K42" s="219"/>
      <c r="L42" s="975"/>
      <c r="M42" s="618"/>
      <c r="N42" s="618"/>
      <c r="O42" s="618"/>
      <c r="P42" s="618">
        <f t="shared" si="19"/>
        <v>0.61538461538461542</v>
      </c>
      <c r="Q42" s="618">
        <f t="shared" si="20"/>
        <v>1</v>
      </c>
      <c r="R42" s="593">
        <f t="shared" si="21"/>
        <v>0.38461538461538458</v>
      </c>
      <c r="S42" s="219">
        <f t="shared" si="22"/>
        <v>8</v>
      </c>
      <c r="T42" s="219">
        <f t="shared" si="23"/>
        <v>8</v>
      </c>
      <c r="U42" s="219"/>
      <c r="V42" s="219"/>
    </row>
    <row r="43" spans="8:22" x14ac:dyDescent="0.35">
      <c r="H43" s="990">
        <v>44332</v>
      </c>
      <c r="I43" s="219">
        <v>788</v>
      </c>
      <c r="J43" s="545">
        <f t="shared" si="3"/>
        <v>6</v>
      </c>
      <c r="K43" s="219"/>
      <c r="L43" s="975"/>
      <c r="M43" s="618"/>
      <c r="N43" s="618"/>
      <c r="O43" s="618"/>
      <c r="P43" s="618">
        <f t="shared" si="19"/>
        <v>1.6153846153846154</v>
      </c>
      <c r="Q43" s="618">
        <f t="shared" si="20"/>
        <v>3</v>
      </c>
      <c r="R43" s="593">
        <f t="shared" si="21"/>
        <v>1.3846153846153846</v>
      </c>
      <c r="S43" s="219">
        <f t="shared" si="22"/>
        <v>7</v>
      </c>
      <c r="T43" s="219">
        <f t="shared" si="23"/>
        <v>7</v>
      </c>
      <c r="U43" s="219"/>
      <c r="V43" s="219"/>
    </row>
    <row r="44" spans="8:22" x14ac:dyDescent="0.35">
      <c r="H44" s="990">
        <v>44339</v>
      </c>
      <c r="I44" s="219">
        <v>796</v>
      </c>
      <c r="J44" s="545">
        <f t="shared" si="3"/>
        <v>8</v>
      </c>
      <c r="K44" s="219"/>
      <c r="L44" s="975"/>
      <c r="M44" s="618"/>
      <c r="N44" s="618"/>
      <c r="O44" s="618"/>
      <c r="P44" s="618">
        <f t="shared" si="19"/>
        <v>1.8461538461538463</v>
      </c>
      <c r="Q44" s="618">
        <f t="shared" si="20"/>
        <v>4</v>
      </c>
      <c r="R44" s="593">
        <f t="shared" si="21"/>
        <v>2.1538461538461537</v>
      </c>
      <c r="S44" s="219">
        <f t="shared" si="22"/>
        <v>6</v>
      </c>
      <c r="T44" s="219">
        <f t="shared" si="23"/>
        <v>6</v>
      </c>
      <c r="U44" s="219"/>
      <c r="V44" s="219"/>
    </row>
    <row r="45" spans="8:22" x14ac:dyDescent="0.35">
      <c r="H45" s="991">
        <v>44347</v>
      </c>
      <c r="I45" s="491">
        <v>800</v>
      </c>
      <c r="J45" s="562">
        <f t="shared" si="3"/>
        <v>4</v>
      </c>
      <c r="K45" s="219"/>
      <c r="L45" s="975"/>
      <c r="M45" s="618"/>
      <c r="N45" s="618"/>
      <c r="O45" s="618"/>
      <c r="P45" s="618">
        <f t="shared" si="19"/>
        <v>0.76923076923076927</v>
      </c>
      <c r="Q45" s="618">
        <f t="shared" si="20"/>
        <v>2</v>
      </c>
      <c r="R45" s="593">
        <f t="shared" si="21"/>
        <v>1.2307692307692308</v>
      </c>
      <c r="S45" s="219">
        <f t="shared" si="22"/>
        <v>5</v>
      </c>
      <c r="T45" s="219">
        <f t="shared" si="23"/>
        <v>5</v>
      </c>
      <c r="U45" s="219"/>
      <c r="V45" s="219"/>
    </row>
    <row r="46" spans="8:22" x14ac:dyDescent="0.35">
      <c r="H46" s="219"/>
      <c r="I46" s="219"/>
      <c r="J46" s="219"/>
      <c r="K46" s="219"/>
      <c r="L46" s="975">
        <f>SUM(L11:L45)</f>
        <v>184.80769230769229</v>
      </c>
      <c r="M46" s="618">
        <f t="shared" ref="M46:R46" si="24">SUM(M11:M45)</f>
        <v>261.42307692307696</v>
      </c>
      <c r="N46" s="618">
        <f t="shared" si="24"/>
        <v>77.692307692307693</v>
      </c>
      <c r="O46" s="618">
        <f t="shared" si="24"/>
        <v>53.384615384615394</v>
      </c>
      <c r="P46" s="618">
        <f t="shared" si="24"/>
        <v>129.03846153846155</v>
      </c>
      <c r="Q46" s="618">
        <f t="shared" si="24"/>
        <v>85.192307692307693</v>
      </c>
      <c r="R46" s="593">
        <f t="shared" si="24"/>
        <v>8.4615384615384599</v>
      </c>
      <c r="S46" s="219"/>
      <c r="T46" s="219"/>
      <c r="U46" s="219"/>
      <c r="V46" s="219"/>
    </row>
    <row r="47" spans="8:22" x14ac:dyDescent="0.35">
      <c r="H47" s="219"/>
      <c r="I47" s="219"/>
      <c r="J47" s="219"/>
      <c r="K47" s="219"/>
      <c r="L47" s="976">
        <f>L46*4</f>
        <v>739.23076923076917</v>
      </c>
      <c r="M47" s="911">
        <f t="shared" ref="M47:R47" si="25">M46*4</f>
        <v>1045.6923076923078</v>
      </c>
      <c r="N47" s="911">
        <f t="shared" si="25"/>
        <v>310.76923076923077</v>
      </c>
      <c r="O47" s="911">
        <f t="shared" si="25"/>
        <v>213.53846153846158</v>
      </c>
      <c r="P47" s="911">
        <f t="shared" si="25"/>
        <v>516.15384615384619</v>
      </c>
      <c r="Q47" s="911">
        <f t="shared" si="25"/>
        <v>340.76923076923077</v>
      </c>
      <c r="R47" s="802">
        <f t="shared" si="25"/>
        <v>33.84615384615384</v>
      </c>
      <c r="S47" s="219" t="s">
        <v>322</v>
      </c>
      <c r="T47" s="219"/>
      <c r="U47" s="219"/>
      <c r="V47" s="219"/>
    </row>
    <row r="48" spans="8:22" x14ac:dyDescent="0.35">
      <c r="J48" s="235" t="s">
        <v>323</v>
      </c>
      <c r="L48" s="235">
        <v>634</v>
      </c>
      <c r="M48" s="704">
        <f>K55</f>
        <v>900.7</v>
      </c>
      <c r="N48" s="704">
        <f t="shared" ref="N48:P48" si="26">L55</f>
        <v>270.7</v>
      </c>
      <c r="O48" s="704">
        <f t="shared" si="26"/>
        <v>208.7</v>
      </c>
      <c r="P48" s="704">
        <f t="shared" si="26"/>
        <v>469.7</v>
      </c>
      <c r="Q48" s="704">
        <v>279</v>
      </c>
      <c r="R48" s="704"/>
    </row>
    <row r="50" spans="8:29" x14ac:dyDescent="0.35">
      <c r="H50" s="1363" t="s">
        <v>324</v>
      </c>
      <c r="I50" s="1364"/>
      <c r="J50" s="1298" t="s">
        <v>279</v>
      </c>
      <c r="K50" s="1299"/>
      <c r="L50" s="1299"/>
      <c r="M50" s="1326"/>
      <c r="N50" s="1326"/>
      <c r="O50" s="1326"/>
      <c r="P50" s="1275"/>
      <c r="Q50" s="512"/>
      <c r="R50" s="512"/>
      <c r="S50" s="512"/>
      <c r="T50" s="512"/>
      <c r="U50" s="512"/>
      <c r="V50" s="512"/>
      <c r="W50" s="512"/>
      <c r="X50" s="512"/>
      <c r="Y50" s="512"/>
    </row>
    <row r="51" spans="8:29" x14ac:dyDescent="0.35">
      <c r="H51" s="1365"/>
      <c r="I51" s="1366"/>
      <c r="J51" s="1293">
        <v>2020</v>
      </c>
      <c r="K51" s="1294"/>
      <c r="L51" s="1294"/>
      <c r="M51" s="1293">
        <v>2021</v>
      </c>
      <c r="N51" s="1294"/>
      <c r="O51" s="1294"/>
      <c r="P51" s="1295"/>
      <c r="Q51" s="1311"/>
      <c r="R51" s="1311"/>
      <c r="S51" s="1311"/>
      <c r="T51" s="1311"/>
      <c r="U51" s="1311"/>
      <c r="V51" s="1311"/>
      <c r="W51" s="1311"/>
      <c r="X51" s="1311"/>
    </row>
    <row r="52" spans="8:29" x14ac:dyDescent="0.35">
      <c r="H52" s="1390"/>
      <c r="I52" s="1391"/>
      <c r="J52" s="214" t="s">
        <v>283</v>
      </c>
      <c r="K52" s="215" t="s">
        <v>238</v>
      </c>
      <c r="L52" s="215" t="s">
        <v>281</v>
      </c>
      <c r="M52" s="273" t="s">
        <v>282</v>
      </c>
      <c r="N52" s="274" t="s">
        <v>283</v>
      </c>
      <c r="O52" s="274" t="s">
        <v>238</v>
      </c>
      <c r="P52" s="272" t="s">
        <v>281</v>
      </c>
      <c r="Q52" s="219"/>
      <c r="S52" s="235"/>
      <c r="T52" s="235"/>
      <c r="U52" s="219"/>
      <c r="V52" s="235"/>
      <c r="W52" s="235"/>
      <c r="X52" s="235"/>
      <c r="Y52" s="235"/>
      <c r="Z52" s="235"/>
      <c r="AA52" s="235"/>
    </row>
    <row r="53" spans="8:29" ht="32.9" customHeight="1" x14ac:dyDescent="0.35">
      <c r="H53" s="474" t="s">
        <v>325</v>
      </c>
      <c r="I53" s="219" t="s">
        <v>326</v>
      </c>
      <c r="J53" s="985">
        <f>'Haver Pivoted'!GU47</f>
        <v>57.2</v>
      </c>
      <c r="K53" s="974">
        <f>'Haver Pivoted'!GV47</f>
        <v>81.2</v>
      </c>
      <c r="L53" s="974">
        <f>'Haver Pivoted'!GW47</f>
        <v>24.4</v>
      </c>
      <c r="M53" s="232">
        <f>'Haver Pivoted'!GX47</f>
        <v>11.7</v>
      </c>
      <c r="N53" s="232">
        <f>'Haver Pivoted'!GY47</f>
        <v>28.5</v>
      </c>
      <c r="O53" s="361">
        <f>'Haver Pivoted'!GZ47</f>
        <v>18.8</v>
      </c>
      <c r="P53" s="361">
        <f>'Haver Pivoted'!HA47</f>
        <v>1.6</v>
      </c>
      <c r="Q53" s="232"/>
      <c r="S53" s="235"/>
      <c r="T53" s="235"/>
      <c r="U53" s="235"/>
      <c r="V53" s="235"/>
      <c r="W53" s="235"/>
      <c r="X53" s="235"/>
      <c r="Y53" s="235"/>
      <c r="Z53" s="235"/>
      <c r="AA53" s="235"/>
    </row>
    <row r="54" spans="8:29" ht="33.75" customHeight="1" x14ac:dyDescent="0.35">
      <c r="H54" s="474" t="s">
        <v>327</v>
      </c>
      <c r="I54" s="227" t="s">
        <v>328</v>
      </c>
      <c r="J54" s="979">
        <f>'Haver Pivoted'!GU49</f>
        <v>576.9</v>
      </c>
      <c r="K54" s="232">
        <f>'Haver Pivoted'!GV49</f>
        <v>819.5</v>
      </c>
      <c r="L54" s="232">
        <f>'Haver Pivoted'!GW49</f>
        <v>246.3</v>
      </c>
      <c r="M54" s="232">
        <f>'Haver Pivoted'!GX49</f>
        <v>197</v>
      </c>
      <c r="N54" s="232">
        <f>'Haver Pivoted'!GY49</f>
        <v>441.2</v>
      </c>
      <c r="O54" s="361">
        <f>'Haver Pivoted'!GZ49</f>
        <v>276.7</v>
      </c>
      <c r="P54" s="361">
        <f>'Haver Pivoted'!HA49</f>
        <v>28.2</v>
      </c>
      <c r="Q54" s="232"/>
      <c r="R54" s="232"/>
    </row>
    <row r="55" spans="8:29" x14ac:dyDescent="0.35">
      <c r="H55" s="548" t="s">
        <v>311</v>
      </c>
      <c r="I55" s="219"/>
      <c r="J55" s="979">
        <f>J54+J53</f>
        <v>634.1</v>
      </c>
      <c r="K55" s="232">
        <f t="shared" ref="K55:M55" si="27">K54+K53</f>
        <v>900.7</v>
      </c>
      <c r="L55" s="232">
        <f t="shared" si="27"/>
        <v>270.7</v>
      </c>
      <c r="M55" s="232">
        <f t="shared" si="27"/>
        <v>208.7</v>
      </c>
      <c r="N55" s="232">
        <f t="shared" ref="N55:P55" si="28">N54+N53</f>
        <v>469.7</v>
      </c>
      <c r="O55" s="361">
        <f t="shared" si="28"/>
        <v>295.5</v>
      </c>
      <c r="P55" s="361">
        <f t="shared" si="28"/>
        <v>29.8</v>
      </c>
      <c r="Q55" s="232"/>
      <c r="R55" s="232"/>
    </row>
    <row r="56" spans="8:29" x14ac:dyDescent="0.35">
      <c r="H56" s="547" t="s">
        <v>329</v>
      </c>
      <c r="I56" s="491"/>
      <c r="J56" s="912">
        <f t="shared" ref="J56:P56" si="29">J53/J55</f>
        <v>9.0206592020186091E-2</v>
      </c>
      <c r="K56" s="913">
        <f t="shared" si="29"/>
        <v>9.015210391917397E-2</v>
      </c>
      <c r="L56" s="913">
        <f t="shared" si="29"/>
        <v>9.0136682674547469E-2</v>
      </c>
      <c r="M56" s="913">
        <f t="shared" si="29"/>
        <v>5.6061332055582176E-2</v>
      </c>
      <c r="N56" s="913">
        <f t="shared" si="29"/>
        <v>6.0677027890142649E-2</v>
      </c>
      <c r="O56" s="980">
        <f t="shared" si="29"/>
        <v>6.3620981387478848E-2</v>
      </c>
      <c r="P56" s="980">
        <f t="shared" si="29"/>
        <v>5.3691275167785234E-2</v>
      </c>
      <c r="Q56" s="988"/>
      <c r="R56" s="788"/>
    </row>
    <row r="58" spans="8:29" x14ac:dyDescent="0.35">
      <c r="H58" s="235" t="s">
        <v>815</v>
      </c>
    </row>
    <row r="59" spans="8:29" x14ac:dyDescent="0.35">
      <c r="H59" s="271"/>
      <c r="I59" s="219"/>
      <c r="J59" s="232"/>
      <c r="K59" s="232"/>
      <c r="L59" s="232"/>
      <c r="M59" s="232"/>
      <c r="N59" s="232"/>
      <c r="O59" s="232"/>
      <c r="P59" s="500"/>
      <c r="Q59" s="232"/>
      <c r="R59" s="232"/>
      <c r="S59" s="232"/>
      <c r="T59" s="235"/>
      <c r="U59" s="235"/>
      <c r="V59" s="235"/>
      <c r="W59" s="235"/>
      <c r="X59" s="235"/>
      <c r="Y59" s="235"/>
      <c r="Z59" s="235"/>
      <c r="AA59" s="235"/>
      <c r="AB59" s="235"/>
      <c r="AC59" s="235"/>
    </row>
    <row r="60" spans="8:29" x14ac:dyDescent="0.35">
      <c r="P60" s="232"/>
      <c r="Q60" s="235"/>
      <c r="R60" s="235"/>
      <c r="S60" s="235"/>
      <c r="T60" s="235"/>
      <c r="U60" s="235"/>
      <c r="V60" s="235"/>
      <c r="W60" s="235"/>
      <c r="X60" s="235"/>
      <c r="Y60" s="235"/>
      <c r="Z60" s="235"/>
      <c r="AA60" s="235"/>
      <c r="AB60" s="235"/>
      <c r="AC60" s="235"/>
    </row>
    <row r="61" spans="8:29" x14ac:dyDescent="0.35">
      <c r="P61" s="232"/>
      <c r="Q61" s="986"/>
      <c r="R61" s="986"/>
      <c r="S61" s="986"/>
      <c r="T61" s="986"/>
      <c r="U61" s="986"/>
      <c r="V61" s="986"/>
      <c r="W61" s="986"/>
      <c r="X61" s="986"/>
      <c r="Y61" s="986"/>
      <c r="Z61" s="986"/>
      <c r="AA61" s="986"/>
      <c r="AB61" s="986"/>
      <c r="AC61" s="235"/>
    </row>
    <row r="62" spans="8:29" x14ac:dyDescent="0.35">
      <c r="P62" s="232"/>
      <c r="Q62" s="986"/>
      <c r="R62" s="986"/>
      <c r="S62" s="986"/>
      <c r="T62" s="986"/>
      <c r="U62" s="986"/>
      <c r="V62" s="986"/>
      <c r="W62" s="986"/>
      <c r="X62" s="986"/>
      <c r="Y62" s="986"/>
      <c r="Z62" s="986"/>
      <c r="AA62" s="986"/>
      <c r="AB62" s="986"/>
      <c r="AC62" s="235"/>
    </row>
    <row r="63" spans="8:29" x14ac:dyDescent="0.35">
      <c r="I63" s="235" t="s">
        <v>282</v>
      </c>
      <c r="J63" s="235" t="s">
        <v>283</v>
      </c>
      <c r="K63" s="235" t="s">
        <v>238</v>
      </c>
      <c r="L63" s="235" t="s">
        <v>281</v>
      </c>
      <c r="P63" s="788"/>
      <c r="Q63" s="986"/>
      <c r="R63" s="986"/>
      <c r="S63" s="986"/>
      <c r="T63" s="986"/>
      <c r="U63" s="986"/>
      <c r="V63" s="986"/>
      <c r="W63" s="986"/>
      <c r="X63" s="986"/>
      <c r="Y63" s="986"/>
      <c r="Z63" s="986"/>
      <c r="AA63" s="986"/>
      <c r="AB63" s="986"/>
      <c r="AC63" s="235"/>
    </row>
    <row r="64" spans="8:29" x14ac:dyDescent="0.35">
      <c r="H64" s="235" t="s">
        <v>816</v>
      </c>
      <c r="I64" s="235">
        <v>81.599999999999994</v>
      </c>
      <c r="J64" s="235">
        <v>188.9</v>
      </c>
      <c r="K64" s="235">
        <v>117.2</v>
      </c>
      <c r="L64" s="235" t="e">
        <f>#REF!+#REF!</f>
        <v>#REF!</v>
      </c>
      <c r="P64" s="235"/>
      <c r="Q64" s="235"/>
      <c r="R64" s="235"/>
      <c r="S64" s="235"/>
      <c r="T64" s="235"/>
      <c r="U64" s="235"/>
      <c r="V64" s="235"/>
      <c r="W64" s="235"/>
      <c r="X64" s="235"/>
      <c r="Y64" s="235"/>
      <c r="Z64" s="235"/>
      <c r="AA64" s="235"/>
      <c r="AB64" s="235"/>
      <c r="AC64" s="235"/>
    </row>
    <row r="65" spans="7:29" x14ac:dyDescent="0.35">
      <c r="H65" s="235" t="s">
        <v>468</v>
      </c>
      <c r="I65" s="704">
        <f>M53</f>
        <v>11.7</v>
      </c>
      <c r="J65" s="704">
        <f t="shared" ref="J65:K65" si="30">N53</f>
        <v>28.5</v>
      </c>
      <c r="K65" s="704">
        <f t="shared" si="30"/>
        <v>18.8</v>
      </c>
      <c r="L65" s="235" t="e">
        <f>#REF!</f>
        <v>#REF!</v>
      </c>
      <c r="P65" s="235"/>
      <c r="Q65" s="235"/>
      <c r="R65" s="235"/>
      <c r="S65" s="235"/>
      <c r="T65" s="235"/>
      <c r="U65" s="235"/>
      <c r="V65" s="235"/>
      <c r="W65" s="235"/>
      <c r="X65" s="235"/>
      <c r="Y65" s="235"/>
      <c r="Z65" s="235"/>
      <c r="AA65" s="235"/>
      <c r="AB65" s="235"/>
      <c r="AC65" s="235"/>
    </row>
    <row r="66" spans="7:29" x14ac:dyDescent="0.35">
      <c r="H66" s="235" t="s">
        <v>817</v>
      </c>
      <c r="I66" s="704">
        <f>I67-SUM(I64:I65)</f>
        <v>115.39999999999999</v>
      </c>
      <c r="J66" s="704">
        <f t="shared" ref="J66:K66" si="31">J67-SUM(J64:J65)</f>
        <v>252.29999999999998</v>
      </c>
      <c r="K66" s="704">
        <f t="shared" si="31"/>
        <v>159.5</v>
      </c>
      <c r="L66" s="704" t="e">
        <f>1.26*L64</f>
        <v>#REF!</v>
      </c>
      <c r="P66" s="235"/>
      <c r="Q66" s="235"/>
      <c r="R66" s="235"/>
      <c r="S66" s="235"/>
      <c r="T66" s="235"/>
      <c r="U66" s="235"/>
      <c r="V66" s="235"/>
      <c r="W66" s="235"/>
      <c r="X66" s="235"/>
      <c r="Y66" s="235"/>
      <c r="Z66" s="235"/>
      <c r="AA66" s="235"/>
      <c r="AB66" s="235"/>
      <c r="AC66" s="235"/>
    </row>
    <row r="67" spans="7:29" x14ac:dyDescent="0.35">
      <c r="H67" s="235" t="s">
        <v>311</v>
      </c>
      <c r="I67" s="704">
        <f>M55</f>
        <v>208.7</v>
      </c>
      <c r="J67" s="704">
        <f>N55</f>
        <v>469.7</v>
      </c>
      <c r="K67" s="704">
        <f>O55</f>
        <v>295.5</v>
      </c>
      <c r="L67" s="704" t="e">
        <f>SUM(L64:L66)</f>
        <v>#REF!</v>
      </c>
    </row>
    <row r="68" spans="7:29" x14ac:dyDescent="0.35">
      <c r="G68" s="235" t="s">
        <v>818</v>
      </c>
    </row>
    <row r="69" spans="7:29" x14ac:dyDescent="0.35">
      <c r="H69" s="235" t="s">
        <v>816</v>
      </c>
      <c r="I69" s="977">
        <f>I64/I$67</f>
        <v>0.39099185433636796</v>
      </c>
      <c r="J69" s="977">
        <f t="shared" ref="J69:L69" si="32">J64/J$67</f>
        <v>0.40217159889291038</v>
      </c>
      <c r="K69" s="977">
        <f t="shared" si="32"/>
        <v>0.3966159052453469</v>
      </c>
      <c r="L69" s="977" t="e">
        <f t="shared" si="32"/>
        <v>#REF!</v>
      </c>
    </row>
    <row r="70" spans="7:29" x14ac:dyDescent="0.35">
      <c r="H70" s="235" t="s">
        <v>468</v>
      </c>
      <c r="I70" s="977">
        <f t="shared" ref="I70:L71" si="33">I65/I$67</f>
        <v>5.6061332055582176E-2</v>
      </c>
      <c r="J70" s="977">
        <f t="shared" si="33"/>
        <v>6.0677027890142649E-2</v>
      </c>
      <c r="K70" s="977">
        <f t="shared" si="33"/>
        <v>6.3620981387478848E-2</v>
      </c>
      <c r="L70" s="977" t="e">
        <f t="shared" si="33"/>
        <v>#REF!</v>
      </c>
    </row>
    <row r="71" spans="7:29" x14ac:dyDescent="0.35">
      <c r="H71" s="235" t="s">
        <v>817</v>
      </c>
      <c r="I71" s="977">
        <f t="shared" si="33"/>
        <v>0.55294681360804987</v>
      </c>
      <c r="J71" s="977">
        <f t="shared" si="33"/>
        <v>0.53715137321694695</v>
      </c>
      <c r="K71" s="977">
        <f t="shared" si="33"/>
        <v>0.53976311336717431</v>
      </c>
      <c r="L71" s="977" t="e">
        <f t="shared" si="33"/>
        <v>#REF!</v>
      </c>
    </row>
    <row r="73" spans="7:29" x14ac:dyDescent="0.35">
      <c r="H73" s="235" t="s">
        <v>819</v>
      </c>
      <c r="I73" s="235">
        <f>I66/I64</f>
        <v>1.4142156862745099</v>
      </c>
      <c r="J73" s="235">
        <f t="shared" ref="J73:K73" si="34">J66/J64</f>
        <v>1.3356273160402328</v>
      </c>
      <c r="K73" s="235">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17" sqref="I17"/>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6" t="s">
        <v>152</v>
      </c>
      <c r="C1" s="1246"/>
      <c r="D1" s="1246"/>
      <c r="E1" s="1246"/>
      <c r="F1" s="1246"/>
      <c r="G1" s="1246"/>
      <c r="H1" s="1246"/>
      <c r="I1" s="1246"/>
      <c r="J1" s="1246"/>
      <c r="K1" s="1246"/>
      <c r="L1" s="1246"/>
      <c r="M1" s="1246"/>
      <c r="N1" s="1246"/>
      <c r="O1" s="1246"/>
      <c r="P1" s="1246"/>
      <c r="Q1" s="1246"/>
      <c r="R1" s="1246"/>
      <c r="S1" s="1246"/>
      <c r="T1" s="1246"/>
    </row>
    <row r="2" spans="1:22" x14ac:dyDescent="0.35">
      <c r="B2" s="1392" t="s">
        <v>854</v>
      </c>
      <c r="C2" s="1392"/>
      <c r="D2" s="1392"/>
      <c r="E2" s="1392"/>
      <c r="F2" s="1392"/>
      <c r="G2" s="1392"/>
      <c r="H2" s="1392"/>
      <c r="I2" s="1392"/>
      <c r="J2" s="1392"/>
      <c r="K2" s="1392"/>
      <c r="L2" s="1392"/>
      <c r="M2" s="1392"/>
      <c r="N2" s="1392"/>
      <c r="O2" s="1392"/>
      <c r="P2" s="1392"/>
      <c r="Q2" s="1392"/>
      <c r="R2" s="1392"/>
      <c r="S2" s="1392"/>
      <c r="T2" s="1392"/>
    </row>
    <row r="3" spans="1:22" x14ac:dyDescent="0.35">
      <c r="B3" s="1392"/>
      <c r="C3" s="1392"/>
      <c r="D3" s="1392"/>
      <c r="E3" s="1392"/>
      <c r="F3" s="1392"/>
      <c r="G3" s="1392"/>
      <c r="H3" s="1392"/>
      <c r="I3" s="1392"/>
      <c r="J3" s="1392"/>
      <c r="K3" s="1392"/>
      <c r="L3" s="1392"/>
      <c r="M3" s="1392"/>
      <c r="N3" s="1392"/>
      <c r="O3" s="1392"/>
      <c r="P3" s="1392"/>
      <c r="Q3" s="1392"/>
      <c r="R3" s="1392"/>
      <c r="S3" s="1392"/>
      <c r="T3" s="1392"/>
    </row>
    <row r="4" spans="1:22" x14ac:dyDescent="0.35">
      <c r="B4" s="1392"/>
      <c r="C4" s="1392"/>
      <c r="D4" s="1392"/>
      <c r="E4" s="1392"/>
      <c r="F4" s="1392"/>
      <c r="G4" s="1392"/>
      <c r="H4" s="1392"/>
      <c r="I4" s="1392"/>
      <c r="J4" s="1392"/>
      <c r="K4" s="1392"/>
      <c r="L4" s="1392"/>
      <c r="M4" s="1392"/>
      <c r="N4" s="1392"/>
      <c r="O4" s="1392"/>
      <c r="P4" s="1392"/>
      <c r="Q4" s="1392"/>
      <c r="R4" s="1392"/>
      <c r="S4" s="1392"/>
      <c r="T4" s="1392"/>
    </row>
    <row r="5" spans="1:22" x14ac:dyDescent="0.35">
      <c r="B5" s="1392"/>
      <c r="C5" s="1392"/>
      <c r="D5" s="1392"/>
      <c r="E5" s="1392"/>
      <c r="F5" s="1392"/>
      <c r="G5" s="1392"/>
      <c r="H5" s="1392"/>
      <c r="I5" s="1392"/>
      <c r="J5" s="1392"/>
      <c r="K5" s="1392"/>
      <c r="L5" s="1392"/>
      <c r="M5" s="1392"/>
      <c r="N5" s="1392"/>
      <c r="O5" s="1392"/>
      <c r="P5" s="1392"/>
      <c r="Q5" s="1392"/>
      <c r="R5" s="1392"/>
      <c r="S5" s="1392"/>
      <c r="T5" s="1392"/>
    </row>
    <row r="6" spans="1:22" x14ac:dyDescent="0.35">
      <c r="B6" s="1392"/>
      <c r="C6" s="1392"/>
      <c r="D6" s="1392"/>
      <c r="E6" s="1392"/>
      <c r="F6" s="1392"/>
      <c r="G6" s="1392"/>
      <c r="H6" s="1392"/>
      <c r="I6" s="1392"/>
      <c r="J6" s="1392"/>
      <c r="K6" s="1392"/>
      <c r="L6" s="1392"/>
      <c r="M6" s="1392"/>
      <c r="N6" s="1392"/>
      <c r="O6" s="1392"/>
      <c r="P6" s="1392"/>
      <c r="Q6" s="1392"/>
      <c r="R6" s="1392"/>
      <c r="S6" s="1392"/>
      <c r="T6" s="1392"/>
    </row>
    <row r="7" spans="1:22" x14ac:dyDescent="0.35">
      <c r="J7" s="70"/>
      <c r="K7" s="70"/>
      <c r="M7" s="70"/>
    </row>
    <row r="9" spans="1:22" ht="14.9" customHeight="1" x14ac:dyDescent="0.35">
      <c r="A9" s="622"/>
      <c r="B9" s="1393" t="s">
        <v>303</v>
      </c>
      <c r="C9" s="1394"/>
      <c r="D9" s="996">
        <v>2018</v>
      </c>
      <c r="E9" s="1399">
        <v>2019</v>
      </c>
      <c r="F9" s="1400"/>
      <c r="G9" s="1400"/>
      <c r="H9" s="1401"/>
      <c r="I9" s="1397">
        <v>2020</v>
      </c>
      <c r="J9" s="1398"/>
      <c r="K9" s="1398"/>
      <c r="L9" s="1398"/>
      <c r="M9" s="1402">
        <v>2021</v>
      </c>
      <c r="N9" s="1403"/>
      <c r="O9" s="1403"/>
      <c r="P9" s="1404"/>
      <c r="Q9" s="1397">
        <v>2022</v>
      </c>
      <c r="R9" s="1405"/>
      <c r="S9" s="1405"/>
      <c r="T9" s="1406"/>
    </row>
    <row r="10" spans="1:22" x14ac:dyDescent="0.35">
      <c r="B10" s="1395"/>
      <c r="C10" s="1396"/>
      <c r="D10" s="1000" t="s">
        <v>281</v>
      </c>
      <c r="E10" s="1001" t="s">
        <v>282</v>
      </c>
      <c r="F10" s="659" t="s">
        <v>283</v>
      </c>
      <c r="G10" s="659" t="s">
        <v>238</v>
      </c>
      <c r="H10" s="1002" t="s">
        <v>281</v>
      </c>
      <c r="I10" s="1001" t="s">
        <v>282</v>
      </c>
      <c r="J10" s="659" t="s">
        <v>283</v>
      </c>
      <c r="K10" s="659" t="s">
        <v>238</v>
      </c>
      <c r="L10" s="659" t="s">
        <v>281</v>
      </c>
      <c r="M10" s="214" t="s">
        <v>282</v>
      </c>
      <c r="N10" s="215" t="s">
        <v>283</v>
      </c>
      <c r="O10" s="215" t="s">
        <v>238</v>
      </c>
      <c r="P10" s="218" t="s">
        <v>281</v>
      </c>
      <c r="Q10" s="659" t="s">
        <v>282</v>
      </c>
      <c r="R10" s="659" t="s">
        <v>283</v>
      </c>
      <c r="S10" s="659" t="s">
        <v>238</v>
      </c>
      <c r="T10" s="1002" t="s">
        <v>281</v>
      </c>
    </row>
    <row r="11" spans="1:22" ht="29.15" customHeight="1" x14ac:dyDescent="0.35">
      <c r="A11" s="1019"/>
      <c r="B11" s="1004" t="s">
        <v>139</v>
      </c>
      <c r="C11" s="999" t="s">
        <v>304</v>
      </c>
      <c r="D11" s="1013"/>
      <c r="E11" s="1014"/>
      <c r="F11" s="1014"/>
      <c r="G11" s="1014"/>
      <c r="H11" s="1014"/>
      <c r="I11" s="1014"/>
      <c r="J11" s="1006">
        <f>'Haver Pivoted'!GU48</f>
        <v>160.9</v>
      </c>
      <c r="K11" s="1006">
        <f>'Haver Pivoted'!GV48</f>
        <v>58.4</v>
      </c>
      <c r="L11" s="1006">
        <f>'Haver Pivoted'!GW48</f>
        <v>34.5</v>
      </c>
      <c r="M11" s="1006">
        <f>'Haver Pivoted'!GX48</f>
        <v>21.4</v>
      </c>
      <c r="N11" s="1006">
        <f>'Haver Pivoted'!GY48</f>
        <v>13.3</v>
      </c>
      <c r="O11" s="1006">
        <f>'Haver Pivoted'!GZ48</f>
        <v>18.7</v>
      </c>
      <c r="P11" s="1006">
        <f>'Haver Pivoted'!HA48</f>
        <v>32.200000000000003</v>
      </c>
      <c r="Q11" s="1006">
        <f>'Haver Pivoted'!HB48</f>
        <v>26.9</v>
      </c>
      <c r="R11" s="1006">
        <f>'Haver Pivoted'!HC48</f>
        <v>20</v>
      </c>
      <c r="S11" s="1012">
        <f>'Haver Pivoted'!HD48</f>
        <v>8.1</v>
      </c>
      <c r="T11" s="1007">
        <f>'Haver Pivoted'!HE48</f>
        <v>4.9000000000000004</v>
      </c>
    </row>
    <row r="12" spans="1:22" ht="29.15" customHeight="1" x14ac:dyDescent="0.35">
      <c r="A12" s="1019"/>
      <c r="B12" s="1017" t="s">
        <v>305</v>
      </c>
      <c r="C12" s="145" t="s">
        <v>306</v>
      </c>
      <c r="D12" s="1017"/>
      <c r="E12" s="145"/>
      <c r="F12" s="145"/>
      <c r="G12" s="145"/>
      <c r="H12" s="145"/>
      <c r="I12" s="145"/>
      <c r="J12" s="1008">
        <f>'Haver Pivoted'!GU58</f>
        <v>64.400000000000006</v>
      </c>
      <c r="K12" s="1008">
        <f>'Haver Pivoted'!GV58</f>
        <v>23.4</v>
      </c>
      <c r="L12" s="1008">
        <f>'Haver Pivoted'!GW58</f>
        <v>13.8</v>
      </c>
      <c r="M12" s="1008">
        <f>'Haver Pivoted'!GX58</f>
        <v>12</v>
      </c>
      <c r="N12" s="1008">
        <f>'Haver Pivoted'!GY58</f>
        <v>7.5</v>
      </c>
      <c r="O12" s="1008">
        <f>'Haver Pivoted'!GZ58</f>
        <v>10.5</v>
      </c>
      <c r="P12" s="1008">
        <f>'Haver Pivoted'!HA58</f>
        <v>18</v>
      </c>
      <c r="Q12" s="1008">
        <f>'Haver Pivoted'!HB58</f>
        <v>15</v>
      </c>
      <c r="R12" s="1008">
        <f>'Haver Pivoted'!HC58</f>
        <v>11.2</v>
      </c>
      <c r="S12" s="1011">
        <f>'Haver Pivoted'!HD58</f>
        <v>7.5</v>
      </c>
      <c r="T12" s="1015">
        <f>'Haver Pivoted'!HE58</f>
        <v>6.2</v>
      </c>
    </row>
    <row r="13" spans="1:22" ht="47.15" customHeight="1" x14ac:dyDescent="0.35">
      <c r="A13" s="1019"/>
      <c r="B13" s="1017" t="s">
        <v>307</v>
      </c>
      <c r="C13" s="145" t="s">
        <v>308</v>
      </c>
      <c r="D13" s="1017"/>
      <c r="E13" s="145"/>
      <c r="F13" s="145"/>
      <c r="G13" s="145"/>
      <c r="H13" s="145"/>
      <c r="I13" s="145"/>
      <c r="J13" s="1008">
        <f>'Haver Pivoted'!GU54</f>
        <v>96.6</v>
      </c>
      <c r="K13" s="1008">
        <f>'Haver Pivoted'!GV54</f>
        <v>35.1</v>
      </c>
      <c r="L13" s="1008">
        <f>'Haver Pivoted'!GW54</f>
        <v>20.7</v>
      </c>
      <c r="M13" s="1008">
        <f>'Haver Pivoted'!GX54</f>
        <v>15.4</v>
      </c>
      <c r="N13" s="1008">
        <f>'Haver Pivoted'!GY54</f>
        <v>9.6</v>
      </c>
      <c r="O13" s="1008">
        <f>'Haver Pivoted'!GZ54</f>
        <v>13.5</v>
      </c>
      <c r="P13" s="1008">
        <f>'Haver Pivoted'!HA54</f>
        <v>23.2</v>
      </c>
      <c r="Q13" s="1008">
        <f>'Haver Pivoted'!HB54</f>
        <v>19.3</v>
      </c>
      <c r="R13" s="1008">
        <f>'Haver Pivoted'!HC54</f>
        <v>14.4</v>
      </c>
      <c r="S13" s="1011">
        <f>'Haver Pivoted'!HD54</f>
        <v>5.9</v>
      </c>
      <c r="T13" s="1015">
        <f>'Haver Pivoted'!HE54</f>
        <v>3.6</v>
      </c>
      <c r="U13" s="1009" t="s">
        <v>309</v>
      </c>
      <c r="V13" s="997" t="s">
        <v>310</v>
      </c>
    </row>
    <row r="14" spans="1:22" x14ac:dyDescent="0.35">
      <c r="B14" s="41" t="s">
        <v>311</v>
      </c>
      <c r="C14" s="43"/>
      <c r="D14" s="41"/>
      <c r="E14" s="43"/>
      <c r="F14" s="43"/>
      <c r="G14" s="43"/>
      <c r="H14" s="43"/>
      <c r="I14" s="43"/>
      <c r="J14" s="1008">
        <f t="shared" ref="J14:T14" si="0">J13+J12+J11</f>
        <v>321.89999999999998</v>
      </c>
      <c r="K14" s="1008">
        <f t="shared" si="0"/>
        <v>116.9</v>
      </c>
      <c r="L14" s="1008">
        <f t="shared" si="0"/>
        <v>69</v>
      </c>
      <c r="M14" s="1008">
        <f t="shared" si="0"/>
        <v>48.8</v>
      </c>
      <c r="N14" s="1008">
        <f t="shared" si="0"/>
        <v>30.400000000000002</v>
      </c>
      <c r="O14" s="1008">
        <f t="shared" si="0"/>
        <v>42.7</v>
      </c>
      <c r="P14" s="1008">
        <f t="shared" si="0"/>
        <v>73.400000000000006</v>
      </c>
      <c r="Q14" s="1008">
        <f t="shared" si="0"/>
        <v>61.199999999999996</v>
      </c>
      <c r="R14" s="1008">
        <f t="shared" si="0"/>
        <v>45.6</v>
      </c>
      <c r="S14" s="1011">
        <f t="shared" si="0"/>
        <v>21.5</v>
      </c>
      <c r="T14" s="1015">
        <f t="shared" si="0"/>
        <v>14.700000000000001</v>
      </c>
      <c r="U14" s="1010">
        <v>236</v>
      </c>
      <c r="V14" s="1003">
        <f>SUM(J14:S14)/4</f>
        <v>207.85</v>
      </c>
    </row>
    <row r="15" spans="1:22" x14ac:dyDescent="0.35">
      <c r="B15" s="1018" t="s">
        <v>312</v>
      </c>
      <c r="C15" s="45"/>
      <c r="D15" s="1018"/>
      <c r="E15" s="45"/>
      <c r="F15" s="45"/>
      <c r="G15" s="45"/>
      <c r="H15" s="45"/>
      <c r="I15" s="45"/>
      <c r="J15" s="622">
        <f t="shared" ref="J15:N17" si="1">J11/J$14</f>
        <v>0.49984467225846541</v>
      </c>
      <c r="K15" s="622">
        <f t="shared" si="1"/>
        <v>0.49957228400342168</v>
      </c>
      <c r="L15" s="622">
        <f t="shared" si="1"/>
        <v>0.5</v>
      </c>
      <c r="M15" s="622">
        <f t="shared" si="1"/>
        <v>0.43852459016393441</v>
      </c>
      <c r="N15" s="622">
        <f t="shared" si="1"/>
        <v>0.4375</v>
      </c>
      <c r="O15" s="622">
        <f>O11/O$14</f>
        <v>0.43793911007025754</v>
      </c>
      <c r="P15" s="622">
        <f t="shared" ref="P15:T15" si="2">P11/P$14</f>
        <v>0.43869209809264303</v>
      </c>
      <c r="Q15" s="622">
        <f t="shared" si="2"/>
        <v>0.43954248366013071</v>
      </c>
      <c r="R15" s="622">
        <f t="shared" si="2"/>
        <v>0.43859649122807015</v>
      </c>
      <c r="S15" s="659">
        <f t="shared" si="2"/>
        <v>0.37674418604651161</v>
      </c>
      <c r="T15" s="1002">
        <f t="shared" si="2"/>
        <v>0.33333333333333331</v>
      </c>
    </row>
    <row r="16" spans="1:22" x14ac:dyDescent="0.35">
      <c r="B16" s="1018" t="s">
        <v>313</v>
      </c>
      <c r="C16" s="45"/>
      <c r="D16" s="1018"/>
      <c r="E16" s="45"/>
      <c r="F16" s="45"/>
      <c r="G16" s="45"/>
      <c r="H16" s="45"/>
      <c r="I16" s="45"/>
      <c r="J16" s="622">
        <f t="shared" si="1"/>
        <v>0.20006213109661389</v>
      </c>
      <c r="K16" s="622">
        <f t="shared" si="1"/>
        <v>0.20017108639863129</v>
      </c>
      <c r="L16" s="622">
        <f t="shared" si="1"/>
        <v>0.2</v>
      </c>
      <c r="M16" s="622">
        <f t="shared" si="1"/>
        <v>0.24590163934426232</v>
      </c>
      <c r="N16" s="622">
        <f t="shared" si="1"/>
        <v>0.24671052631578946</v>
      </c>
      <c r="O16" s="622">
        <f t="shared" ref="O16:T16" si="3">O12/O$14</f>
        <v>0.24590163934426229</v>
      </c>
      <c r="P16" s="622">
        <f t="shared" si="3"/>
        <v>0.24523160762942778</v>
      </c>
      <c r="Q16" s="622">
        <f t="shared" si="3"/>
        <v>0.24509803921568629</v>
      </c>
      <c r="R16" s="622">
        <f t="shared" si="3"/>
        <v>0.24561403508771928</v>
      </c>
      <c r="S16" s="659">
        <f t="shared" si="3"/>
        <v>0.34883720930232559</v>
      </c>
      <c r="T16" s="1002">
        <f t="shared" si="3"/>
        <v>0.42176870748299317</v>
      </c>
      <c r="U16" s="325"/>
    </row>
    <row r="17" spans="2:21" x14ac:dyDescent="0.35">
      <c r="B17" s="995" t="s">
        <v>314</v>
      </c>
      <c r="C17" s="998"/>
      <c r="D17" s="995"/>
      <c r="E17" s="998"/>
      <c r="F17" s="998"/>
      <c r="G17" s="998"/>
      <c r="H17" s="998"/>
      <c r="I17" s="998"/>
      <c r="J17" s="642">
        <f t="shared" si="1"/>
        <v>0.30009319664492079</v>
      </c>
      <c r="K17" s="642">
        <f t="shared" si="1"/>
        <v>0.30025662959794697</v>
      </c>
      <c r="L17" s="642">
        <f t="shared" si="1"/>
        <v>0.3</v>
      </c>
      <c r="M17" s="642">
        <f t="shared" si="1"/>
        <v>0.3155737704918033</v>
      </c>
      <c r="N17" s="642">
        <f t="shared" si="1"/>
        <v>0.31578947368421051</v>
      </c>
      <c r="O17" s="642">
        <f t="shared" ref="O17:T17" si="4">O13/O$14</f>
        <v>0.31615925058548006</v>
      </c>
      <c r="P17" s="642">
        <f t="shared" si="4"/>
        <v>0.3160762942779291</v>
      </c>
      <c r="Q17" s="642">
        <f t="shared" si="4"/>
        <v>0.31535947712418305</v>
      </c>
      <c r="R17" s="642">
        <f t="shared" si="4"/>
        <v>0.31578947368421051</v>
      </c>
      <c r="S17" s="1005">
        <f t="shared" si="4"/>
        <v>0.2744186046511628</v>
      </c>
      <c r="T17" s="1016">
        <f t="shared" si="4"/>
        <v>0.24489795918367346</v>
      </c>
    </row>
    <row r="18" spans="2:21" x14ac:dyDescent="0.35">
      <c r="B18" s="45"/>
      <c r="C18" s="45"/>
      <c r="D18" s="45"/>
      <c r="E18" s="45"/>
      <c r="F18" s="45"/>
      <c r="G18" s="45"/>
      <c r="H18" s="45"/>
      <c r="I18" s="45"/>
      <c r="J18" s="622"/>
      <c r="K18" s="622"/>
      <c r="L18" s="622"/>
      <c r="M18" s="622"/>
      <c r="N18" s="622"/>
      <c r="O18" s="622"/>
    </row>
    <row r="19" spans="2:21" ht="15.75" customHeight="1" x14ac:dyDescent="0.35"/>
    <row r="21" spans="2:21" ht="30" customHeight="1" x14ac:dyDescent="0.35"/>
    <row r="22" spans="2:21" ht="27" customHeight="1" x14ac:dyDescent="0.35">
      <c r="M22" s="56"/>
      <c r="N22" s="56"/>
      <c r="O22" s="56"/>
      <c r="P22" s="14"/>
      <c r="Q22" s="14"/>
      <c r="R22" s="14"/>
      <c r="S22" s="14"/>
      <c r="T22" s="14"/>
      <c r="U22" s="56"/>
    </row>
    <row r="23" spans="2:21" ht="31.5" customHeight="1" x14ac:dyDescent="0.35">
      <c r="M23" s="56"/>
      <c r="N23" s="56"/>
      <c r="O23" s="56"/>
      <c r="P23" s="14"/>
      <c r="Q23" s="14"/>
      <c r="R23" s="14"/>
      <c r="S23" s="14"/>
      <c r="T23" s="14"/>
      <c r="U23" s="56"/>
    </row>
    <row r="24" spans="2:21" ht="24.65" customHeight="1" x14ac:dyDescent="0.35">
      <c r="M24" s="56"/>
      <c r="N24" s="56"/>
      <c r="O24" s="56"/>
      <c r="P24" s="14"/>
      <c r="Q24" s="14"/>
      <c r="R24" s="14"/>
      <c r="S24" s="14"/>
      <c r="T24" s="14"/>
      <c r="U24" s="56"/>
    </row>
    <row r="25" spans="2:21" x14ac:dyDescent="0.35">
      <c r="M25" s="56"/>
      <c r="N25" s="56"/>
      <c r="O25" s="56"/>
      <c r="P25" s="56"/>
      <c r="Q25" s="56"/>
      <c r="R25" s="56"/>
      <c r="S25" s="56"/>
      <c r="T25" s="56"/>
      <c r="U25" s="56"/>
    </row>
    <row r="26" spans="2:21" x14ac:dyDescent="0.35">
      <c r="M26" s="56"/>
      <c r="N26" s="56"/>
      <c r="O26" s="56"/>
      <c r="P26" s="56"/>
      <c r="Q26" s="56"/>
      <c r="R26" s="56"/>
      <c r="S26" s="56"/>
      <c r="T26" s="56"/>
      <c r="U26" s="56"/>
    </row>
    <row r="27" spans="2:21" x14ac:dyDescent="0.35">
      <c r="M27" s="56"/>
      <c r="N27" s="56"/>
      <c r="O27" s="56"/>
      <c r="P27" s="56"/>
      <c r="Q27" s="56"/>
      <c r="R27" s="56"/>
      <c r="S27" s="56"/>
      <c r="T27" s="56"/>
      <c r="U27" s="56"/>
    </row>
    <row r="28" spans="2:21" x14ac:dyDescent="0.35">
      <c r="M28" s="56"/>
      <c r="N28" s="56"/>
      <c r="O28" s="56"/>
      <c r="P28" s="56"/>
      <c r="Q28" s="56"/>
      <c r="R28" s="56"/>
      <c r="S28" s="56"/>
      <c r="T28" s="56"/>
      <c r="U28" s="56"/>
    </row>
    <row r="29" spans="2:21" x14ac:dyDescent="0.35">
      <c r="M29" s="56"/>
      <c r="N29" s="56"/>
      <c r="O29" s="56"/>
      <c r="P29" s="56"/>
      <c r="Q29" s="56"/>
      <c r="R29" s="56"/>
      <c r="S29" s="56"/>
      <c r="T29" s="56"/>
      <c r="U29" s="56"/>
    </row>
    <row r="30" spans="2:21" x14ac:dyDescent="0.35">
      <c r="M30" s="56"/>
      <c r="N30" s="56"/>
      <c r="O30" s="56"/>
      <c r="P30" s="56"/>
      <c r="Q30" s="56"/>
      <c r="R30" s="56"/>
      <c r="S30" s="56"/>
      <c r="T30" s="56"/>
      <c r="U30" s="56"/>
    </row>
    <row r="31" spans="2:21" x14ac:dyDescent="0.35">
      <c r="M31" s="56"/>
      <c r="N31" s="56"/>
      <c r="O31" s="56"/>
      <c r="P31" s="56"/>
      <c r="Q31" s="56"/>
      <c r="R31" s="56"/>
      <c r="S31" s="56"/>
      <c r="T31" s="56"/>
      <c r="U31" s="56"/>
    </row>
    <row r="32" spans="2:21" x14ac:dyDescent="0.35">
      <c r="M32" s="56"/>
      <c r="N32" s="56"/>
      <c r="O32" s="56"/>
      <c r="P32" s="56"/>
      <c r="Q32" s="56"/>
      <c r="R32" s="56"/>
      <c r="S32" s="56"/>
      <c r="T32" s="56"/>
      <c r="U32" s="56"/>
    </row>
    <row r="33" spans="13:21" x14ac:dyDescent="0.35">
      <c r="M33" s="56"/>
      <c r="N33" s="56"/>
      <c r="O33" s="56"/>
      <c r="P33" s="56"/>
      <c r="Q33" s="56"/>
      <c r="R33" s="56"/>
      <c r="S33" s="56"/>
      <c r="T33" s="56"/>
      <c r="U33" s="56"/>
    </row>
    <row r="34" spans="13:21" x14ac:dyDescent="0.35">
      <c r="M34" s="56"/>
      <c r="N34" s="56"/>
      <c r="O34" s="56"/>
      <c r="P34" s="56"/>
      <c r="Q34" s="56"/>
      <c r="R34" s="56"/>
      <c r="S34" s="56"/>
      <c r="T34" s="56"/>
      <c r="U34" s="56"/>
    </row>
    <row r="35" spans="13:21" x14ac:dyDescent="0.35">
      <c r="M35" s="56"/>
      <c r="N35" s="56"/>
      <c r="O35" s="56"/>
      <c r="P35" s="56"/>
      <c r="Q35" s="56"/>
      <c r="R35" s="56"/>
      <c r="S35" s="56"/>
      <c r="T35" s="56"/>
      <c r="U35" s="56"/>
    </row>
    <row r="36" spans="13:21" x14ac:dyDescent="0.35">
      <c r="M36" s="56"/>
      <c r="N36" s="56"/>
      <c r="O36" s="56"/>
      <c r="P36" s="56"/>
      <c r="Q36" s="56"/>
      <c r="R36" s="56"/>
      <c r="S36" s="56"/>
      <c r="T36" s="56"/>
      <c r="U36" s="56"/>
    </row>
    <row r="37" spans="13:21" x14ac:dyDescent="0.35">
      <c r="M37" s="56"/>
      <c r="N37" s="56"/>
      <c r="O37" s="56"/>
      <c r="P37" s="56"/>
      <c r="Q37" s="56"/>
      <c r="R37" s="56"/>
      <c r="S37" s="56"/>
      <c r="T37" s="56"/>
      <c r="U37" s="56"/>
    </row>
    <row r="38" spans="13:21" x14ac:dyDescent="0.35">
      <c r="M38" s="56"/>
      <c r="N38" s="56"/>
      <c r="O38" s="56"/>
      <c r="P38" s="56"/>
      <c r="Q38" s="56"/>
      <c r="R38" s="56"/>
      <c r="S38" s="56"/>
      <c r="T38" s="56"/>
      <c r="U38" s="56"/>
    </row>
    <row r="39" spans="13:21" x14ac:dyDescent="0.35">
      <c r="M39" s="56"/>
      <c r="N39" s="56"/>
      <c r="O39" s="56"/>
      <c r="P39" s="56"/>
      <c r="Q39" s="56"/>
      <c r="R39" s="56"/>
      <c r="S39" s="56"/>
      <c r="T39" s="56"/>
      <c r="U39" s="56"/>
    </row>
    <row r="40" spans="13:21" x14ac:dyDescent="0.35">
      <c r="M40" s="56"/>
      <c r="N40" s="56"/>
      <c r="O40" s="56"/>
      <c r="P40" s="56"/>
      <c r="Q40" s="56"/>
      <c r="R40" s="56"/>
      <c r="S40" s="56"/>
      <c r="T40" s="56"/>
      <c r="U40" s="56"/>
    </row>
    <row r="41" spans="13:21" x14ac:dyDescent="0.35">
      <c r="M41" s="56"/>
      <c r="N41" s="56"/>
      <c r="O41" s="56"/>
      <c r="P41" s="56"/>
      <c r="Q41" s="56"/>
      <c r="R41" s="56"/>
      <c r="S41" s="56"/>
      <c r="T41" s="56"/>
      <c r="U41" s="56"/>
    </row>
    <row r="42" spans="13:21" x14ac:dyDescent="0.35">
      <c r="M42" s="56"/>
      <c r="N42" s="56"/>
      <c r="O42" s="56"/>
      <c r="P42" s="56"/>
      <c r="Q42" s="56"/>
      <c r="R42" s="56"/>
      <c r="S42" s="56"/>
      <c r="T42" s="56"/>
      <c r="U42" s="56"/>
    </row>
    <row r="43" spans="13:21" x14ac:dyDescent="0.35">
      <c r="M43" s="56"/>
      <c r="N43" s="56"/>
      <c r="O43" s="56"/>
      <c r="P43" s="56"/>
      <c r="Q43" s="56"/>
      <c r="R43" s="56"/>
      <c r="S43" s="56"/>
      <c r="T43" s="56"/>
      <c r="U43" s="56"/>
    </row>
    <row r="44" spans="13:21" x14ac:dyDescent="0.35">
      <c r="M44" s="56"/>
      <c r="N44" s="56"/>
      <c r="O44" s="56"/>
      <c r="P44" s="56"/>
      <c r="Q44" s="56"/>
      <c r="R44" s="56"/>
      <c r="S44" s="56"/>
      <c r="T44" s="56"/>
      <c r="U44" s="56"/>
    </row>
    <row r="45" spans="13:21" x14ac:dyDescent="0.35">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Q15" sqref="Q15"/>
    </sheetView>
  </sheetViews>
  <sheetFormatPr defaultColWidth="10.90625" defaultRowHeight="14.5" x14ac:dyDescent="0.35"/>
  <cols>
    <col min="1" max="1" width="6" customWidth="1"/>
    <col min="2" max="2" width="29.453125" customWidth="1"/>
    <col min="3" max="7" width="10.453125" customWidth="1"/>
  </cols>
  <sheetData>
    <row r="1" spans="1:29" x14ac:dyDescent="0.35">
      <c r="B1" s="1269" t="s">
        <v>56</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1:29" ht="14.9" customHeight="1" x14ac:dyDescent="0.35">
      <c r="B2" s="1270" t="s">
        <v>457</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1:29"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1:29"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1:29" x14ac:dyDescent="0.35">
      <c r="B5" s="395"/>
      <c r="C5" s="235"/>
      <c r="D5" s="235"/>
      <c r="E5" s="235"/>
      <c r="F5" s="235"/>
      <c r="G5" s="235"/>
      <c r="H5" s="235"/>
      <c r="I5" s="235"/>
      <c r="J5" s="235"/>
      <c r="K5" s="235"/>
      <c r="L5" s="235"/>
      <c r="M5" s="235"/>
      <c r="N5" s="235"/>
      <c r="O5" s="235"/>
      <c r="P5" s="235"/>
      <c r="Q5" s="235"/>
      <c r="R5" s="235"/>
      <c r="S5" s="235"/>
      <c r="T5" s="235"/>
      <c r="U5" s="235"/>
      <c r="V5" s="235"/>
      <c r="W5" s="235"/>
      <c r="X5" s="235"/>
      <c r="Y5" s="235"/>
    </row>
    <row r="6" spans="1:29" x14ac:dyDescent="0.35">
      <c r="B6" s="1274" t="s">
        <v>402</v>
      </c>
      <c r="C6" s="1275"/>
      <c r="D6" s="1287" t="s">
        <v>279</v>
      </c>
      <c r="E6" s="1288"/>
      <c r="F6" s="1288"/>
      <c r="G6" s="1288"/>
      <c r="H6" s="1288"/>
      <c r="I6" s="1288"/>
      <c r="J6" s="1288"/>
      <c r="K6" s="1288"/>
      <c r="L6" s="1288"/>
      <c r="M6" s="1288"/>
      <c r="N6" s="1288"/>
      <c r="O6" s="1288"/>
      <c r="P6" s="1288"/>
      <c r="Q6" s="1323"/>
      <c r="R6" s="1323"/>
      <c r="S6" s="1323"/>
      <c r="T6" s="1275"/>
      <c r="U6" s="1291" t="s">
        <v>280</v>
      </c>
      <c r="V6" s="1291"/>
      <c r="W6" s="1291"/>
      <c r="X6" s="1291"/>
      <c r="Y6" s="1291"/>
      <c r="Z6" s="1291"/>
      <c r="AA6" s="1291"/>
      <c r="AB6" s="1291"/>
      <c r="AC6" s="1292"/>
    </row>
    <row r="7" spans="1:29" x14ac:dyDescent="0.35">
      <c r="B7" s="1276"/>
      <c r="C7" s="1277"/>
      <c r="D7" s="282">
        <v>2018</v>
      </c>
      <c r="E7" s="1293">
        <v>2019</v>
      </c>
      <c r="F7" s="1294"/>
      <c r="G7" s="1294"/>
      <c r="H7" s="1295"/>
      <c r="I7" s="1293">
        <v>2020</v>
      </c>
      <c r="J7" s="1294"/>
      <c r="K7" s="1294"/>
      <c r="L7" s="1294"/>
      <c r="M7" s="1293">
        <v>2021</v>
      </c>
      <c r="N7" s="1294"/>
      <c r="O7" s="1294"/>
      <c r="P7" s="1294"/>
      <c r="Q7" s="1293">
        <v>2022</v>
      </c>
      <c r="R7" s="1301"/>
      <c r="S7" s="1301"/>
      <c r="T7" s="1295"/>
      <c r="U7" s="1281">
        <v>2023</v>
      </c>
      <c r="V7" s="1286"/>
      <c r="W7" s="1286"/>
      <c r="X7" s="1286"/>
      <c r="Y7" s="1280">
        <v>2024</v>
      </c>
      <c r="Z7" s="1286"/>
      <c r="AA7" s="1286"/>
      <c r="AB7" s="1285"/>
      <c r="AC7" s="290">
        <v>2025</v>
      </c>
    </row>
    <row r="8" spans="1:29" x14ac:dyDescent="0.35">
      <c r="B8" s="1278"/>
      <c r="C8" s="1279"/>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14" t="s">
        <v>282</v>
      </c>
      <c r="R8" s="215" t="s">
        <v>283</v>
      </c>
      <c r="S8" s="215" t="s">
        <v>238</v>
      </c>
      <c r="T8" s="218" t="s">
        <v>281</v>
      </c>
      <c r="U8" s="315" t="s">
        <v>282</v>
      </c>
      <c r="V8" s="315" t="s">
        <v>283</v>
      </c>
      <c r="W8" s="315" t="s">
        <v>238</v>
      </c>
      <c r="X8" s="315" t="s">
        <v>281</v>
      </c>
      <c r="Y8" s="314" t="s">
        <v>282</v>
      </c>
      <c r="Z8" s="342" t="s">
        <v>283</v>
      </c>
      <c r="AA8" s="315" t="s">
        <v>238</v>
      </c>
      <c r="AB8" s="424" t="s">
        <v>281</v>
      </c>
      <c r="AC8" s="1029" t="s">
        <v>282</v>
      </c>
    </row>
    <row r="9" spans="1:29" x14ac:dyDescent="0.35">
      <c r="B9" s="557" t="s">
        <v>56</v>
      </c>
      <c r="C9" s="543" t="s">
        <v>458</v>
      </c>
      <c r="D9" s="557"/>
      <c r="E9" s="724"/>
      <c r="F9" s="724"/>
      <c r="G9" s="724"/>
      <c r="H9" s="724"/>
      <c r="I9" s="724"/>
      <c r="J9" s="306">
        <f>'Haver Pivoted'!GU45</f>
        <v>1078.0999999999999</v>
      </c>
      <c r="K9" s="306">
        <f>'Haver Pivoted'!GV45</f>
        <v>15.6</v>
      </c>
      <c r="L9" s="306">
        <f>'Haver Pivoted'!GW45</f>
        <v>5</v>
      </c>
      <c r="M9" s="306">
        <f>'Haver Pivoted'!GX45</f>
        <v>1933.7</v>
      </c>
      <c r="N9" s="306">
        <f>'Haver Pivoted'!GY45</f>
        <v>290.10000000000002</v>
      </c>
      <c r="O9" s="306">
        <f>'Haver Pivoted'!GZ45</f>
        <v>38.9</v>
      </c>
      <c r="P9" s="306">
        <f>'Haver Pivoted'!HA45</f>
        <v>14.2</v>
      </c>
      <c r="Q9" s="306">
        <f>'Haver Pivoted'!HB45</f>
        <v>0</v>
      </c>
      <c r="R9" s="306">
        <f>'Haver Pivoted'!HC45</f>
        <v>0</v>
      </c>
      <c r="S9" s="286">
        <f>'Haver Pivoted'!HD45</f>
        <v>0</v>
      </c>
      <c r="T9" s="283">
        <f>'Haver Pivoted'!HE45</f>
        <v>0</v>
      </c>
      <c r="U9" s="285"/>
      <c r="V9" s="285"/>
      <c r="W9" s="285"/>
      <c r="X9" s="285"/>
      <c r="Y9" s="285"/>
      <c r="Z9" s="285"/>
      <c r="AA9" s="285"/>
      <c r="AB9" s="285"/>
      <c r="AC9" s="211"/>
    </row>
    <row r="10" spans="1:29" x14ac:dyDescent="0.35">
      <c r="B10" s="571" t="s">
        <v>214</v>
      </c>
      <c r="C10" s="253"/>
      <c r="D10" s="571"/>
      <c r="E10" s="253"/>
      <c r="F10" s="253"/>
      <c r="G10" s="253"/>
      <c r="H10" s="253"/>
      <c r="I10" s="253"/>
      <c r="J10" s="623"/>
      <c r="K10" s="623"/>
      <c r="L10" s="623"/>
      <c r="M10" s="623">
        <f t="shared" ref="M10:T10" si="0">M9-M11</f>
        <v>1348.1</v>
      </c>
      <c r="N10" s="623">
        <f t="shared" si="0"/>
        <v>290.10000000000002</v>
      </c>
      <c r="O10" s="623">
        <f t="shared" si="0"/>
        <v>38.9</v>
      </c>
      <c r="P10" s="623">
        <f t="shared" si="0"/>
        <v>14.2</v>
      </c>
      <c r="Q10" s="623">
        <f t="shared" si="0"/>
        <v>0</v>
      </c>
      <c r="R10" s="623">
        <f t="shared" si="0"/>
        <v>0</v>
      </c>
      <c r="S10" s="1027">
        <f t="shared" si="0"/>
        <v>0</v>
      </c>
      <c r="T10" s="1030">
        <f t="shared" si="0"/>
        <v>0</v>
      </c>
      <c r="U10" s="1025"/>
      <c r="V10" s="1025"/>
      <c r="W10" s="1025"/>
      <c r="X10" s="1025"/>
      <c r="Y10" s="1025"/>
      <c r="Z10" s="1025"/>
      <c r="AA10" s="1025"/>
      <c r="AB10" s="1025"/>
      <c r="AC10" s="1026"/>
    </row>
    <row r="11" spans="1:29" x14ac:dyDescent="0.35">
      <c r="B11" s="533" t="s">
        <v>459</v>
      </c>
      <c r="C11" s="534"/>
      <c r="D11" s="533"/>
      <c r="E11" s="534"/>
      <c r="F11" s="534"/>
      <c r="G11" s="534"/>
      <c r="H11" s="534"/>
      <c r="I11" s="534"/>
      <c r="J11" s="643">
        <f t="shared" ref="J11:L11" si="1">J9-J10</f>
        <v>1078.0999999999999</v>
      </c>
      <c r="K11" s="643">
        <f t="shared" si="1"/>
        <v>15.6</v>
      </c>
      <c r="L11" s="643">
        <f t="shared" si="1"/>
        <v>5</v>
      </c>
      <c r="M11" s="643">
        <f>SUM(C17:D17)/12*4</f>
        <v>585.6</v>
      </c>
      <c r="N11" s="643">
        <v>0</v>
      </c>
      <c r="O11" s="643">
        <v>0</v>
      </c>
      <c r="P11" s="643">
        <v>0</v>
      </c>
      <c r="Q11" s="643">
        <v>0</v>
      </c>
      <c r="R11" s="643">
        <v>0</v>
      </c>
      <c r="S11" s="643">
        <v>0</v>
      </c>
      <c r="T11" s="1028"/>
      <c r="U11" s="1032"/>
      <c r="V11" s="1032"/>
      <c r="W11" s="1032"/>
      <c r="X11" s="1032"/>
      <c r="Y11" s="1032"/>
      <c r="Z11" s="1032"/>
      <c r="AA11" s="1032"/>
      <c r="AB11" s="1032"/>
      <c r="AC11" s="1020"/>
    </row>
    <row r="12" spans="1:29" x14ac:dyDescent="0.3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56"/>
      <c r="AA12" s="56"/>
      <c r="AB12" s="56"/>
      <c r="AC12" s="56"/>
    </row>
    <row r="13" spans="1:29" x14ac:dyDescent="0.35">
      <c r="A13" s="72"/>
      <c r="B13" s="72"/>
      <c r="C13" s="72"/>
      <c r="D13" s="72"/>
      <c r="E13" s="72"/>
      <c r="F13" s="72"/>
      <c r="G13" s="72"/>
      <c r="H13" s="72"/>
      <c r="I13" s="72"/>
      <c r="J13" s="72"/>
      <c r="K13" s="72"/>
      <c r="L13" s="73"/>
      <c r="M13" s="73"/>
      <c r="N13" s="73"/>
    </row>
    <row r="14" spans="1:29" x14ac:dyDescent="0.35">
      <c r="A14" s="72"/>
      <c r="N14" s="56"/>
    </row>
    <row r="15" spans="1:29" x14ac:dyDescent="0.35">
      <c r="A15" s="622"/>
      <c r="B15" s="1407" t="s">
        <v>460</v>
      </c>
      <c r="C15" s="1397">
        <v>2021</v>
      </c>
      <c r="D15" s="1398"/>
      <c r="E15" s="1398"/>
      <c r="F15" s="1398"/>
      <c r="G15" s="67"/>
      <c r="K15" s="1368"/>
      <c r="L15" s="1368"/>
      <c r="M15" s="56"/>
      <c r="N15" s="56"/>
    </row>
    <row r="16" spans="1:29" x14ac:dyDescent="0.35">
      <c r="B16" s="1408"/>
      <c r="C16" s="1022" t="s">
        <v>234</v>
      </c>
      <c r="D16" s="1005" t="s">
        <v>235</v>
      </c>
      <c r="E16" s="1005" t="s">
        <v>236</v>
      </c>
      <c r="F16" s="1005" t="s">
        <v>237</v>
      </c>
      <c r="G16" s="1031"/>
      <c r="H16" s="622"/>
      <c r="I16" s="622"/>
      <c r="J16" s="622"/>
      <c r="K16" s="622"/>
      <c r="L16" s="622"/>
      <c r="M16" s="622"/>
      <c r="N16" s="622"/>
    </row>
    <row r="17" spans="2:29" ht="16.399999999999999" customHeight="1" x14ac:dyDescent="0.35">
      <c r="B17" s="1021" t="s">
        <v>461</v>
      </c>
      <c r="C17" s="1023">
        <v>1660.9</v>
      </c>
      <c r="D17" s="1023">
        <v>95.9</v>
      </c>
      <c r="E17" s="1023">
        <v>4044.2</v>
      </c>
      <c r="F17" s="1024">
        <v>688</v>
      </c>
      <c r="G17" s="113"/>
      <c r="H17" s="113"/>
      <c r="I17" s="113"/>
      <c r="J17" s="113"/>
      <c r="K17" s="113"/>
      <c r="L17" s="113"/>
      <c r="M17" s="235"/>
      <c r="N17" s="235"/>
    </row>
    <row r="18" spans="2:29" x14ac:dyDescent="0.35">
      <c r="B18" s="987" t="s">
        <v>462</v>
      </c>
      <c r="C18" s="235"/>
      <c r="D18" s="235"/>
      <c r="E18" s="235"/>
      <c r="F18" s="235"/>
      <c r="G18" s="235"/>
      <c r="H18" s="235"/>
      <c r="I18" s="235"/>
      <c r="J18" s="235"/>
      <c r="K18" s="235"/>
      <c r="L18" s="235"/>
      <c r="M18" s="235"/>
      <c r="N18" s="235"/>
    </row>
    <row r="19" spans="2:29" x14ac:dyDescent="0.35">
      <c r="B19" s="235"/>
      <c r="C19" s="235"/>
      <c r="D19" s="235"/>
      <c r="E19" s="235"/>
      <c r="F19" s="235"/>
      <c r="G19" s="235"/>
      <c r="H19" s="235"/>
      <c r="I19" s="235"/>
      <c r="J19" s="235"/>
      <c r="K19" s="235"/>
      <c r="L19" s="235"/>
      <c r="M19" s="235"/>
      <c r="N19" s="235"/>
    </row>
    <row r="20" spans="2:29" x14ac:dyDescent="0.35">
      <c r="B20" s="987"/>
      <c r="C20" s="235"/>
      <c r="D20" s="235"/>
      <c r="E20" s="235"/>
      <c r="F20" s="235"/>
      <c r="G20" s="235"/>
      <c r="H20" s="235"/>
      <c r="I20" s="235"/>
      <c r="J20" s="235"/>
      <c r="K20" s="235"/>
      <c r="L20" s="235"/>
      <c r="M20" s="235"/>
      <c r="N20" s="235"/>
    </row>
    <row r="21" spans="2:29" x14ac:dyDescent="0.3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56"/>
      <c r="AA21" s="56"/>
      <c r="AB21" s="56"/>
      <c r="AC21" s="56"/>
    </row>
    <row r="22" spans="2:29" x14ac:dyDescent="0.35">
      <c r="B22" s="72"/>
      <c r="C22" s="72"/>
      <c r="D22" s="72"/>
      <c r="E22" s="72"/>
      <c r="F22" s="72"/>
      <c r="G22" s="72"/>
      <c r="H22" s="72"/>
      <c r="I22" s="72"/>
      <c r="J22" s="72"/>
      <c r="K22" s="72"/>
      <c r="L22" s="73"/>
      <c r="M22" s="73"/>
      <c r="N22" s="73"/>
    </row>
    <row r="23" spans="2:29" x14ac:dyDescent="0.3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row>
    <row r="24" spans="2:29" x14ac:dyDescent="0.3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row>
    <row r="25" spans="2:29" x14ac:dyDescent="0.3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row>
    <row r="26" spans="2:29" x14ac:dyDescent="0.3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row>
    <row r="27" spans="2:29" x14ac:dyDescent="0.3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row>
    <row r="28" spans="2:29" x14ac:dyDescent="0.3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row>
    <row r="29" spans="2:29" x14ac:dyDescent="0.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row>
    <row r="30" spans="2:29" x14ac:dyDescent="0.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row>
    <row r="31" spans="2:29" x14ac:dyDescent="0.3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row>
    <row r="32" spans="2:29" x14ac:dyDescent="0.35">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row>
    <row r="33" spans="2:25" x14ac:dyDescent="0.3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row>
    <row r="34" spans="2:25" x14ac:dyDescent="0.3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row>
    <row r="35" spans="2:25" x14ac:dyDescent="0.3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row>
    <row r="36" spans="2:25" x14ac:dyDescent="0.3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row>
    <row r="37" spans="2:25" x14ac:dyDescent="0.3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row>
    <row r="38" spans="2:25" x14ac:dyDescent="0.3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row>
    <row r="39" spans="2:25" x14ac:dyDescent="0.3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row>
    <row r="40" spans="2:25" x14ac:dyDescent="0.3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row>
    <row r="41" spans="2:25" x14ac:dyDescent="0.3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row>
    <row r="42" spans="2:25" x14ac:dyDescent="0.3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row>
    <row r="43" spans="2:25" x14ac:dyDescent="0.3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row>
    <row r="44" spans="2:25" x14ac:dyDescent="0.3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row>
    <row r="45" spans="2:25" x14ac:dyDescent="0.3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row>
    <row r="46" spans="2:25" x14ac:dyDescent="0.3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row>
    <row r="47" spans="2:25" x14ac:dyDescent="0.3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row>
    <row r="48" spans="2:25" x14ac:dyDescent="0.3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row>
    <row r="49" spans="2:25" x14ac:dyDescent="0.3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row>
    <row r="50" spans="2:25" x14ac:dyDescent="0.3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row>
    <row r="51" spans="2:25" x14ac:dyDescent="0.3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row>
    <row r="52" spans="2:25" x14ac:dyDescent="0.3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90" zoomScaleNormal="90" workbookViewId="0">
      <selection activeCell="A51" sqref="A51:P53"/>
    </sheetView>
  </sheetViews>
  <sheetFormatPr defaultColWidth="10.90625" defaultRowHeight="14.5" x14ac:dyDescent="0.35"/>
  <cols>
    <col min="3" max="3" width="33.81640625" customWidth="1"/>
  </cols>
  <sheetData>
    <row r="3" spans="1:17" x14ac:dyDescent="0.35">
      <c r="A3" s="771" t="s">
        <v>519</v>
      </c>
      <c r="B3" s="235"/>
    </row>
    <row r="4" spans="1:17" x14ac:dyDescent="0.35">
      <c r="A4" s="1034" t="s">
        <v>520</v>
      </c>
      <c r="B4" s="1035"/>
      <c r="C4" s="1035"/>
    </row>
    <row r="7" spans="1:17" x14ac:dyDescent="0.35">
      <c r="A7" s="1410" t="s">
        <v>521</v>
      </c>
      <c r="B7" s="1411"/>
      <c r="C7" s="1411"/>
      <c r="D7" s="1411"/>
      <c r="E7" s="1411"/>
      <c r="F7" s="1411"/>
      <c r="G7" s="1411"/>
      <c r="H7" s="1411"/>
      <c r="I7" s="1411"/>
      <c r="J7" s="1411"/>
      <c r="K7" s="1411"/>
      <c r="L7" s="1411"/>
      <c r="M7" s="1411"/>
      <c r="N7" s="1411"/>
      <c r="O7" s="1411"/>
      <c r="P7" s="1411"/>
    </row>
    <row r="8" spans="1:17" x14ac:dyDescent="0.35">
      <c r="A8" s="356" t="s">
        <v>522</v>
      </c>
      <c r="B8" s="356"/>
      <c r="C8" s="356"/>
      <c r="D8" s="1039"/>
      <c r="E8" s="356"/>
      <c r="F8" s="356"/>
      <c r="G8" s="356"/>
      <c r="H8" s="356"/>
      <c r="I8" s="356"/>
      <c r="J8" s="356"/>
      <c r="K8" s="356"/>
      <c r="L8" s="356"/>
      <c r="M8" s="356"/>
      <c r="N8" s="356"/>
      <c r="O8" s="356"/>
      <c r="P8" s="356"/>
    </row>
    <row r="9" spans="1:17" x14ac:dyDescent="0.35">
      <c r="A9" s="235"/>
      <c r="B9" s="235"/>
      <c r="C9" s="235"/>
      <c r="D9" s="733"/>
      <c r="E9" s="235"/>
      <c r="F9" s="235"/>
      <c r="G9" s="235"/>
      <c r="H9" s="235"/>
      <c r="I9" s="235"/>
      <c r="J9" s="235"/>
      <c r="K9" s="235"/>
      <c r="L9" s="235"/>
      <c r="M9" s="235"/>
      <c r="N9" s="235"/>
      <c r="O9" s="235"/>
      <c r="P9" s="235"/>
    </row>
    <row r="10" spans="1:17" x14ac:dyDescent="0.35">
      <c r="A10" s="235"/>
      <c r="B10" s="235"/>
      <c r="C10" s="235"/>
      <c r="D10" s="733"/>
      <c r="E10" s="235"/>
      <c r="F10" s="235"/>
      <c r="G10" s="235"/>
      <c r="H10" s="235"/>
      <c r="I10" s="235"/>
      <c r="J10" s="235"/>
      <c r="K10" s="235"/>
      <c r="L10" s="235"/>
      <c r="M10" s="235"/>
      <c r="N10" s="235"/>
      <c r="O10" s="1412" t="s">
        <v>311</v>
      </c>
      <c r="P10" s="1412"/>
    </row>
    <row r="11" spans="1:17" x14ac:dyDescent="0.35">
      <c r="A11" s="235"/>
      <c r="B11" s="235"/>
      <c r="C11" s="704"/>
      <c r="D11" s="256"/>
      <c r="E11" s="704"/>
      <c r="F11" s="704"/>
      <c r="G11" s="704"/>
      <c r="H11" s="704"/>
      <c r="I11" s="704"/>
      <c r="J11" s="704"/>
      <c r="K11" s="704"/>
      <c r="L11" s="704"/>
      <c r="M11" s="704"/>
      <c r="N11" s="704"/>
      <c r="O11" s="1038" t="s">
        <v>523</v>
      </c>
      <c r="P11" s="1038" t="s">
        <v>523</v>
      </c>
    </row>
    <row r="12" spans="1:17" x14ac:dyDescent="0.35">
      <c r="A12" s="356"/>
      <c r="B12" s="356"/>
      <c r="C12" s="356"/>
      <c r="D12" s="1039">
        <v>2020</v>
      </c>
      <c r="E12" s="1039">
        <v>2021</v>
      </c>
      <c r="F12" s="1039">
        <v>2022</v>
      </c>
      <c r="G12" s="1039">
        <v>2023</v>
      </c>
      <c r="H12" s="1039">
        <v>2024</v>
      </c>
      <c r="I12" s="1039">
        <v>2025</v>
      </c>
      <c r="J12" s="1039">
        <v>2026</v>
      </c>
      <c r="K12" s="1039">
        <v>2027</v>
      </c>
      <c r="L12" s="1039">
        <v>2028</v>
      </c>
      <c r="M12" s="1039">
        <v>2029</v>
      </c>
      <c r="N12" s="1039">
        <v>2030</v>
      </c>
      <c r="O12" s="898">
        <v>2025</v>
      </c>
      <c r="P12" s="898">
        <v>2030</v>
      </c>
    </row>
    <row r="13" spans="1:17" x14ac:dyDescent="0.35">
      <c r="A13" s="704" t="s">
        <v>524</v>
      </c>
      <c r="B13" s="704"/>
      <c r="C13" s="704"/>
      <c r="D13" s="1043">
        <v>540.56299999999999</v>
      </c>
      <c r="E13" s="1043">
        <v>0</v>
      </c>
      <c r="F13" s="1043">
        <v>0</v>
      </c>
      <c r="G13" s="1043">
        <v>0</v>
      </c>
      <c r="H13" s="1043">
        <v>0</v>
      </c>
      <c r="I13" s="1043">
        <v>0</v>
      </c>
      <c r="J13" s="1043">
        <v>0</v>
      </c>
      <c r="K13" s="1043">
        <v>0</v>
      </c>
      <c r="L13" s="1043">
        <v>0</v>
      </c>
      <c r="M13" s="1043">
        <v>0</v>
      </c>
      <c r="N13" s="1043">
        <v>0</v>
      </c>
      <c r="O13" s="1043">
        <v>0</v>
      </c>
      <c r="P13" s="1043">
        <v>0</v>
      </c>
      <c r="Q13" t="s">
        <v>50</v>
      </c>
    </row>
    <row r="14" spans="1:17" x14ac:dyDescent="0.35">
      <c r="A14" s="235" t="s">
        <v>525</v>
      </c>
      <c r="B14" s="235"/>
      <c r="C14" s="235"/>
      <c r="D14" s="256"/>
      <c r="E14" s="704"/>
      <c r="F14" s="704"/>
      <c r="G14" s="704"/>
      <c r="H14" s="704"/>
      <c r="I14" s="704"/>
      <c r="J14" s="704"/>
      <c r="K14" s="704"/>
      <c r="L14" s="704"/>
      <c r="M14" s="704"/>
      <c r="N14" s="704"/>
      <c r="O14" s="704"/>
      <c r="P14" s="704"/>
      <c r="Q14" t="s">
        <v>526</v>
      </c>
    </row>
    <row r="15" spans="1:17" x14ac:dyDescent="0.35">
      <c r="A15" s="235"/>
      <c r="B15" s="235" t="s">
        <v>527</v>
      </c>
      <c r="C15" s="235"/>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04"/>
      <c r="B16" s="235" t="s">
        <v>528</v>
      </c>
      <c r="C16" s="704"/>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04"/>
      <c r="B17" s="235" t="s">
        <v>529</v>
      </c>
      <c r="C17" s="704"/>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04"/>
      <c r="B18" s="235" t="s">
        <v>530</v>
      </c>
      <c r="C18" s="704"/>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04"/>
      <c r="B19" s="235"/>
      <c r="C19" s="704"/>
      <c r="D19" s="256" t="s">
        <v>531</v>
      </c>
      <c r="E19" s="256" t="s">
        <v>531</v>
      </c>
      <c r="F19" s="256" t="s">
        <v>531</v>
      </c>
      <c r="G19" s="256" t="s">
        <v>531</v>
      </c>
      <c r="H19" s="256" t="s">
        <v>531</v>
      </c>
      <c r="I19" s="256" t="s">
        <v>531</v>
      </c>
      <c r="J19" s="256" t="s">
        <v>531</v>
      </c>
      <c r="K19" s="256" t="s">
        <v>531</v>
      </c>
      <c r="L19" s="256" t="s">
        <v>531</v>
      </c>
      <c r="M19" s="256" t="s">
        <v>531</v>
      </c>
      <c r="N19" s="256" t="s">
        <v>531</v>
      </c>
      <c r="O19" s="256" t="s">
        <v>531</v>
      </c>
      <c r="P19" s="256" t="s">
        <v>531</v>
      </c>
    </row>
    <row r="20" spans="1:17" x14ac:dyDescent="0.35">
      <c r="A20" s="704"/>
      <c r="B20" s="235"/>
      <c r="C20" s="704" t="s">
        <v>532</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04"/>
      <c r="B21" s="235"/>
      <c r="C21" s="704"/>
      <c r="D21" s="256"/>
      <c r="E21" s="256"/>
      <c r="F21" s="256"/>
      <c r="G21" s="256"/>
      <c r="H21" s="256"/>
      <c r="I21" s="256"/>
      <c r="J21" s="256"/>
      <c r="K21" s="256"/>
      <c r="L21" s="256"/>
      <c r="M21" s="256"/>
      <c r="N21" s="256"/>
      <c r="O21" s="256"/>
      <c r="P21" s="256"/>
    </row>
    <row r="22" spans="1:17" ht="17.149999999999999" customHeight="1" x14ac:dyDescent="0.35">
      <c r="A22" s="704" t="s">
        <v>533</v>
      </c>
      <c r="B22" s="235"/>
      <c r="C22" s="704"/>
      <c r="D22" s="256">
        <v>271.98399999999998</v>
      </c>
      <c r="E22" s="256">
        <v>9.327</v>
      </c>
      <c r="F22" s="256">
        <v>0</v>
      </c>
      <c r="G22" s="256">
        <v>0</v>
      </c>
      <c r="H22" s="256">
        <v>0</v>
      </c>
      <c r="I22" s="256">
        <v>0</v>
      </c>
      <c r="J22" s="256">
        <v>0</v>
      </c>
      <c r="K22" s="256">
        <v>0</v>
      </c>
      <c r="L22" s="256">
        <v>0</v>
      </c>
      <c r="M22" s="256">
        <v>0</v>
      </c>
      <c r="N22" s="256">
        <v>0</v>
      </c>
      <c r="O22" s="256">
        <v>9.327</v>
      </c>
      <c r="P22" s="256">
        <v>9.327</v>
      </c>
      <c r="Q22" t="s">
        <v>534</v>
      </c>
    </row>
    <row r="23" spans="1:17" x14ac:dyDescent="0.35">
      <c r="A23" s="704" t="s">
        <v>149</v>
      </c>
      <c r="B23" s="235"/>
      <c r="C23" s="235"/>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04" t="s">
        <v>535</v>
      </c>
      <c r="B24" s="235"/>
      <c r="C24" s="235"/>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536</v>
      </c>
    </row>
    <row r="25" spans="1:17" x14ac:dyDescent="0.35">
      <c r="A25" s="704" t="s">
        <v>537</v>
      </c>
      <c r="B25" s="235"/>
      <c r="C25" s="235"/>
      <c r="D25" s="256"/>
      <c r="E25" s="256"/>
      <c r="F25" s="256"/>
      <c r="G25" s="256"/>
      <c r="H25" s="256"/>
      <c r="I25" s="256"/>
      <c r="J25" s="256"/>
      <c r="K25" s="256"/>
      <c r="L25" s="256"/>
      <c r="M25" s="256"/>
      <c r="N25" s="256"/>
      <c r="O25" s="256"/>
      <c r="P25" s="256"/>
    </row>
    <row r="26" spans="1:17" x14ac:dyDescent="0.35">
      <c r="A26" s="704" t="s">
        <v>538</v>
      </c>
      <c r="B26" s="235"/>
      <c r="C26" s="235"/>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04" t="s">
        <v>539</v>
      </c>
      <c r="B27" s="235"/>
      <c r="C27" s="235"/>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04" t="s">
        <v>540</v>
      </c>
      <c r="B28" s="235"/>
      <c r="C28" s="235"/>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04" t="s">
        <v>541</v>
      </c>
      <c r="B29" s="235"/>
      <c r="C29" s="235"/>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542</v>
      </c>
    </row>
    <row r="30" spans="1:17" x14ac:dyDescent="0.35">
      <c r="A30" s="704" t="s">
        <v>543</v>
      </c>
      <c r="B30" s="235"/>
      <c r="C30" s="235"/>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04" t="s">
        <v>150</v>
      </c>
      <c r="B31" s="235"/>
      <c r="C31" s="235"/>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544</v>
      </c>
    </row>
    <row r="32" spans="1:17" x14ac:dyDescent="0.35">
      <c r="A32" s="704" t="s">
        <v>545</v>
      </c>
      <c r="B32" s="235"/>
      <c r="C32" s="235"/>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546</v>
      </c>
    </row>
    <row r="33" spans="1:16" x14ac:dyDescent="0.35">
      <c r="A33" s="704"/>
      <c r="B33" s="235"/>
      <c r="C33" s="235"/>
      <c r="D33" s="256"/>
      <c r="E33" s="256"/>
      <c r="F33" s="256"/>
      <c r="G33" s="256"/>
      <c r="H33" s="256"/>
      <c r="I33" s="256"/>
      <c r="J33" s="256"/>
      <c r="K33" s="256"/>
      <c r="L33" s="256"/>
      <c r="M33" s="256"/>
      <c r="N33" s="256"/>
      <c r="O33" s="256"/>
      <c r="P33" s="256"/>
    </row>
    <row r="34" spans="1:16" x14ac:dyDescent="0.35">
      <c r="A34" s="1037"/>
      <c r="B34" s="1037"/>
      <c r="C34" s="1037" t="s">
        <v>311</v>
      </c>
      <c r="D34" s="648">
        <v>1777.13</v>
      </c>
      <c r="E34" s="648">
        <v>307.48399999999998</v>
      </c>
      <c r="F34" s="648">
        <v>99.084999999999994</v>
      </c>
      <c r="G34" s="648">
        <v>20.696999999999999</v>
      </c>
      <c r="H34" s="648">
        <v>10.087999999999999</v>
      </c>
      <c r="I34" s="648">
        <v>6.1630000000000003</v>
      </c>
      <c r="J34" s="648">
        <v>4.7300000000000004</v>
      </c>
      <c r="K34" s="648">
        <v>4.415</v>
      </c>
      <c r="L34" s="648">
        <v>4.468</v>
      </c>
      <c r="M34" s="648">
        <v>14.403</v>
      </c>
      <c r="N34" s="648">
        <v>-31.518000000000001</v>
      </c>
      <c r="O34" s="648">
        <v>443.517</v>
      </c>
      <c r="P34" s="648">
        <v>440.01499999999999</v>
      </c>
    </row>
    <row r="35" spans="1:16" x14ac:dyDescent="0.35">
      <c r="A35" s="235"/>
      <c r="B35" s="235"/>
      <c r="C35" s="235"/>
      <c r="D35" s="1036"/>
      <c r="E35" s="482"/>
      <c r="F35" s="704"/>
      <c r="G35" s="704"/>
      <c r="H35" s="704"/>
      <c r="I35" s="704"/>
      <c r="J35" s="704"/>
      <c r="K35" s="704"/>
      <c r="L35" s="704"/>
      <c r="M35" s="704"/>
      <c r="N35" s="704"/>
      <c r="O35" s="704"/>
      <c r="P35" s="704"/>
    </row>
    <row r="36" spans="1:16" x14ac:dyDescent="0.35">
      <c r="A36" s="1040" t="s">
        <v>547</v>
      </c>
      <c r="B36" s="1040"/>
      <c r="C36" s="1040"/>
      <c r="D36" s="1041"/>
      <c r="E36" s="1040"/>
      <c r="F36" s="1040"/>
      <c r="G36" s="1040"/>
      <c r="H36" s="1040"/>
      <c r="I36" s="1040"/>
      <c r="J36" s="1040"/>
      <c r="K36" s="1040"/>
      <c r="L36" s="1040"/>
      <c r="M36" s="1040"/>
      <c r="N36" s="1040"/>
      <c r="O36" s="1040"/>
      <c r="P36" s="1040"/>
    </row>
    <row r="37" spans="1:16" x14ac:dyDescent="0.35">
      <c r="A37" s="1040"/>
      <c r="B37" s="1040"/>
      <c r="C37" s="1040"/>
      <c r="D37" s="1041"/>
      <c r="E37" s="1040"/>
      <c r="F37" s="1040"/>
      <c r="G37" s="1040"/>
      <c r="H37" s="1040"/>
      <c r="I37" s="1040"/>
      <c r="J37" s="1040"/>
      <c r="K37" s="1040"/>
      <c r="L37" s="1040"/>
      <c r="M37" s="1040"/>
      <c r="N37" s="1040"/>
      <c r="O37" s="1040"/>
      <c r="P37" s="1040"/>
    </row>
    <row r="38" spans="1:16" x14ac:dyDescent="0.35">
      <c r="A38" s="1415" t="s">
        <v>548</v>
      </c>
      <c r="B38" s="1415"/>
      <c r="C38" s="1415"/>
      <c r="D38" s="1415"/>
      <c r="E38" s="1415"/>
      <c r="F38" s="1415"/>
      <c r="G38" s="1415"/>
      <c r="H38" s="1415"/>
      <c r="I38" s="1415"/>
      <c r="J38" s="1415"/>
      <c r="K38" s="1415"/>
      <c r="L38" s="1415"/>
      <c r="M38" s="1415"/>
      <c r="N38" s="1415"/>
      <c r="O38" s="1415"/>
      <c r="P38" s="1415"/>
    </row>
    <row r="39" spans="1:16" x14ac:dyDescent="0.35">
      <c r="A39" s="1415"/>
      <c r="B39" s="1415"/>
      <c r="C39" s="1415"/>
      <c r="D39" s="1415"/>
      <c r="E39" s="1415"/>
      <c r="F39" s="1415"/>
      <c r="G39" s="1415"/>
      <c r="H39" s="1415"/>
      <c r="I39" s="1415"/>
      <c r="J39" s="1415"/>
      <c r="K39" s="1415"/>
      <c r="L39" s="1415"/>
      <c r="M39" s="1415"/>
      <c r="N39" s="1415"/>
      <c r="O39" s="1415"/>
      <c r="P39" s="1415"/>
    </row>
    <row r="40" spans="1:16" x14ac:dyDescent="0.35">
      <c r="A40" s="1415"/>
      <c r="B40" s="1415"/>
      <c r="C40" s="1415"/>
      <c r="D40" s="1415"/>
      <c r="E40" s="1415"/>
      <c r="F40" s="1415"/>
      <c r="G40" s="1415"/>
      <c r="H40" s="1415"/>
      <c r="I40" s="1415"/>
      <c r="J40" s="1415"/>
      <c r="K40" s="1415"/>
      <c r="L40" s="1415"/>
      <c r="M40" s="1415"/>
      <c r="N40" s="1415"/>
      <c r="O40" s="1415"/>
      <c r="P40" s="1415"/>
    </row>
    <row r="41" spans="1:16" x14ac:dyDescent="0.35">
      <c r="A41" s="1415"/>
      <c r="B41" s="1415"/>
      <c r="C41" s="1415"/>
      <c r="D41" s="1415"/>
      <c r="E41" s="1415"/>
      <c r="F41" s="1415"/>
      <c r="G41" s="1415"/>
      <c r="H41" s="1415"/>
      <c r="I41" s="1415"/>
      <c r="J41" s="1415"/>
      <c r="K41" s="1415"/>
      <c r="L41" s="1415"/>
      <c r="M41" s="1415"/>
      <c r="N41" s="1415"/>
      <c r="O41" s="1415"/>
      <c r="P41" s="1415"/>
    </row>
    <row r="42" spans="1:16" x14ac:dyDescent="0.35">
      <c r="A42" s="1415"/>
      <c r="B42" s="1415"/>
      <c r="C42" s="1415"/>
      <c r="D42" s="1415"/>
      <c r="E42" s="1415"/>
      <c r="F42" s="1415"/>
      <c r="G42" s="1415"/>
      <c r="H42" s="1415"/>
      <c r="I42" s="1415"/>
      <c r="J42" s="1415"/>
      <c r="K42" s="1415"/>
      <c r="L42" s="1415"/>
      <c r="M42" s="1415"/>
      <c r="N42" s="1415"/>
      <c r="O42" s="1415"/>
      <c r="P42" s="1415"/>
    </row>
    <row r="43" spans="1:16" x14ac:dyDescent="0.35">
      <c r="A43" s="241"/>
      <c r="B43" s="241"/>
      <c r="C43" s="241"/>
      <c r="D43" s="241"/>
      <c r="E43" s="241"/>
      <c r="F43" s="241"/>
      <c r="G43" s="241"/>
      <c r="H43" s="241"/>
      <c r="I43" s="241"/>
      <c r="J43" s="241"/>
      <c r="K43" s="241"/>
      <c r="L43" s="241"/>
      <c r="M43" s="241"/>
      <c r="N43" s="241"/>
      <c r="O43" s="241"/>
      <c r="P43" s="241"/>
    </row>
    <row r="44" spans="1:16" x14ac:dyDescent="0.35">
      <c r="A44" s="1304" t="s">
        <v>549</v>
      </c>
      <c r="B44" s="1304"/>
      <c r="C44" s="1304"/>
      <c r="D44" s="1304"/>
      <c r="E44" s="1304"/>
      <c r="F44" s="1304"/>
      <c r="G44" s="1304"/>
      <c r="H44" s="1304"/>
      <c r="I44" s="1304"/>
      <c r="J44" s="1304"/>
      <c r="K44" s="1304"/>
      <c r="L44" s="1304"/>
      <c r="M44" s="1304"/>
      <c r="N44" s="1304"/>
      <c r="O44" s="1304"/>
      <c r="P44" s="1304"/>
    </row>
    <row r="45" spans="1:16" x14ac:dyDescent="0.35">
      <c r="A45" s="1304"/>
      <c r="B45" s="1304"/>
      <c r="C45" s="1304"/>
      <c r="D45" s="1304"/>
      <c r="E45" s="1304"/>
      <c r="F45" s="1304"/>
      <c r="G45" s="1304"/>
      <c r="H45" s="1304"/>
      <c r="I45" s="1304"/>
      <c r="J45" s="1304"/>
      <c r="K45" s="1304"/>
      <c r="L45" s="1304"/>
      <c r="M45" s="1304"/>
      <c r="N45" s="1304"/>
      <c r="O45" s="1304"/>
      <c r="P45" s="1304"/>
    </row>
    <row r="46" spans="1:16" x14ac:dyDescent="0.35">
      <c r="A46" s="1304"/>
      <c r="B46" s="1304"/>
      <c r="C46" s="1304"/>
      <c r="D46" s="1304"/>
      <c r="E46" s="1304"/>
      <c r="F46" s="1304"/>
      <c r="G46" s="1304"/>
      <c r="H46" s="1304"/>
      <c r="I46" s="1304"/>
      <c r="J46" s="1304"/>
      <c r="K46" s="1304"/>
      <c r="L46" s="1304"/>
      <c r="M46" s="1304"/>
      <c r="N46" s="1304"/>
      <c r="O46" s="1304"/>
      <c r="P46" s="1304"/>
    </row>
    <row r="47" spans="1:16" x14ac:dyDescent="0.35">
      <c r="A47" s="1040"/>
      <c r="B47" s="1040"/>
      <c r="C47" s="1040"/>
      <c r="D47" s="1041"/>
      <c r="E47" s="1040"/>
      <c r="F47" s="1040"/>
      <c r="G47" s="1040"/>
      <c r="H47" s="1040"/>
      <c r="I47" s="1040"/>
      <c r="J47" s="1040"/>
      <c r="K47" s="1040"/>
      <c r="L47" s="1040"/>
      <c r="M47" s="1040"/>
      <c r="N47" s="1040"/>
      <c r="O47" s="1040"/>
      <c r="P47" s="1040"/>
    </row>
    <row r="48" spans="1:16" x14ac:dyDescent="0.35">
      <c r="A48" s="1413" t="s">
        <v>550</v>
      </c>
      <c r="B48" s="1414"/>
      <c r="C48" s="1414"/>
      <c r="D48" s="1414"/>
      <c r="E48" s="1414"/>
      <c r="F48" s="1414"/>
      <c r="G48" s="1414"/>
      <c r="H48" s="1414"/>
      <c r="I48" s="1414"/>
      <c r="J48" s="1414"/>
      <c r="K48" s="1414"/>
      <c r="L48" s="1414"/>
      <c r="M48" s="1414"/>
      <c r="N48" s="1414"/>
      <c r="O48" s="1414"/>
      <c r="P48" s="1414"/>
    </row>
    <row r="49" spans="1:16" x14ac:dyDescent="0.35">
      <c r="A49" s="1414"/>
      <c r="B49" s="1414"/>
      <c r="C49" s="1414"/>
      <c r="D49" s="1414"/>
      <c r="E49" s="1414"/>
      <c r="F49" s="1414"/>
      <c r="G49" s="1414"/>
      <c r="H49" s="1414"/>
      <c r="I49" s="1414"/>
      <c r="J49" s="1414"/>
      <c r="K49" s="1414"/>
      <c r="L49" s="1414"/>
      <c r="M49" s="1414"/>
      <c r="N49" s="1414"/>
      <c r="O49" s="1414"/>
      <c r="P49" s="1414"/>
    </row>
    <row r="50" spans="1:16" x14ac:dyDescent="0.35">
      <c r="A50" s="1040"/>
      <c r="B50" s="1040"/>
      <c r="C50" s="1040"/>
      <c r="D50" s="1041"/>
      <c r="E50" s="1040"/>
      <c r="F50" s="1040"/>
      <c r="G50" s="1040"/>
      <c r="H50" s="1040"/>
      <c r="I50" s="1040"/>
      <c r="J50" s="1040"/>
      <c r="K50" s="1040"/>
      <c r="L50" s="1040"/>
      <c r="M50" s="1040"/>
      <c r="N50" s="1040"/>
      <c r="O50" s="1040"/>
      <c r="P50" s="1040"/>
    </row>
    <row r="51" spans="1:16" x14ac:dyDescent="0.35">
      <c r="A51" s="1409" t="s">
        <v>551</v>
      </c>
      <c r="B51" s="1409"/>
      <c r="C51" s="1409"/>
      <c r="D51" s="1409"/>
      <c r="E51" s="1409"/>
      <c r="F51" s="1409"/>
      <c r="G51" s="1409"/>
      <c r="H51" s="1409"/>
      <c r="I51" s="1409"/>
      <c r="J51" s="1409"/>
      <c r="K51" s="1409"/>
      <c r="L51" s="1409"/>
      <c r="M51" s="1409"/>
      <c r="N51" s="1409"/>
      <c r="O51" s="1409"/>
      <c r="P51" s="1409"/>
    </row>
    <row r="52" spans="1:16" x14ac:dyDescent="0.35">
      <c r="A52" s="1409"/>
      <c r="B52" s="1409"/>
      <c r="C52" s="1409"/>
      <c r="D52" s="1409"/>
      <c r="E52" s="1409"/>
      <c r="F52" s="1409"/>
      <c r="G52" s="1409"/>
      <c r="H52" s="1409"/>
      <c r="I52" s="1409"/>
      <c r="J52" s="1409"/>
      <c r="K52" s="1409"/>
      <c r="L52" s="1409"/>
      <c r="M52" s="1409"/>
      <c r="N52" s="1409"/>
      <c r="O52" s="1409"/>
      <c r="P52" s="1409"/>
    </row>
    <row r="53" spans="1:16" x14ac:dyDescent="0.35">
      <c r="A53" s="1409"/>
      <c r="B53" s="1409"/>
      <c r="C53" s="1409"/>
      <c r="D53" s="1409"/>
      <c r="E53" s="1409"/>
      <c r="F53" s="1409"/>
      <c r="G53" s="1409"/>
      <c r="H53" s="1409"/>
      <c r="I53" s="1409"/>
      <c r="J53" s="1409"/>
      <c r="K53" s="1409"/>
      <c r="L53" s="1409"/>
      <c r="M53" s="1409"/>
      <c r="N53" s="1409"/>
      <c r="O53" s="1409"/>
      <c r="P53" s="1409"/>
    </row>
    <row r="54" spans="1:16" x14ac:dyDescent="0.35">
      <c r="A54" s="1042"/>
      <c r="B54" s="1042"/>
      <c r="C54" s="1042"/>
      <c r="D54" s="1033"/>
      <c r="E54" s="1042"/>
      <c r="F54" s="1042"/>
      <c r="G54" s="1042"/>
      <c r="H54" s="1042"/>
      <c r="I54" s="1042"/>
      <c r="J54" s="1042"/>
      <c r="K54" s="1042"/>
      <c r="L54" s="1042"/>
      <c r="M54" s="1042"/>
      <c r="N54" s="1042"/>
      <c r="O54" s="1042"/>
      <c r="P54" s="1042"/>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workbookViewId="0">
      <selection activeCell="M38" sqref="M38"/>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119" t="s">
        <v>1381</v>
      </c>
      <c r="D1" s="1122">
        <v>2022</v>
      </c>
      <c r="E1" s="1122">
        <v>2023</v>
      </c>
      <c r="F1" s="1122">
        <v>2024</v>
      </c>
      <c r="G1" s="1122">
        <v>2025</v>
      </c>
      <c r="H1" s="1122">
        <v>2026</v>
      </c>
      <c r="I1" s="1122">
        <v>2027</v>
      </c>
      <c r="J1" s="1122">
        <v>2028</v>
      </c>
      <c r="K1" s="1122">
        <v>2029</v>
      </c>
      <c r="L1" s="1122">
        <v>2030</v>
      </c>
      <c r="M1" s="1123">
        <v>2031</v>
      </c>
      <c r="N1" s="1124" t="s">
        <v>1183</v>
      </c>
      <c r="O1" s="1124" t="s">
        <v>1184</v>
      </c>
      <c r="P1" s="1109"/>
      <c r="Q1" s="1109"/>
      <c r="R1" s="1109"/>
      <c r="S1" s="1109"/>
    </row>
    <row r="2" spans="1:19" x14ac:dyDescent="0.35">
      <c r="C2" s="1416" t="s">
        <v>1382</v>
      </c>
      <c r="D2" s="1416"/>
      <c r="E2" s="1416"/>
      <c r="F2" s="1416"/>
      <c r="G2" s="1416"/>
      <c r="H2" s="1416"/>
      <c r="I2" s="1416"/>
      <c r="J2" s="1416"/>
      <c r="K2" s="1416"/>
      <c r="L2" s="1416"/>
      <c r="M2" s="1416"/>
      <c r="N2" s="1416"/>
      <c r="O2" s="1416"/>
      <c r="P2" s="1108"/>
      <c r="Q2" s="1108"/>
      <c r="R2" s="1108"/>
      <c r="S2" s="1108"/>
    </row>
    <row r="3" spans="1:19" x14ac:dyDescent="0.35">
      <c r="A3" s="56" t="s">
        <v>1192</v>
      </c>
      <c r="B3" s="56">
        <v>13601</v>
      </c>
      <c r="C3" s="56" t="s">
        <v>1383</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x14ac:dyDescent="0.35">
      <c r="A4" s="56" t="s">
        <v>1205</v>
      </c>
      <c r="B4" s="56">
        <v>10301</v>
      </c>
      <c r="C4" s="56" t="s">
        <v>1383</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x14ac:dyDescent="0.35">
      <c r="A5" s="56" t="s">
        <v>1207</v>
      </c>
      <c r="B5" s="56">
        <v>13802</v>
      </c>
      <c r="C5" s="56" t="s">
        <v>1383</v>
      </c>
      <c r="D5" s="56">
        <v>0</v>
      </c>
      <c r="E5" s="56">
        <v>55</v>
      </c>
      <c r="F5" s="56">
        <v>55</v>
      </c>
      <c r="G5" s="56">
        <v>55</v>
      </c>
      <c r="H5" s="56">
        <v>55</v>
      </c>
      <c r="I5" s="56">
        <v>55</v>
      </c>
      <c r="J5" s="56">
        <v>55</v>
      </c>
      <c r="K5" s="56">
        <v>55</v>
      </c>
      <c r="L5" s="56">
        <v>55</v>
      </c>
      <c r="M5" s="56">
        <v>55</v>
      </c>
      <c r="N5" s="56">
        <v>220</v>
      </c>
      <c r="O5" s="56">
        <v>495</v>
      </c>
      <c r="P5" s="56"/>
      <c r="Q5" s="56"/>
      <c r="R5" s="56"/>
      <c r="S5" s="56"/>
    </row>
    <row r="6" spans="1:19" x14ac:dyDescent="0.35">
      <c r="A6" s="56" t="s">
        <v>1209</v>
      </c>
      <c r="B6" s="56">
        <v>22005</v>
      </c>
      <c r="C6" s="56" t="s">
        <v>1383</v>
      </c>
      <c r="D6" s="56">
        <v>0</v>
      </c>
      <c r="E6" s="56">
        <v>19</v>
      </c>
      <c r="F6" s="56">
        <v>26</v>
      </c>
      <c r="G6" s="56">
        <v>27</v>
      </c>
      <c r="H6" s="56">
        <v>17</v>
      </c>
      <c r="I6" s="56">
        <v>7</v>
      </c>
      <c r="J6" s="56">
        <v>3</v>
      </c>
      <c r="K6" s="56">
        <v>1</v>
      </c>
      <c r="L6" s="56">
        <v>0</v>
      </c>
      <c r="M6" s="56">
        <v>0</v>
      </c>
      <c r="N6" s="56">
        <v>89</v>
      </c>
      <c r="O6" s="56">
        <v>100</v>
      </c>
      <c r="P6" s="56"/>
      <c r="Q6" s="56"/>
      <c r="R6" s="56"/>
      <c r="S6" s="56"/>
    </row>
    <row r="7" spans="1:19" x14ac:dyDescent="0.35">
      <c r="A7" s="56" t="s">
        <v>1195</v>
      </c>
      <c r="B7" s="56">
        <v>23001</v>
      </c>
      <c r="C7" s="56" t="s">
        <v>1383</v>
      </c>
      <c r="D7" s="56">
        <v>0</v>
      </c>
      <c r="E7" s="56">
        <v>35</v>
      </c>
      <c r="F7" s="56">
        <v>125</v>
      </c>
      <c r="G7" s="56">
        <v>170</v>
      </c>
      <c r="H7" s="56">
        <v>375</v>
      </c>
      <c r="I7" s="56">
        <v>470</v>
      </c>
      <c r="J7" s="56">
        <v>415</v>
      </c>
      <c r="K7" s="56">
        <v>280</v>
      </c>
      <c r="L7" s="56">
        <v>217</v>
      </c>
      <c r="M7" s="56">
        <v>58</v>
      </c>
      <c r="N7" s="56">
        <v>705</v>
      </c>
      <c r="O7" s="56">
        <v>2145</v>
      </c>
      <c r="P7" s="56"/>
      <c r="Q7" s="56"/>
      <c r="R7" s="56"/>
      <c r="S7" s="56"/>
    </row>
    <row r="8" spans="1:19" x14ac:dyDescent="0.35">
      <c r="A8" s="56" t="s">
        <v>1211</v>
      </c>
      <c r="B8" s="56">
        <v>23005</v>
      </c>
      <c r="C8" s="56" t="s">
        <v>1383</v>
      </c>
      <c r="D8" s="56">
        <v>0</v>
      </c>
      <c r="E8" s="56">
        <v>15</v>
      </c>
      <c r="F8" s="56">
        <v>15</v>
      </c>
      <c r="G8" s="56">
        <v>15</v>
      </c>
      <c r="H8" s="56">
        <v>10</v>
      </c>
      <c r="I8" s="56">
        <v>10</v>
      </c>
      <c r="J8" s="56">
        <v>10</v>
      </c>
      <c r="K8" s="56">
        <v>10</v>
      </c>
      <c r="L8" s="56">
        <v>10</v>
      </c>
      <c r="M8" s="56">
        <v>5</v>
      </c>
      <c r="N8" s="56">
        <v>55</v>
      </c>
      <c r="O8" s="56">
        <v>100</v>
      </c>
      <c r="P8" s="56"/>
      <c r="Q8" s="56"/>
      <c r="R8" s="56"/>
      <c r="S8" s="56"/>
    </row>
    <row r="9" spans="1:19" x14ac:dyDescent="0.35">
      <c r="A9" s="56" t="s">
        <v>1264</v>
      </c>
      <c r="B9" s="56">
        <v>23003</v>
      </c>
      <c r="C9" s="56" t="s">
        <v>1251</v>
      </c>
      <c r="D9" s="56">
        <v>0</v>
      </c>
      <c r="E9" s="56">
        <v>65</v>
      </c>
      <c r="F9" s="56">
        <v>150</v>
      </c>
      <c r="G9" s="56">
        <v>290</v>
      </c>
      <c r="H9" s="56">
        <v>290</v>
      </c>
      <c r="I9" s="56">
        <v>290</v>
      </c>
      <c r="J9" s="56">
        <v>285</v>
      </c>
      <c r="K9" s="56">
        <v>250</v>
      </c>
      <c r="L9" s="56">
        <v>220</v>
      </c>
      <c r="M9" s="56">
        <v>160</v>
      </c>
      <c r="N9" s="56">
        <v>795</v>
      </c>
      <c r="O9" s="56">
        <v>2000</v>
      </c>
      <c r="P9" s="56"/>
      <c r="Q9" s="56"/>
      <c r="R9" s="56"/>
      <c r="S9" s="56"/>
    </row>
    <row r="10" spans="1:19" x14ac:dyDescent="0.35">
      <c r="A10" s="56" t="s">
        <v>1292</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x14ac:dyDescent="0.35">
      <c r="A11" s="56" t="s">
        <v>1294</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x14ac:dyDescent="0.35">
      <c r="A12" s="56" t="s">
        <v>1296</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x14ac:dyDescent="0.35">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x14ac:dyDescent="0.35">
      <c r="A14" s="56" t="s">
        <v>1292</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x14ac:dyDescent="0.35">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x14ac:dyDescent="0.35">
      <c r="A16" s="56" t="s">
        <v>1299</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x14ac:dyDescent="0.35">
      <c r="A17" s="56" t="s">
        <v>1384</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x14ac:dyDescent="0.35">
      <c r="A18" s="56" t="s">
        <v>1301</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x14ac:dyDescent="0.35">
      <c r="A19" s="56" t="s">
        <v>1303</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x14ac:dyDescent="0.35">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x14ac:dyDescent="0.35">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x14ac:dyDescent="0.35">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x14ac:dyDescent="0.35">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x14ac:dyDescent="0.35">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x14ac:dyDescent="0.35">
      <c r="A25" s="56" t="s">
        <v>1305</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x14ac:dyDescent="0.35">
      <c r="A26" s="56" t="s">
        <v>1317</v>
      </c>
      <c r="B26" s="56">
        <v>12001</v>
      </c>
      <c r="C26" s="56" t="s">
        <v>1385</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x14ac:dyDescent="0.35">
      <c r="A27" s="56" t="s">
        <v>1319</v>
      </c>
      <c r="B27" s="56">
        <v>22003</v>
      </c>
      <c r="C27" s="56" t="s">
        <v>1385</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x14ac:dyDescent="0.35">
      <c r="A28" s="56" t="s">
        <v>1321</v>
      </c>
      <c r="B28" s="56">
        <v>22004</v>
      </c>
      <c r="C28" s="56" t="s">
        <v>1385</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x14ac:dyDescent="0.35">
      <c r="A29" s="14" t="s">
        <v>1386</v>
      </c>
      <c r="B29" s="56">
        <v>22007</v>
      </c>
      <c r="C29" s="56" t="s">
        <v>1385</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x14ac:dyDescent="0.35">
      <c r="A30" s="56" t="s">
        <v>1323</v>
      </c>
      <c r="B30" s="56">
        <v>23002</v>
      </c>
      <c r="C30" s="56" t="s">
        <v>1385</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x14ac:dyDescent="0.35">
      <c r="A31" s="56" t="s">
        <v>1314</v>
      </c>
      <c r="B31" s="56">
        <v>30002</v>
      </c>
      <c r="C31" s="56" t="s">
        <v>1385</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x14ac:dyDescent="0.35">
      <c r="A32" s="56" t="s">
        <v>1387</v>
      </c>
      <c r="B32" s="56">
        <v>13104</v>
      </c>
      <c r="C32" s="56" t="s">
        <v>1388</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x14ac:dyDescent="0.35">
      <c r="A33" s="56" t="s">
        <v>1389</v>
      </c>
      <c r="B33" s="56">
        <v>13105</v>
      </c>
      <c r="C33" s="56" t="s">
        <v>1388</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x14ac:dyDescent="0.35">
      <c r="A34" s="56" t="s">
        <v>1351</v>
      </c>
      <c r="B34" s="56">
        <v>13204</v>
      </c>
      <c r="C34" s="56" t="s">
        <v>1388</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x14ac:dyDescent="0.35">
      <c r="A35" s="56" t="s">
        <v>1390</v>
      </c>
      <c r="B35" s="56">
        <v>13502</v>
      </c>
      <c r="C35" s="56" t="s">
        <v>1388</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x14ac:dyDescent="0.35">
      <c r="A36" s="56" t="s">
        <v>1391</v>
      </c>
      <c r="B36" s="56">
        <v>13701</v>
      </c>
      <c r="C36" s="56" t="s">
        <v>1388</v>
      </c>
      <c r="D36" s="56">
        <v>0</v>
      </c>
      <c r="E36" s="56">
        <v>1</v>
      </c>
      <c r="F36" s="56">
        <v>1</v>
      </c>
      <c r="G36" s="56">
        <v>2</v>
      </c>
      <c r="H36" s="56">
        <v>2</v>
      </c>
      <c r="I36" s="56">
        <v>3</v>
      </c>
      <c r="J36" s="56">
        <v>3</v>
      </c>
      <c r="K36" s="56">
        <v>4</v>
      </c>
      <c r="L36" s="56">
        <v>5</v>
      </c>
      <c r="M36" s="56">
        <v>6</v>
      </c>
      <c r="N36" s="56">
        <v>6</v>
      </c>
      <c r="O36" s="56">
        <v>26</v>
      </c>
      <c r="P36" s="56"/>
      <c r="Q36" s="56"/>
      <c r="R36" s="56"/>
      <c r="S36" s="56"/>
    </row>
    <row r="37" spans="1:19" x14ac:dyDescent="0.35">
      <c r="A37" s="56" t="s">
        <v>1333</v>
      </c>
      <c r="B37" s="56">
        <v>21001</v>
      </c>
      <c r="C37" s="56" t="s">
        <v>1388</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x14ac:dyDescent="0.35">
      <c r="A38" s="56">
        <v>0</v>
      </c>
      <c r="B38" s="56">
        <v>21002</v>
      </c>
      <c r="C38" s="56" t="s">
        <v>1388</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x14ac:dyDescent="0.35">
      <c r="A39" s="56" t="s">
        <v>1345</v>
      </c>
      <c r="B39" s="56">
        <v>22002</v>
      </c>
      <c r="C39" s="56" t="s">
        <v>1388</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x14ac:dyDescent="0.35">
      <c r="A40" s="56" t="s">
        <v>1361</v>
      </c>
      <c r="B40" s="56">
        <v>30001</v>
      </c>
      <c r="C40" s="56" t="s">
        <v>1388</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x14ac:dyDescent="0.35">
      <c r="C42" s="1417" t="s">
        <v>1392</v>
      </c>
      <c r="D42" s="1417"/>
      <c r="E42" s="1417"/>
      <c r="F42" s="1417"/>
      <c r="G42" s="1417"/>
      <c r="H42" s="1417"/>
      <c r="I42" s="1417"/>
      <c r="J42" s="1417"/>
      <c r="K42" s="1417"/>
      <c r="L42" s="1417"/>
      <c r="M42" s="1417"/>
      <c r="N42" s="1417"/>
      <c r="O42" s="1417"/>
      <c r="P42" s="1108"/>
      <c r="Q42" s="1108"/>
      <c r="R42" s="1108"/>
      <c r="S42" s="1108"/>
    </row>
    <row r="43" spans="1:19" x14ac:dyDescent="0.35">
      <c r="A43" s="56" t="s">
        <v>1393</v>
      </c>
      <c r="B43" s="56">
        <v>10101</v>
      </c>
      <c r="C43" s="56" t="s">
        <v>1394</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x14ac:dyDescent="0.35">
      <c r="A44" s="56" t="s">
        <v>1395</v>
      </c>
      <c r="B44" s="56" t="s">
        <v>1396</v>
      </c>
      <c r="C44" s="56" t="s">
        <v>1394</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x14ac:dyDescent="0.35">
      <c r="A45" s="56" t="s">
        <v>1397</v>
      </c>
      <c r="B45" s="56">
        <v>13101</v>
      </c>
      <c r="C45" s="56" t="s">
        <v>1394</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x14ac:dyDescent="0.35">
      <c r="A46" s="56" t="s">
        <v>1398</v>
      </c>
      <c r="B46" s="56">
        <v>13102</v>
      </c>
      <c r="C46" s="56" t="s">
        <v>1394</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x14ac:dyDescent="0.35">
      <c r="A47" s="56" t="s">
        <v>1399</v>
      </c>
      <c r="B47" s="56">
        <v>13104</v>
      </c>
      <c r="C47" s="56" t="s">
        <v>1394</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x14ac:dyDescent="0.35">
      <c r="A48" s="56" t="s">
        <v>1400</v>
      </c>
      <c r="B48" s="56">
        <v>13105</v>
      </c>
      <c r="C48" s="56" t="s">
        <v>1394</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x14ac:dyDescent="0.35">
      <c r="A49" s="56" t="s">
        <v>1401</v>
      </c>
      <c r="B49" s="56">
        <v>13303</v>
      </c>
      <c r="C49" s="56" t="s">
        <v>1394</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x14ac:dyDescent="0.35">
      <c r="A50" s="56" t="s">
        <v>1402</v>
      </c>
      <c r="B50" s="56" t="s">
        <v>1403</v>
      </c>
      <c r="C50" s="56" t="s">
        <v>1394</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x14ac:dyDescent="0.35">
      <c r="A51" s="56" t="s">
        <v>1404</v>
      </c>
      <c r="B51" s="56">
        <v>13601</v>
      </c>
      <c r="C51" s="56" t="s">
        <v>1394</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x14ac:dyDescent="0.35">
      <c r="A52" s="56" t="s">
        <v>1405</v>
      </c>
      <c r="B52" s="56" t="s">
        <v>1406</v>
      </c>
      <c r="C52" s="56" t="s">
        <v>1394</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x14ac:dyDescent="0.35">
      <c r="A53" s="56" t="s">
        <v>1407</v>
      </c>
      <c r="B53" s="56">
        <v>13901</v>
      </c>
      <c r="C53" s="56" t="s">
        <v>1394</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x14ac:dyDescent="0.35">
      <c r="A54" s="56" t="s">
        <v>1408</v>
      </c>
      <c r="B54" s="56">
        <v>13902</v>
      </c>
      <c r="C54" s="56" t="s">
        <v>1394</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x14ac:dyDescent="0.35">
      <c r="A55" s="56" t="s">
        <v>1409</v>
      </c>
      <c r="B55" s="56" t="s">
        <v>1410</v>
      </c>
      <c r="C55" s="56" t="s">
        <v>1394</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x14ac:dyDescent="0.35">
      <c r="A56" s="56" t="s">
        <v>1411</v>
      </c>
      <c r="B56" s="56">
        <v>60113</v>
      </c>
      <c r="C56" s="56" t="s">
        <v>1394</v>
      </c>
      <c r="D56" s="56">
        <v>0</v>
      </c>
      <c r="E56" s="56">
        <v>0</v>
      </c>
      <c r="F56" s="56">
        <v>0</v>
      </c>
      <c r="G56" s="56">
        <v>0</v>
      </c>
      <c r="H56" s="56">
        <v>850</v>
      </c>
      <c r="I56" s="70">
        <v>1350</v>
      </c>
      <c r="J56" s="70">
        <v>1400</v>
      </c>
      <c r="K56" s="70">
        <v>1200</v>
      </c>
      <c r="L56" s="70">
        <v>1050</v>
      </c>
      <c r="M56" s="56">
        <v>500</v>
      </c>
      <c r="N56" s="56">
        <v>850</v>
      </c>
      <c r="O56" s="70">
        <v>6350</v>
      </c>
      <c r="P56" s="70"/>
      <c r="Q56" s="70"/>
      <c r="R56" s="70"/>
      <c r="S56" s="70"/>
    </row>
    <row r="57" spans="1:19" x14ac:dyDescent="0.35">
      <c r="A57" s="56" t="s">
        <v>1412</v>
      </c>
      <c r="B57" s="56">
        <v>10201</v>
      </c>
      <c r="C57" s="56" t="s">
        <v>1394</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x14ac:dyDescent="0.35">
      <c r="A58" s="56" t="s">
        <v>1419</v>
      </c>
      <c r="B58" s="56">
        <v>13304</v>
      </c>
      <c r="C58" s="56" t="s">
        <v>1424</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x14ac:dyDescent="0.35">
      <c r="A59" s="56" t="s">
        <v>1415</v>
      </c>
      <c r="B59" s="56" t="s">
        <v>1416</v>
      </c>
      <c r="C59" s="56" t="s">
        <v>1424</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x14ac:dyDescent="0.35">
      <c r="A60" s="1125" t="s">
        <v>1413</v>
      </c>
      <c r="B60" s="1126">
        <v>10301</v>
      </c>
      <c r="C60" s="1126" t="s">
        <v>239</v>
      </c>
      <c r="D60" s="1126">
        <v>0</v>
      </c>
      <c r="E60" s="1127">
        <v>2012</v>
      </c>
      <c r="F60" s="1127">
        <v>5106</v>
      </c>
      <c r="G60" s="1127">
        <v>11125</v>
      </c>
      <c r="H60" s="1127">
        <v>16116</v>
      </c>
      <c r="I60" s="1127">
        <v>21716</v>
      </c>
      <c r="J60" s="1127">
        <v>26314</v>
      </c>
      <c r="K60" s="1127">
        <v>31218</v>
      </c>
      <c r="L60" s="1127">
        <v>34877</v>
      </c>
      <c r="M60" s="1127">
        <v>31904</v>
      </c>
      <c r="N60" s="1127">
        <v>34359</v>
      </c>
      <c r="O60" s="1128">
        <v>180388</v>
      </c>
      <c r="P60" s="70"/>
      <c r="Q60" s="70"/>
      <c r="R60" s="70"/>
      <c r="S60" s="70"/>
    </row>
    <row r="61" spans="1:19" x14ac:dyDescent="0.35">
      <c r="A61" s="56" t="s">
        <v>1414</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x14ac:dyDescent="0.35">
      <c r="A62" s="56" t="s">
        <v>1417</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x14ac:dyDescent="0.35">
      <c r="A63" s="56" t="s">
        <v>1418</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x14ac:dyDescent="0.35">
      <c r="A64" s="56" t="s">
        <v>1420</v>
      </c>
      <c r="B64" s="56" t="s">
        <v>1421</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x14ac:dyDescent="0.35">
      <c r="D67" s="1129">
        <v>2022</v>
      </c>
      <c r="E67" s="1129">
        <v>2023</v>
      </c>
      <c r="F67" s="1129">
        <v>2024</v>
      </c>
      <c r="G67" s="1129">
        <v>2025</v>
      </c>
      <c r="H67" s="1129">
        <v>2026</v>
      </c>
      <c r="I67" s="1129">
        <v>2027</v>
      </c>
      <c r="J67" s="1129">
        <v>2028</v>
      </c>
      <c r="K67" s="1129">
        <v>2029</v>
      </c>
      <c r="L67" s="1129">
        <v>2030</v>
      </c>
      <c r="M67" s="1130">
        <v>2031</v>
      </c>
      <c r="N67" s="1109" t="s">
        <v>1363</v>
      </c>
      <c r="O67" s="1131" t="s">
        <v>1364</v>
      </c>
      <c r="P67" s="1109"/>
      <c r="Q67" s="1109"/>
      <c r="R67" s="1109"/>
      <c r="S67" s="1109"/>
    </row>
    <row r="68" spans="3:19" x14ac:dyDescent="0.35">
      <c r="C68" s="1418" t="s">
        <v>1422</v>
      </c>
      <c r="D68" s="1419"/>
      <c r="E68" s="1419"/>
      <c r="F68" s="1419"/>
      <c r="G68" s="1419"/>
      <c r="H68" s="1419"/>
      <c r="I68" s="1419"/>
      <c r="J68" s="1419"/>
      <c r="K68" s="1419"/>
      <c r="L68" s="1419"/>
      <c r="M68" s="1419"/>
      <c r="N68" s="1419"/>
      <c r="O68" s="1420"/>
      <c r="P68" s="1108"/>
      <c r="Q68" s="1108"/>
      <c r="R68" s="1108"/>
      <c r="S68" s="1108"/>
    </row>
    <row r="69" spans="3:19" x14ac:dyDescent="0.35">
      <c r="C69" s="67" t="s">
        <v>1383</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x14ac:dyDescent="0.35">
      <c r="C70" s="67" t="s">
        <v>1251</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7">
        <f t="shared" si="1"/>
        <v>795</v>
      </c>
      <c r="O70" s="225">
        <f t="shared" si="1"/>
        <v>2000</v>
      </c>
      <c r="P70" s="56"/>
      <c r="Q70" s="56"/>
      <c r="R70" s="56"/>
      <c r="S70" s="56"/>
    </row>
    <row r="71" spans="3:19" x14ac:dyDescent="0.35">
      <c r="C71" s="67"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7">
        <f t="shared" si="2"/>
        <v>3541</v>
      </c>
      <c r="O71" s="225">
        <f t="shared" si="2"/>
        <v>18248</v>
      </c>
      <c r="P71" s="56"/>
      <c r="Q71" s="56"/>
      <c r="R71" s="56"/>
      <c r="S71" s="56"/>
    </row>
    <row r="72" spans="3:19" x14ac:dyDescent="0.35">
      <c r="C72" s="67"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7">
        <f t="shared" si="3"/>
        <v>-15494</v>
      </c>
      <c r="O72" s="225">
        <f t="shared" si="3"/>
        <v>-248219</v>
      </c>
      <c r="P72" s="56"/>
      <c r="Q72" s="56"/>
      <c r="R72" s="56"/>
      <c r="S72" s="56"/>
    </row>
    <row r="73" spans="3:19" x14ac:dyDescent="0.35">
      <c r="C73" s="67" t="s">
        <v>1385</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7">
        <f t="shared" si="4"/>
        <v>37354</v>
      </c>
      <c r="O73" s="225">
        <f t="shared" si="4"/>
        <v>46384</v>
      </c>
      <c r="P73" s="56"/>
      <c r="Q73" s="56"/>
      <c r="R73" s="56"/>
      <c r="S73" s="56"/>
    </row>
    <row r="74" spans="3:19" x14ac:dyDescent="0.35">
      <c r="C74" s="67" t="s">
        <v>1388</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30">
        <f t="shared" si="5"/>
        <v>16463</v>
      </c>
      <c r="O74" s="226">
        <f t="shared" si="5"/>
        <v>55153</v>
      </c>
      <c r="P74" s="56"/>
      <c r="Q74" s="56"/>
      <c r="R74" s="56"/>
      <c r="S74" s="56"/>
    </row>
    <row r="75" spans="3:19" x14ac:dyDescent="0.35">
      <c r="C75" s="1418" t="s">
        <v>1423</v>
      </c>
      <c r="D75" s="1419"/>
      <c r="E75" s="1419"/>
      <c r="F75" s="1419"/>
      <c r="G75" s="1419"/>
      <c r="H75" s="1419"/>
      <c r="I75" s="1419"/>
      <c r="J75" s="1419"/>
      <c r="K75" s="1419"/>
      <c r="L75" s="1419"/>
      <c r="M75" s="1419"/>
      <c r="N75" s="1419"/>
      <c r="O75" s="1420"/>
      <c r="P75" s="1108"/>
      <c r="Q75" s="1108"/>
      <c r="R75" s="1108"/>
      <c r="S75" s="1108"/>
    </row>
    <row r="76" spans="3:19" x14ac:dyDescent="0.35">
      <c r="C76" s="67" t="s">
        <v>384</v>
      </c>
      <c r="D76" s="56">
        <v>0</v>
      </c>
      <c r="E76" s="56">
        <v>596</v>
      </c>
      <c r="F76" s="56">
        <v>1406</v>
      </c>
      <c r="G76" s="56">
        <v>1885</v>
      </c>
      <c r="H76" s="56">
        <v>2113</v>
      </c>
      <c r="I76" s="56">
        <v>2058</v>
      </c>
      <c r="J76" s="56">
        <v>1745</v>
      </c>
      <c r="K76" s="56">
        <v>1369</v>
      </c>
      <c r="L76" s="56">
        <v>970</v>
      </c>
      <c r="M76" s="56">
        <v>369</v>
      </c>
      <c r="N76" s="742">
        <v>6000</v>
      </c>
      <c r="O76" s="741">
        <v>12511</v>
      </c>
      <c r="P76" s="56"/>
      <c r="Q76" s="56"/>
      <c r="R76" s="56"/>
      <c r="S76" s="56"/>
    </row>
    <row r="77" spans="3:19" x14ac:dyDescent="0.35">
      <c r="C77" s="67" t="s">
        <v>134</v>
      </c>
      <c r="D77" s="56">
        <v>0</v>
      </c>
      <c r="E77" s="56">
        <v>754</v>
      </c>
      <c r="F77" s="56">
        <v>2328</v>
      </c>
      <c r="G77" s="56">
        <v>3782</v>
      </c>
      <c r="H77" s="56">
        <v>5158</v>
      </c>
      <c r="I77" s="56">
        <v>4539</v>
      </c>
      <c r="J77" s="56">
        <v>3010</v>
      </c>
      <c r="K77" s="56">
        <v>1730</v>
      </c>
      <c r="L77" s="56">
        <v>790</v>
      </c>
      <c r="M77" s="56">
        <v>244</v>
      </c>
      <c r="N77" s="67">
        <v>12022</v>
      </c>
      <c r="O77" s="225">
        <v>22335</v>
      </c>
      <c r="P77" s="56"/>
      <c r="Q77" s="56"/>
      <c r="R77" s="56"/>
      <c r="S77" s="56"/>
    </row>
    <row r="78" spans="3:19" x14ac:dyDescent="0.35">
      <c r="C78" s="67" t="s">
        <v>192</v>
      </c>
      <c r="D78" s="56">
        <v>0</v>
      </c>
      <c r="E78" s="56">
        <v>68</v>
      </c>
      <c r="F78" s="56">
        <v>1363</v>
      </c>
      <c r="G78" s="56">
        <v>2433</v>
      </c>
      <c r="H78" s="56">
        <v>2803</v>
      </c>
      <c r="I78" s="56">
        <v>1741</v>
      </c>
      <c r="J78" s="56">
        <v>570</v>
      </c>
      <c r="K78" s="56">
        <v>35</v>
      </c>
      <c r="L78" s="56">
        <v>0</v>
      </c>
      <c r="M78" s="56">
        <v>0</v>
      </c>
      <c r="N78" s="67">
        <v>6667</v>
      </c>
      <c r="O78" s="225">
        <v>9013</v>
      </c>
      <c r="P78" s="56"/>
      <c r="Q78" s="56"/>
      <c r="R78" s="56"/>
      <c r="S78" s="56"/>
    </row>
    <row r="79" spans="3:19" x14ac:dyDescent="0.35">
      <c r="C79" s="67" t="s">
        <v>52</v>
      </c>
      <c r="D79" s="56">
        <v>0</v>
      </c>
      <c r="E79" s="56">
        <v>81</v>
      </c>
      <c r="F79" s="56">
        <v>350</v>
      </c>
      <c r="G79" s="56">
        <v>1354</v>
      </c>
      <c r="H79" s="56">
        <v>2869</v>
      </c>
      <c r="I79" s="56">
        <v>3890</v>
      </c>
      <c r="J79" s="56">
        <v>3430</v>
      </c>
      <c r="K79" s="56">
        <v>2260</v>
      </c>
      <c r="L79" s="56">
        <v>1320</v>
      </c>
      <c r="M79" s="56">
        <v>665</v>
      </c>
      <c r="N79" s="67">
        <v>4654</v>
      </c>
      <c r="O79" s="225">
        <v>16219</v>
      </c>
      <c r="P79" s="56"/>
      <c r="Q79" s="56"/>
      <c r="R79" s="56"/>
      <c r="S79" s="56"/>
    </row>
    <row r="80" spans="3:19" x14ac:dyDescent="0.35">
      <c r="C80" s="67" t="s">
        <v>57</v>
      </c>
      <c r="D80" s="56">
        <v>0</v>
      </c>
      <c r="E80" s="56">
        <v>794</v>
      </c>
      <c r="F80" s="56">
        <v>3183</v>
      </c>
      <c r="G80" s="56">
        <v>5818</v>
      </c>
      <c r="H80" s="56">
        <v>7253</v>
      </c>
      <c r="I80" s="56">
        <v>5628</v>
      </c>
      <c r="J80" s="56">
        <v>1977</v>
      </c>
      <c r="K80" s="56">
        <v>229</v>
      </c>
      <c r="L80" s="56">
        <v>33</v>
      </c>
      <c r="M80" s="56">
        <v>1</v>
      </c>
      <c r="N80" s="67">
        <v>17048</v>
      </c>
      <c r="O80" s="225">
        <v>24916</v>
      </c>
      <c r="P80" s="56"/>
      <c r="Q80" s="56"/>
      <c r="R80" s="56"/>
      <c r="S80" s="56"/>
    </row>
    <row r="81" spans="1:20" x14ac:dyDescent="0.35">
      <c r="C81" s="67"/>
      <c r="N81" s="330"/>
      <c r="O81" s="226"/>
      <c r="P81" s="56"/>
      <c r="Q81" s="56"/>
      <c r="R81" s="56"/>
      <c r="S81" s="56"/>
    </row>
    <row r="82" spans="1:20" x14ac:dyDescent="0.35">
      <c r="C82" s="1418" t="s">
        <v>1392</v>
      </c>
      <c r="D82" s="1419"/>
      <c r="E82" s="1419"/>
      <c r="F82" s="1419"/>
      <c r="G82" s="1419"/>
      <c r="H82" s="1419"/>
      <c r="I82" s="1419"/>
      <c r="J82" s="1419"/>
      <c r="K82" s="1419"/>
      <c r="L82" s="1419"/>
      <c r="M82" s="1419"/>
      <c r="N82" s="1419"/>
      <c r="O82" s="1420"/>
      <c r="P82" s="1108"/>
      <c r="Q82" s="1108"/>
      <c r="R82" s="1108"/>
      <c r="S82" s="1108"/>
    </row>
    <row r="83" spans="1:20" x14ac:dyDescent="0.35">
      <c r="C83" s="67" t="s">
        <v>1394</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x14ac:dyDescent="0.35">
      <c r="C84" s="67" t="s">
        <v>482</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x14ac:dyDescent="0.35">
      <c r="C85" s="67"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x14ac:dyDescent="0.35">
      <c r="A87" s="47" t="s">
        <v>1374</v>
      </c>
    </row>
    <row r="88" spans="1:20" x14ac:dyDescent="0.35">
      <c r="A88" s="1044" t="s">
        <v>1181</v>
      </c>
      <c r="B88" s="1045" t="s">
        <v>1182</v>
      </c>
      <c r="C88" s="1046">
        <v>2022</v>
      </c>
      <c r="D88" s="1046">
        <v>2023</v>
      </c>
      <c r="E88" s="1046">
        <v>2024</v>
      </c>
      <c r="F88" s="1046">
        <v>2025</v>
      </c>
      <c r="G88" s="1046">
        <v>2026</v>
      </c>
      <c r="H88" s="1046">
        <v>2027</v>
      </c>
      <c r="I88" s="1046">
        <v>2028</v>
      </c>
      <c r="J88" s="1046">
        <v>2029</v>
      </c>
      <c r="K88" s="1046">
        <v>2030</v>
      </c>
      <c r="L88" s="1046">
        <v>2031</v>
      </c>
      <c r="M88" s="1047" t="s">
        <v>1183</v>
      </c>
      <c r="N88" s="1047" t="s">
        <v>1184</v>
      </c>
      <c r="O88" s="1048" t="s">
        <v>1185</v>
      </c>
      <c r="P88" s="1048"/>
      <c r="Q88" s="1048"/>
      <c r="R88" s="1048"/>
      <c r="S88" s="1048"/>
      <c r="T88" s="1049" t="s">
        <v>1186</v>
      </c>
    </row>
    <row r="89" spans="1:20" x14ac:dyDescent="0.35">
      <c r="A89" s="1050" t="s">
        <v>1187</v>
      </c>
      <c r="B89" s="1051" t="s">
        <v>1188</v>
      </c>
      <c r="C89" s="1052">
        <v>0</v>
      </c>
      <c r="D89" s="1052">
        <v>3</v>
      </c>
      <c r="E89" s="1052">
        <v>3</v>
      </c>
      <c r="F89" s="1052">
        <v>3</v>
      </c>
      <c r="G89" s="1052">
        <v>3</v>
      </c>
      <c r="H89" s="1052">
        <v>1</v>
      </c>
      <c r="I89" s="1052">
        <v>0</v>
      </c>
      <c r="J89" s="1052">
        <v>0</v>
      </c>
      <c r="K89" s="1052">
        <v>0</v>
      </c>
      <c r="L89" s="1052">
        <v>0</v>
      </c>
      <c r="M89" s="1052">
        <v>12</v>
      </c>
      <c r="N89" s="1052">
        <v>13</v>
      </c>
      <c r="O89" s="1053" t="s">
        <v>1189</v>
      </c>
      <c r="P89" s="1053"/>
      <c r="Q89" s="1053"/>
      <c r="R89" s="1053"/>
      <c r="S89" s="1053"/>
      <c r="T89" s="1054"/>
    </row>
    <row r="90" spans="1:20" ht="24" customHeight="1" x14ac:dyDescent="0.35">
      <c r="A90" s="1050" t="s">
        <v>1190</v>
      </c>
      <c r="B90" s="1051" t="s">
        <v>1191</v>
      </c>
      <c r="C90" s="1052">
        <v>0</v>
      </c>
      <c r="D90" s="1052">
        <v>65</v>
      </c>
      <c r="E90" s="1052">
        <v>1360</v>
      </c>
      <c r="F90" s="1052">
        <v>2430</v>
      </c>
      <c r="G90" s="1052">
        <v>2800</v>
      </c>
      <c r="H90" s="1052">
        <v>1740</v>
      </c>
      <c r="I90" s="1052">
        <v>570</v>
      </c>
      <c r="J90" s="1052">
        <v>35</v>
      </c>
      <c r="K90" s="1052">
        <v>0</v>
      </c>
      <c r="L90" s="1052">
        <v>0</v>
      </c>
      <c r="M90" s="1052">
        <v>6655</v>
      </c>
      <c r="N90" s="1052">
        <v>9000</v>
      </c>
      <c r="O90" s="1053" t="s">
        <v>1189</v>
      </c>
      <c r="P90" s="1053"/>
      <c r="Q90" s="1053"/>
      <c r="R90" s="1053"/>
      <c r="S90" s="1053"/>
      <c r="T90" s="1055"/>
    </row>
    <row r="91" spans="1:20" x14ac:dyDescent="0.35">
      <c r="A91" s="1056" t="s">
        <v>1192</v>
      </c>
      <c r="B91" s="1057" t="s">
        <v>1193</v>
      </c>
      <c r="C91" s="1058">
        <v>0</v>
      </c>
      <c r="D91" s="1058">
        <v>0</v>
      </c>
      <c r="E91" s="1058">
        <v>601</v>
      </c>
      <c r="F91" s="1059">
        <v>1038</v>
      </c>
      <c r="G91" s="1059">
        <v>1251</v>
      </c>
      <c r="H91" s="1059">
        <v>1431</v>
      </c>
      <c r="I91" s="1059">
        <v>1492</v>
      </c>
      <c r="J91" s="1059">
        <v>1530</v>
      </c>
      <c r="K91" s="1059">
        <v>1567</v>
      </c>
      <c r="L91" s="1059">
        <v>1606</v>
      </c>
      <c r="M91" s="1059">
        <v>2890</v>
      </c>
      <c r="N91" s="1059">
        <v>10516</v>
      </c>
      <c r="O91" s="1060" t="s">
        <v>1194</v>
      </c>
      <c r="P91" s="1060"/>
      <c r="Q91" s="1060"/>
      <c r="R91" s="1060"/>
      <c r="S91" s="1060"/>
      <c r="T91" s="1061"/>
    </row>
    <row r="92" spans="1:20" x14ac:dyDescent="0.35">
      <c r="A92" s="1062" t="s">
        <v>1195</v>
      </c>
      <c r="B92" s="1063" t="s">
        <v>1196</v>
      </c>
      <c r="C92" s="1129">
        <v>0</v>
      </c>
      <c r="D92" s="1129">
        <v>30</v>
      </c>
      <c r="E92" s="1129">
        <v>120</v>
      </c>
      <c r="F92" s="1129">
        <v>165</v>
      </c>
      <c r="G92" s="1129">
        <v>370</v>
      </c>
      <c r="H92" s="1129">
        <v>470</v>
      </c>
      <c r="I92" s="1129">
        <v>420</v>
      </c>
      <c r="J92" s="1129">
        <v>285</v>
      </c>
      <c r="K92" s="1129">
        <v>220</v>
      </c>
      <c r="L92" s="1130">
        <v>65</v>
      </c>
      <c r="M92" s="1129">
        <v>685</v>
      </c>
      <c r="N92" s="1064">
        <v>2145</v>
      </c>
      <c r="O92" s="1065" t="s">
        <v>1197</v>
      </c>
      <c r="P92" s="1110"/>
      <c r="Q92" s="1110"/>
      <c r="R92" s="1110"/>
      <c r="S92" s="1110"/>
      <c r="T92" s="1066" t="s">
        <v>1198</v>
      </c>
    </row>
    <row r="93" spans="1:20" x14ac:dyDescent="0.35">
      <c r="A93" s="1050" t="s">
        <v>1199</v>
      </c>
      <c r="B93" s="1051" t="s">
        <v>1200</v>
      </c>
      <c r="C93" s="1052">
        <v>0</v>
      </c>
      <c r="D93" s="1052">
        <v>2</v>
      </c>
      <c r="E93" s="1052">
        <v>10</v>
      </c>
      <c r="F93" s="1052">
        <v>25</v>
      </c>
      <c r="G93" s="1052">
        <v>28</v>
      </c>
      <c r="H93" s="1052">
        <v>17</v>
      </c>
      <c r="I93" s="1052">
        <v>11</v>
      </c>
      <c r="J93" s="1052">
        <v>4</v>
      </c>
      <c r="K93" s="1052">
        <v>2</v>
      </c>
      <c r="L93" s="1052">
        <v>1</v>
      </c>
      <c r="M93" s="1052">
        <v>65</v>
      </c>
      <c r="N93" s="1052">
        <v>100</v>
      </c>
      <c r="O93" s="1053" t="s">
        <v>1197</v>
      </c>
      <c r="P93" s="1053"/>
      <c r="Q93" s="1053"/>
      <c r="R93" s="1053"/>
      <c r="S93" s="1053"/>
      <c r="T93" s="1054" t="s">
        <v>1201</v>
      </c>
    </row>
    <row r="94" spans="1:20" ht="24" customHeight="1" x14ac:dyDescent="0.35">
      <c r="A94" s="1067" t="s">
        <v>1202</v>
      </c>
      <c r="B94" s="1068" t="s">
        <v>1203</v>
      </c>
      <c r="C94" s="1052">
        <v>0</v>
      </c>
      <c r="D94" s="1052">
        <v>36</v>
      </c>
      <c r="E94" s="1052">
        <v>30</v>
      </c>
      <c r="F94" s="1052">
        <v>14</v>
      </c>
      <c r="G94" s="1052">
        <v>7</v>
      </c>
      <c r="H94" s="1052">
        <v>0</v>
      </c>
      <c r="I94" s="1052">
        <v>0</v>
      </c>
      <c r="J94" s="1052">
        <v>0</v>
      </c>
      <c r="K94" s="1052">
        <v>0</v>
      </c>
      <c r="L94" s="1052">
        <v>0</v>
      </c>
      <c r="M94" s="1052">
        <v>87</v>
      </c>
      <c r="N94" s="1052">
        <v>87</v>
      </c>
      <c r="O94" s="1053" t="s">
        <v>1197</v>
      </c>
      <c r="P94" s="1053"/>
      <c r="Q94" s="1053"/>
      <c r="R94" s="1053"/>
      <c r="S94" s="1053"/>
      <c r="T94" s="1054" t="s">
        <v>1204</v>
      </c>
    </row>
    <row r="95" spans="1:20" x14ac:dyDescent="0.35">
      <c r="A95" s="1050" t="s">
        <v>1205</v>
      </c>
      <c r="B95" s="1051" t="s">
        <v>1206</v>
      </c>
      <c r="C95" s="1052">
        <v>0</v>
      </c>
      <c r="D95" s="1069">
        <v>5240</v>
      </c>
      <c r="E95" s="1069">
        <v>4175</v>
      </c>
      <c r="F95" s="1069">
        <v>5215</v>
      </c>
      <c r="G95" s="1069">
        <v>6493</v>
      </c>
      <c r="H95" s="1069">
        <v>7982</v>
      </c>
      <c r="I95" s="1069">
        <v>9820</v>
      </c>
      <c r="J95" s="1069">
        <v>11813</v>
      </c>
      <c r="K95" s="1069">
        <v>14269</v>
      </c>
      <c r="L95" s="1069">
        <v>14605</v>
      </c>
      <c r="M95" s="1069">
        <v>21123</v>
      </c>
      <c r="N95" s="1069">
        <v>79612</v>
      </c>
      <c r="O95" s="1070" t="s">
        <v>1197</v>
      </c>
      <c r="P95" s="1070"/>
      <c r="Q95" s="1070"/>
      <c r="R95" s="1070"/>
      <c r="S95" s="1070"/>
      <c r="T95" s="1054"/>
    </row>
    <row r="96" spans="1:20" x14ac:dyDescent="0.35">
      <c r="A96" s="1050" t="s">
        <v>1207</v>
      </c>
      <c r="B96" s="1051" t="s">
        <v>1208</v>
      </c>
      <c r="C96" s="1071">
        <v>0</v>
      </c>
      <c r="D96" s="1071">
        <v>55</v>
      </c>
      <c r="E96" s="1071">
        <v>55</v>
      </c>
      <c r="F96" s="1071">
        <v>55</v>
      </c>
      <c r="G96" s="1071">
        <v>55</v>
      </c>
      <c r="H96" s="1071">
        <v>55</v>
      </c>
      <c r="I96" s="1071">
        <v>55</v>
      </c>
      <c r="J96" s="1071">
        <v>55</v>
      </c>
      <c r="K96" s="1071">
        <v>55</v>
      </c>
      <c r="L96" s="1071">
        <v>55</v>
      </c>
      <c r="M96" s="1071">
        <v>220</v>
      </c>
      <c r="N96" s="1071">
        <v>495</v>
      </c>
      <c r="O96" s="1072" t="s">
        <v>1197</v>
      </c>
      <c r="P96" s="1072"/>
      <c r="Q96" s="1072"/>
      <c r="R96" s="1072"/>
      <c r="S96" s="1072"/>
      <c r="T96" s="1055"/>
    </row>
    <row r="97" spans="1:20" x14ac:dyDescent="0.35">
      <c r="A97" s="1050" t="s">
        <v>1209</v>
      </c>
      <c r="B97" s="1051" t="s">
        <v>1210</v>
      </c>
      <c r="C97" s="1052">
        <v>0</v>
      </c>
      <c r="D97" s="1052">
        <v>19</v>
      </c>
      <c r="E97" s="1052">
        <v>26</v>
      </c>
      <c r="F97" s="1052">
        <v>27</v>
      </c>
      <c r="G97" s="1052">
        <v>17</v>
      </c>
      <c r="H97" s="1052">
        <v>7</v>
      </c>
      <c r="I97" s="1052">
        <v>3</v>
      </c>
      <c r="J97" s="1052">
        <v>1</v>
      </c>
      <c r="K97" s="1052">
        <v>0</v>
      </c>
      <c r="L97" s="1052">
        <v>0</v>
      </c>
      <c r="M97" s="1052">
        <v>89</v>
      </c>
      <c r="N97" s="1052">
        <v>100</v>
      </c>
      <c r="O97" s="1070" t="s">
        <v>1197</v>
      </c>
      <c r="P97" s="1070"/>
      <c r="Q97" s="1070"/>
      <c r="R97" s="1070"/>
      <c r="S97" s="1070"/>
      <c r="T97" s="1055"/>
    </row>
    <row r="98" spans="1:20" x14ac:dyDescent="0.35">
      <c r="A98" s="1050" t="s">
        <v>1211</v>
      </c>
      <c r="B98" s="1051" t="s">
        <v>1212</v>
      </c>
      <c r="C98" s="1052">
        <v>0</v>
      </c>
      <c r="D98" s="1052">
        <v>15</v>
      </c>
      <c r="E98" s="1052">
        <v>15</v>
      </c>
      <c r="F98" s="1052">
        <v>15</v>
      </c>
      <c r="G98" s="1052">
        <v>10</v>
      </c>
      <c r="H98" s="1052">
        <v>10</v>
      </c>
      <c r="I98" s="1052">
        <v>10</v>
      </c>
      <c r="J98" s="1052">
        <v>10</v>
      </c>
      <c r="K98" s="1052">
        <v>10</v>
      </c>
      <c r="L98" s="1052">
        <v>5</v>
      </c>
      <c r="M98" s="1052">
        <v>55</v>
      </c>
      <c r="N98" s="1052">
        <v>100</v>
      </c>
      <c r="O98" s="1053" t="s">
        <v>1197</v>
      </c>
      <c r="P98" s="1053"/>
      <c r="Q98" s="1053"/>
      <c r="R98" s="1053"/>
      <c r="S98" s="1053"/>
      <c r="T98" s="1055"/>
    </row>
    <row r="99" spans="1:20" ht="36" customHeight="1" x14ac:dyDescent="0.35">
      <c r="A99" s="1050" t="s">
        <v>1213</v>
      </c>
      <c r="B99" s="1051" t="s">
        <v>1214</v>
      </c>
      <c r="C99" s="1073">
        <v>0</v>
      </c>
      <c r="D99" s="1073">
        <v>22</v>
      </c>
      <c r="E99" s="1073">
        <v>96</v>
      </c>
      <c r="F99" s="1073">
        <v>170</v>
      </c>
      <c r="G99" s="1073">
        <v>213</v>
      </c>
      <c r="H99" s="1073">
        <v>160</v>
      </c>
      <c r="I99" s="1073">
        <v>47</v>
      </c>
      <c r="J99" s="1073">
        <v>2</v>
      </c>
      <c r="K99" s="1073">
        <v>0</v>
      </c>
      <c r="L99" s="1073">
        <v>0</v>
      </c>
      <c r="M99" s="1073">
        <v>501</v>
      </c>
      <c r="N99" s="1073">
        <v>710</v>
      </c>
      <c r="O99" s="1052" t="s">
        <v>1197</v>
      </c>
      <c r="P99" s="1052"/>
      <c r="Q99" s="1052"/>
      <c r="R99" s="1052"/>
      <c r="S99" s="1052"/>
      <c r="T99" s="1055"/>
    </row>
    <row r="100" spans="1:20" ht="36" customHeight="1" x14ac:dyDescent="0.35">
      <c r="A100" s="1050" t="s">
        <v>1215</v>
      </c>
      <c r="B100" s="1051" t="s">
        <v>1216</v>
      </c>
      <c r="C100" s="1074"/>
      <c r="D100" s="1074">
        <v>90</v>
      </c>
      <c r="E100" s="1074">
        <v>260</v>
      </c>
      <c r="F100" s="1074">
        <v>427</v>
      </c>
      <c r="G100" s="1074">
        <v>560</v>
      </c>
      <c r="H100" s="1074">
        <v>572</v>
      </c>
      <c r="I100" s="1074">
        <v>534</v>
      </c>
      <c r="J100" s="1074">
        <v>275</v>
      </c>
      <c r="K100" s="1074">
        <v>162</v>
      </c>
      <c r="L100" s="1074">
        <v>70</v>
      </c>
      <c r="M100" s="1074">
        <v>1347</v>
      </c>
      <c r="N100" s="1074">
        <v>2960</v>
      </c>
      <c r="O100" s="1075" t="s">
        <v>1197</v>
      </c>
      <c r="P100" s="1075"/>
      <c r="Q100" s="1075"/>
      <c r="R100" s="1075"/>
      <c r="S100" s="1075"/>
      <c r="T100" s="1055"/>
    </row>
    <row r="101" spans="1:20" x14ac:dyDescent="0.35">
      <c r="A101" s="1050" t="s">
        <v>1217</v>
      </c>
      <c r="B101" s="1051" t="s">
        <v>1218</v>
      </c>
      <c r="C101" s="1052">
        <v>0</v>
      </c>
      <c r="D101" s="1052">
        <v>40</v>
      </c>
      <c r="E101" s="1052">
        <v>60</v>
      </c>
      <c r="F101" s="1052">
        <v>52</v>
      </c>
      <c r="G101" s="1052">
        <v>40</v>
      </c>
      <c r="H101" s="1052">
        <v>27</v>
      </c>
      <c r="I101" s="1052">
        <v>19</v>
      </c>
      <c r="J101" s="1052">
        <v>10</v>
      </c>
      <c r="K101" s="1052">
        <v>2</v>
      </c>
      <c r="L101" s="1052">
        <v>0</v>
      </c>
      <c r="M101" s="1052">
        <v>192</v>
      </c>
      <c r="N101" s="1052">
        <v>250</v>
      </c>
      <c r="O101" s="1053" t="s">
        <v>1197</v>
      </c>
      <c r="P101" s="1053"/>
      <c r="Q101" s="1053"/>
      <c r="R101" s="1053"/>
      <c r="S101" s="1053"/>
      <c r="T101" s="1055"/>
    </row>
    <row r="102" spans="1:20" x14ac:dyDescent="0.35">
      <c r="A102" s="1067" t="s">
        <v>1219</v>
      </c>
      <c r="B102" s="1068" t="s">
        <v>1220</v>
      </c>
      <c r="C102" s="1052">
        <v>0</v>
      </c>
      <c r="D102" s="1052">
        <v>49</v>
      </c>
      <c r="E102" s="1052">
        <v>62</v>
      </c>
      <c r="F102" s="1052">
        <v>62</v>
      </c>
      <c r="G102" s="1052">
        <v>62</v>
      </c>
      <c r="H102" s="1052">
        <v>63</v>
      </c>
      <c r="I102" s="1052">
        <v>63</v>
      </c>
      <c r="J102" s="1052">
        <v>63</v>
      </c>
      <c r="K102" s="1052">
        <v>64</v>
      </c>
      <c r="L102" s="1052">
        <v>12</v>
      </c>
      <c r="M102" s="1052">
        <v>235</v>
      </c>
      <c r="N102" s="1052">
        <v>500</v>
      </c>
      <c r="O102" s="1053" t="s">
        <v>1197</v>
      </c>
      <c r="P102" s="1053"/>
      <c r="Q102" s="1053"/>
      <c r="R102" s="1053"/>
      <c r="S102" s="1053"/>
      <c r="T102" s="1055"/>
    </row>
    <row r="103" spans="1:20" x14ac:dyDescent="0.35">
      <c r="A103" s="1050" t="s">
        <v>1221</v>
      </c>
      <c r="B103" s="1051" t="s">
        <v>1222</v>
      </c>
      <c r="C103" s="1052">
        <v>0</v>
      </c>
      <c r="D103" s="1052">
        <v>0</v>
      </c>
      <c r="E103" s="1052">
        <v>0</v>
      </c>
      <c r="F103" s="1052">
        <v>0</v>
      </c>
      <c r="G103" s="1052">
        <v>-20</v>
      </c>
      <c r="H103" s="1052">
        <v>-28</v>
      </c>
      <c r="I103" s="1052">
        <v>-28</v>
      </c>
      <c r="J103" s="1052">
        <v>-28</v>
      </c>
      <c r="K103" s="1052">
        <v>-28</v>
      </c>
      <c r="L103" s="1052">
        <v>-28</v>
      </c>
      <c r="M103" s="1052">
        <v>-20</v>
      </c>
      <c r="N103" s="1052">
        <v>-160</v>
      </c>
      <c r="O103" s="1053" t="s">
        <v>1197</v>
      </c>
      <c r="P103" s="1053"/>
      <c r="Q103" s="1053"/>
      <c r="R103" s="1053"/>
      <c r="S103" s="1053"/>
      <c r="T103" s="1055"/>
    </row>
    <row r="104" spans="1:20" ht="24" customHeight="1" x14ac:dyDescent="0.35">
      <c r="A104" s="1050" t="s">
        <v>1223</v>
      </c>
      <c r="B104" s="1051" t="s">
        <v>1224</v>
      </c>
      <c r="C104" s="1052">
        <v>0</v>
      </c>
      <c r="D104" s="1052">
        <v>-235</v>
      </c>
      <c r="E104" s="1052">
        <v>-44</v>
      </c>
      <c r="F104" s="1052">
        <v>-22</v>
      </c>
      <c r="G104" s="1052">
        <v>-26</v>
      </c>
      <c r="H104" s="1052">
        <v>-23</v>
      </c>
      <c r="I104" s="1052">
        <v>-19</v>
      </c>
      <c r="J104" s="1052">
        <v>-41</v>
      </c>
      <c r="K104" s="1052">
        <v>-35</v>
      </c>
      <c r="L104" s="1052">
        <v>-39</v>
      </c>
      <c r="M104" s="1052">
        <v>-327</v>
      </c>
      <c r="N104" s="1052">
        <v>-484</v>
      </c>
      <c r="O104" s="1053" t="s">
        <v>1197</v>
      </c>
      <c r="P104" s="1053"/>
      <c r="Q104" s="1053"/>
      <c r="R104" s="1053"/>
      <c r="S104" s="1053"/>
      <c r="T104" s="1055"/>
    </row>
    <row r="105" spans="1:20" x14ac:dyDescent="0.35">
      <c r="A105" s="1050" t="s">
        <v>1225</v>
      </c>
      <c r="B105" s="1051" t="s">
        <v>1226</v>
      </c>
      <c r="C105" s="1052">
        <v>0</v>
      </c>
      <c r="D105" s="1052">
        <v>7</v>
      </c>
      <c r="E105" s="1052">
        <v>8</v>
      </c>
      <c r="F105" s="1052">
        <v>6</v>
      </c>
      <c r="G105" s="1052">
        <v>2</v>
      </c>
      <c r="H105" s="1052">
        <v>1</v>
      </c>
      <c r="I105" s="1052">
        <v>0</v>
      </c>
      <c r="J105" s="1052">
        <v>0</v>
      </c>
      <c r="K105" s="1052">
        <v>0</v>
      </c>
      <c r="L105" s="1052">
        <v>0</v>
      </c>
      <c r="M105" s="1052">
        <v>23</v>
      </c>
      <c r="N105" s="1052">
        <v>24</v>
      </c>
      <c r="O105" s="1053" t="s">
        <v>1197</v>
      </c>
      <c r="P105" s="1053"/>
      <c r="Q105" s="1053"/>
      <c r="R105" s="1053"/>
      <c r="S105" s="1053"/>
      <c r="T105" s="1055"/>
    </row>
    <row r="106" spans="1:20" ht="36" customHeight="1" x14ac:dyDescent="0.35">
      <c r="A106" s="1050" t="s">
        <v>1227</v>
      </c>
      <c r="B106" s="1051" t="s">
        <v>1228</v>
      </c>
      <c r="C106" s="1052">
        <v>0</v>
      </c>
      <c r="D106" s="1052">
        <v>50</v>
      </c>
      <c r="E106" s="1052">
        <v>77</v>
      </c>
      <c r="F106" s="1052">
        <v>87</v>
      </c>
      <c r="G106" s="1052">
        <v>81</v>
      </c>
      <c r="H106" s="1052">
        <v>50</v>
      </c>
      <c r="I106" s="1052">
        <v>30</v>
      </c>
      <c r="J106" s="1052">
        <v>10</v>
      </c>
      <c r="K106" s="1052">
        <v>0</v>
      </c>
      <c r="L106" s="1052">
        <v>0</v>
      </c>
      <c r="M106" s="1052">
        <v>295</v>
      </c>
      <c r="N106" s="1052">
        <v>385</v>
      </c>
      <c r="O106" s="1053" t="s">
        <v>1197</v>
      </c>
      <c r="P106" s="1053"/>
      <c r="Q106" s="1053"/>
      <c r="R106" s="1053"/>
      <c r="S106" s="1053"/>
      <c r="T106" s="1055"/>
    </row>
    <row r="107" spans="1:20" x14ac:dyDescent="0.35">
      <c r="A107" s="1067" t="s">
        <v>1229</v>
      </c>
      <c r="B107" s="1068" t="s">
        <v>1230</v>
      </c>
      <c r="C107" s="1052">
        <v>0</v>
      </c>
      <c r="D107" s="1052">
        <v>3</v>
      </c>
      <c r="E107" s="1052">
        <v>2</v>
      </c>
      <c r="F107" s="1052">
        <v>0</v>
      </c>
      <c r="G107" s="1052">
        <v>0</v>
      </c>
      <c r="H107" s="1052">
        <v>0</v>
      </c>
      <c r="I107" s="1052">
        <v>0</v>
      </c>
      <c r="J107" s="1052">
        <v>0</v>
      </c>
      <c r="K107" s="1052">
        <v>0</v>
      </c>
      <c r="L107" s="1052">
        <v>0</v>
      </c>
      <c r="M107" s="1052">
        <v>5</v>
      </c>
      <c r="N107" s="1052">
        <v>5</v>
      </c>
      <c r="O107" s="1053" t="s">
        <v>1231</v>
      </c>
      <c r="P107" s="1053"/>
      <c r="Q107" s="1053"/>
      <c r="R107" s="1053"/>
      <c r="S107" s="1053"/>
      <c r="T107" s="1055"/>
    </row>
    <row r="108" spans="1:20" x14ac:dyDescent="0.35">
      <c r="A108" s="1067" t="s">
        <v>1232</v>
      </c>
      <c r="B108" s="1068" t="s">
        <v>1233</v>
      </c>
      <c r="C108" s="1052">
        <v>0</v>
      </c>
      <c r="D108" s="1052">
        <v>70</v>
      </c>
      <c r="E108" s="1052">
        <v>80</v>
      </c>
      <c r="F108" s="1052">
        <v>62</v>
      </c>
      <c r="G108" s="1052">
        <v>25</v>
      </c>
      <c r="H108" s="1052">
        <v>13</v>
      </c>
      <c r="I108" s="1052">
        <v>0</v>
      </c>
      <c r="J108" s="1052">
        <v>0</v>
      </c>
      <c r="K108" s="1052">
        <v>0</v>
      </c>
      <c r="L108" s="1052">
        <v>0</v>
      </c>
      <c r="M108" s="1052">
        <v>237</v>
      </c>
      <c r="N108" s="1052">
        <v>250</v>
      </c>
      <c r="O108" s="1053" t="s">
        <v>1231</v>
      </c>
      <c r="P108" s="1053"/>
      <c r="Q108" s="1053"/>
      <c r="R108" s="1053"/>
      <c r="S108" s="1053"/>
      <c r="T108" s="1055"/>
    </row>
    <row r="109" spans="1:20" ht="24" customHeight="1" x14ac:dyDescent="0.35">
      <c r="A109" s="1067" t="s">
        <v>1234</v>
      </c>
      <c r="B109" s="1068" t="s">
        <v>1235</v>
      </c>
      <c r="C109" s="1071">
        <v>0</v>
      </c>
      <c r="D109" s="1071">
        <v>33</v>
      </c>
      <c r="E109" s="1071">
        <v>54</v>
      </c>
      <c r="F109" s="1071">
        <v>37</v>
      </c>
      <c r="G109" s="1071">
        <v>16</v>
      </c>
      <c r="H109" s="1071">
        <v>0</v>
      </c>
      <c r="I109" s="1071">
        <v>0</v>
      </c>
      <c r="J109" s="1071">
        <v>0</v>
      </c>
      <c r="K109" s="1071">
        <v>0</v>
      </c>
      <c r="L109" s="1071">
        <v>0</v>
      </c>
      <c r="M109" s="1071">
        <v>140</v>
      </c>
      <c r="N109" s="1071">
        <v>140</v>
      </c>
      <c r="O109" s="1053" t="s">
        <v>1197</v>
      </c>
      <c r="P109" s="1053"/>
      <c r="Q109" s="1053"/>
      <c r="R109" s="1053"/>
      <c r="S109" s="1053"/>
      <c r="T109" s="1055"/>
    </row>
    <row r="110" spans="1:20" x14ac:dyDescent="0.35">
      <c r="A110" s="1050" t="s">
        <v>1236</v>
      </c>
      <c r="B110" s="1051" t="s">
        <v>1237</v>
      </c>
      <c r="C110" s="1052">
        <v>0</v>
      </c>
      <c r="D110" s="1052">
        <v>40</v>
      </c>
      <c r="E110" s="1052">
        <v>40</v>
      </c>
      <c r="F110" s="1052">
        <v>30</v>
      </c>
      <c r="G110" s="1052">
        <v>10</v>
      </c>
      <c r="H110" s="1052">
        <v>5</v>
      </c>
      <c r="I110" s="1052">
        <v>0</v>
      </c>
      <c r="J110" s="1052">
        <v>0</v>
      </c>
      <c r="K110" s="1052">
        <v>0</v>
      </c>
      <c r="L110" s="1052">
        <v>0</v>
      </c>
      <c r="M110" s="1052">
        <v>120</v>
      </c>
      <c r="N110" s="1052">
        <v>125</v>
      </c>
      <c r="O110" s="1053" t="s">
        <v>1197</v>
      </c>
      <c r="P110" s="1053"/>
      <c r="Q110" s="1053"/>
      <c r="R110" s="1053"/>
      <c r="S110" s="1053"/>
      <c r="T110" s="1055"/>
    </row>
    <row r="111" spans="1:20" x14ac:dyDescent="0.35">
      <c r="A111" s="1067" t="s">
        <v>1238</v>
      </c>
      <c r="B111" s="1051" t="s">
        <v>1239</v>
      </c>
      <c r="C111" s="1052">
        <v>0</v>
      </c>
      <c r="D111" s="1052">
        <v>5</v>
      </c>
      <c r="E111" s="1052">
        <v>8</v>
      </c>
      <c r="F111" s="1052">
        <v>8</v>
      </c>
      <c r="G111" s="1052">
        <v>8</v>
      </c>
      <c r="H111" s="1052">
        <v>4</v>
      </c>
      <c r="I111" s="1052">
        <v>0</v>
      </c>
      <c r="J111" s="1052">
        <v>0</v>
      </c>
      <c r="K111" s="1052">
        <v>0</v>
      </c>
      <c r="L111" s="1052">
        <v>0</v>
      </c>
      <c r="M111" s="1052">
        <v>29</v>
      </c>
      <c r="N111" s="1052">
        <v>33</v>
      </c>
      <c r="O111" s="1053" t="s">
        <v>1197</v>
      </c>
      <c r="P111" s="1053"/>
      <c r="Q111" s="1053"/>
      <c r="R111" s="1053"/>
      <c r="S111" s="1053"/>
      <c r="T111" s="1055"/>
    </row>
    <row r="112" spans="1:20" x14ac:dyDescent="0.35">
      <c r="A112" s="1050" t="s">
        <v>1240</v>
      </c>
      <c r="B112" s="1068" t="s">
        <v>1241</v>
      </c>
      <c r="C112" s="1052">
        <v>0</v>
      </c>
      <c r="D112" s="1052">
        <v>3</v>
      </c>
      <c r="E112" s="1052">
        <v>8</v>
      </c>
      <c r="F112" s="1052">
        <v>8</v>
      </c>
      <c r="G112" s="1052">
        <v>8</v>
      </c>
      <c r="H112" s="1052">
        <v>3</v>
      </c>
      <c r="I112" s="1052">
        <v>0</v>
      </c>
      <c r="J112" s="1052">
        <v>0</v>
      </c>
      <c r="K112" s="1052">
        <v>0</v>
      </c>
      <c r="L112" s="1052">
        <v>0</v>
      </c>
      <c r="M112" s="1052">
        <v>27</v>
      </c>
      <c r="N112" s="1052">
        <v>30</v>
      </c>
      <c r="O112" s="1053" t="s">
        <v>1197</v>
      </c>
      <c r="P112" s="1053"/>
      <c r="Q112" s="1053"/>
      <c r="R112" s="1053"/>
      <c r="S112" s="1053"/>
      <c r="T112" s="1055"/>
    </row>
    <row r="113" spans="1:20" ht="24" customHeight="1" x14ac:dyDescent="0.35">
      <c r="A113" s="1050" t="s">
        <v>1242</v>
      </c>
      <c r="B113" s="1051" t="s">
        <v>1243</v>
      </c>
      <c r="C113" s="1071">
        <v>0</v>
      </c>
      <c r="D113" s="1071">
        <v>165</v>
      </c>
      <c r="E113" s="1071">
        <v>165</v>
      </c>
      <c r="F113" s="1071">
        <v>230</v>
      </c>
      <c r="G113" s="1071">
        <v>340</v>
      </c>
      <c r="H113" s="1071">
        <v>490</v>
      </c>
      <c r="I113" s="1071">
        <v>540</v>
      </c>
      <c r="J113" s="1071">
        <v>640</v>
      </c>
      <c r="K113" s="1071">
        <v>475</v>
      </c>
      <c r="L113" s="1071">
        <v>330</v>
      </c>
      <c r="M113" s="1071">
        <v>900</v>
      </c>
      <c r="N113" s="1071">
        <v>3375</v>
      </c>
      <c r="O113" s="1070" t="s">
        <v>1197</v>
      </c>
      <c r="P113" s="1070"/>
      <c r="Q113" s="1070"/>
      <c r="R113" s="1070"/>
      <c r="S113" s="1070"/>
      <c r="T113" s="1055"/>
    </row>
    <row r="114" spans="1:20" ht="24" customHeight="1" x14ac:dyDescent="0.35">
      <c r="A114" s="1076" t="s">
        <v>1213</v>
      </c>
      <c r="B114" s="1077" t="s">
        <v>1244</v>
      </c>
      <c r="C114" s="1052">
        <v>0</v>
      </c>
      <c r="D114" s="1052">
        <v>195</v>
      </c>
      <c r="E114" s="1052">
        <v>448</v>
      </c>
      <c r="F114" s="1052">
        <v>641</v>
      </c>
      <c r="G114" s="1052">
        <v>716</v>
      </c>
      <c r="H114" s="1052">
        <v>681</v>
      </c>
      <c r="I114" s="1052">
        <v>528</v>
      </c>
      <c r="J114" s="1052">
        <v>421</v>
      </c>
      <c r="K114" s="1052">
        <v>323</v>
      </c>
      <c r="L114" s="1052">
        <v>23</v>
      </c>
      <c r="M114" s="1069">
        <v>2000</v>
      </c>
      <c r="N114" s="1069">
        <v>3976</v>
      </c>
      <c r="O114" s="1070" t="s">
        <v>1197</v>
      </c>
      <c r="P114" s="1070"/>
      <c r="Q114" s="1070"/>
      <c r="R114" s="1070"/>
      <c r="S114" s="1070"/>
      <c r="T114" s="1078"/>
    </row>
    <row r="115" spans="1:20" ht="30" customHeight="1" x14ac:dyDescent="0.35">
      <c r="A115" s="1062" t="s">
        <v>1245</v>
      </c>
      <c r="B115" s="1063" t="s">
        <v>1246</v>
      </c>
      <c r="C115" s="1079">
        <v>0</v>
      </c>
      <c r="D115" s="1079">
        <v>20</v>
      </c>
      <c r="E115" s="1079">
        <v>57</v>
      </c>
      <c r="F115" s="1079">
        <v>96</v>
      </c>
      <c r="G115" s="1079">
        <v>150</v>
      </c>
      <c r="H115" s="1079">
        <v>200</v>
      </c>
      <c r="I115" s="1079">
        <v>185</v>
      </c>
      <c r="J115" s="1079">
        <v>147</v>
      </c>
      <c r="K115" s="1079">
        <v>106</v>
      </c>
      <c r="L115" s="1079">
        <v>39</v>
      </c>
      <c r="M115" s="1079">
        <v>323</v>
      </c>
      <c r="N115" s="1080">
        <v>1000</v>
      </c>
      <c r="O115" s="1081" t="s">
        <v>1247</v>
      </c>
      <c r="P115" s="1111"/>
      <c r="Q115" s="1111"/>
      <c r="R115" s="1111"/>
      <c r="S115" s="1111"/>
      <c r="T115" s="1082" t="s">
        <v>1248</v>
      </c>
    </row>
    <row r="116" spans="1:20" x14ac:dyDescent="0.35">
      <c r="A116" s="1067" t="s">
        <v>1249</v>
      </c>
      <c r="B116" s="1051" t="s">
        <v>1250</v>
      </c>
      <c r="C116" s="1052">
        <v>0</v>
      </c>
      <c r="D116" s="1052">
        <v>15</v>
      </c>
      <c r="E116" s="1052">
        <v>53</v>
      </c>
      <c r="F116" s="1052">
        <v>57</v>
      </c>
      <c r="G116" s="1052">
        <v>48</v>
      </c>
      <c r="H116" s="1052">
        <v>43</v>
      </c>
      <c r="I116" s="1052">
        <v>17</v>
      </c>
      <c r="J116" s="1052">
        <v>2</v>
      </c>
      <c r="K116" s="1052">
        <v>0</v>
      </c>
      <c r="L116" s="1052">
        <v>0</v>
      </c>
      <c r="M116" s="1052">
        <v>173</v>
      </c>
      <c r="N116" s="1052">
        <v>235</v>
      </c>
      <c r="O116" s="1053" t="s">
        <v>1251</v>
      </c>
      <c r="P116" s="1053"/>
      <c r="Q116" s="1053"/>
      <c r="R116" s="1053"/>
      <c r="S116" s="1053"/>
      <c r="T116" s="1054" t="s">
        <v>1252</v>
      </c>
    </row>
    <row r="117" spans="1:20" x14ac:dyDescent="0.35">
      <c r="A117" s="1050" t="s">
        <v>1253</v>
      </c>
      <c r="B117" s="1051" t="s">
        <v>1254</v>
      </c>
      <c r="C117" s="1052">
        <v>0</v>
      </c>
      <c r="D117" s="1052">
        <v>15</v>
      </c>
      <c r="E117" s="1052">
        <v>53</v>
      </c>
      <c r="F117" s="1052">
        <v>57</v>
      </c>
      <c r="G117" s="1052">
        <v>48</v>
      </c>
      <c r="H117" s="1052">
        <v>43</v>
      </c>
      <c r="I117" s="1052">
        <v>17</v>
      </c>
      <c r="J117" s="1052">
        <v>2</v>
      </c>
      <c r="K117" s="1052">
        <v>0</v>
      </c>
      <c r="L117" s="1052">
        <v>0</v>
      </c>
      <c r="M117" s="1052">
        <v>173</v>
      </c>
      <c r="N117" s="1052">
        <v>235</v>
      </c>
      <c r="O117" s="1053" t="s">
        <v>1251</v>
      </c>
      <c r="P117" s="1053"/>
      <c r="Q117" s="1053"/>
      <c r="R117" s="1053"/>
      <c r="S117" s="1053"/>
      <c r="T117" s="1054" t="s">
        <v>1252</v>
      </c>
    </row>
    <row r="118" spans="1:20" x14ac:dyDescent="0.35">
      <c r="A118" s="1067" t="s">
        <v>1255</v>
      </c>
      <c r="B118" s="1068" t="s">
        <v>1256</v>
      </c>
      <c r="C118" s="1052">
        <v>0</v>
      </c>
      <c r="D118" s="1052">
        <v>42</v>
      </c>
      <c r="E118" s="1052">
        <v>18</v>
      </c>
      <c r="F118" s="1052">
        <v>0</v>
      </c>
      <c r="G118" s="1052">
        <v>0</v>
      </c>
      <c r="H118" s="1052">
        <v>0</v>
      </c>
      <c r="I118" s="1052">
        <v>0</v>
      </c>
      <c r="J118" s="1052">
        <v>0</v>
      </c>
      <c r="K118" s="1052">
        <v>0</v>
      </c>
      <c r="L118" s="1052">
        <v>0</v>
      </c>
      <c r="M118" s="1052">
        <v>60</v>
      </c>
      <c r="N118" s="1052">
        <v>60</v>
      </c>
      <c r="O118" s="1053" t="s">
        <v>1247</v>
      </c>
      <c r="P118" s="1053"/>
      <c r="Q118" s="1053"/>
      <c r="R118" s="1053"/>
      <c r="S118" s="1053"/>
      <c r="T118" s="1055" t="s">
        <v>1257</v>
      </c>
    </row>
    <row r="119" spans="1:20" x14ac:dyDescent="0.35">
      <c r="A119" s="1050" t="s">
        <v>1258</v>
      </c>
      <c r="B119" s="1051" t="s">
        <v>1259</v>
      </c>
      <c r="C119" s="1052">
        <v>0</v>
      </c>
      <c r="D119" s="1052">
        <v>2</v>
      </c>
      <c r="E119" s="1052">
        <v>13</v>
      </c>
      <c r="F119" s="1052">
        <v>26</v>
      </c>
      <c r="G119" s="1052">
        <v>30</v>
      </c>
      <c r="H119" s="1052">
        <v>24</v>
      </c>
      <c r="I119" s="1052">
        <v>0</v>
      </c>
      <c r="J119" s="1052">
        <v>0</v>
      </c>
      <c r="K119" s="1052">
        <v>0</v>
      </c>
      <c r="L119" s="1052">
        <v>0</v>
      </c>
      <c r="M119" s="1052">
        <v>71</v>
      </c>
      <c r="N119" s="1052">
        <v>95</v>
      </c>
      <c r="O119" s="1053" t="s">
        <v>1247</v>
      </c>
      <c r="P119" s="1053"/>
      <c r="Q119" s="1053"/>
      <c r="R119" s="1053"/>
      <c r="S119" s="1053"/>
      <c r="T119" s="1054" t="s">
        <v>1260</v>
      </c>
    </row>
    <row r="120" spans="1:20" ht="36" customHeight="1" x14ac:dyDescent="0.35">
      <c r="A120" s="1050" t="s">
        <v>1261</v>
      </c>
      <c r="B120" s="1051" t="s">
        <v>1262</v>
      </c>
      <c r="C120" s="1052">
        <v>0</v>
      </c>
      <c r="D120" s="1052">
        <v>3</v>
      </c>
      <c r="E120" s="1052">
        <v>19</v>
      </c>
      <c r="F120" s="1052">
        <v>67</v>
      </c>
      <c r="G120" s="1052">
        <v>86</v>
      </c>
      <c r="H120" s="1052">
        <v>59</v>
      </c>
      <c r="I120" s="1052">
        <v>35</v>
      </c>
      <c r="J120" s="1052">
        <v>19</v>
      </c>
      <c r="K120" s="1052">
        <v>6</v>
      </c>
      <c r="L120" s="1052">
        <v>0</v>
      </c>
      <c r="M120" s="1052">
        <v>175</v>
      </c>
      <c r="N120" s="1052">
        <v>294</v>
      </c>
      <c r="O120" s="1053" t="s">
        <v>1247</v>
      </c>
      <c r="P120" s="1053"/>
      <c r="Q120" s="1053"/>
      <c r="R120" s="1053"/>
      <c r="S120" s="1053"/>
      <c r="T120" s="1078" t="s">
        <v>1263</v>
      </c>
    </row>
    <row r="121" spans="1:20" x14ac:dyDescent="0.35">
      <c r="A121" s="1050" t="s">
        <v>1264</v>
      </c>
      <c r="B121" s="1051" t="s">
        <v>1265</v>
      </c>
      <c r="C121" s="1052">
        <v>0</v>
      </c>
      <c r="D121" s="1052">
        <v>65</v>
      </c>
      <c r="E121" s="1052">
        <v>150</v>
      </c>
      <c r="F121" s="1052">
        <v>290</v>
      </c>
      <c r="G121" s="1052">
        <v>290</v>
      </c>
      <c r="H121" s="1052">
        <v>290</v>
      </c>
      <c r="I121" s="1052">
        <v>285</v>
      </c>
      <c r="J121" s="1052">
        <v>250</v>
      </c>
      <c r="K121" s="1052">
        <v>220</v>
      </c>
      <c r="L121" s="1052">
        <v>160</v>
      </c>
      <c r="M121" s="1052">
        <v>795</v>
      </c>
      <c r="N121" s="1069">
        <v>2000</v>
      </c>
      <c r="O121" s="1053" t="s">
        <v>1247</v>
      </c>
      <c r="P121" s="1053"/>
      <c r="Q121" s="1053"/>
      <c r="R121" s="1053"/>
      <c r="S121" s="1053"/>
      <c r="T121" s="1055"/>
    </row>
    <row r="122" spans="1:20" x14ac:dyDescent="0.35">
      <c r="A122" s="1050" t="s">
        <v>1266</v>
      </c>
      <c r="B122" s="1051" t="s">
        <v>1267</v>
      </c>
      <c r="C122" s="1052">
        <v>0</v>
      </c>
      <c r="D122" s="1052">
        <v>5</v>
      </c>
      <c r="E122" s="1052">
        <v>20</v>
      </c>
      <c r="F122" s="1052">
        <v>65</v>
      </c>
      <c r="G122" s="1052">
        <v>105</v>
      </c>
      <c r="H122" s="1052">
        <v>140</v>
      </c>
      <c r="I122" s="1052">
        <v>175</v>
      </c>
      <c r="J122" s="1052">
        <v>210</v>
      </c>
      <c r="K122" s="1052">
        <v>150</v>
      </c>
      <c r="L122" s="1052">
        <v>35</v>
      </c>
      <c r="M122" s="1052">
        <v>195</v>
      </c>
      <c r="N122" s="1052">
        <v>905</v>
      </c>
      <c r="O122" s="1083" t="s">
        <v>1247</v>
      </c>
      <c r="P122" s="1083"/>
      <c r="Q122" s="1083"/>
      <c r="R122" s="1083"/>
      <c r="S122" s="1083"/>
      <c r="T122" s="1084"/>
    </row>
    <row r="123" spans="1:20" x14ac:dyDescent="0.35">
      <c r="A123" s="1050" t="s">
        <v>1268</v>
      </c>
      <c r="B123" s="1051" t="s">
        <v>1269</v>
      </c>
      <c r="C123" s="1052">
        <v>0</v>
      </c>
      <c r="D123" s="1052">
        <v>10</v>
      </c>
      <c r="E123" s="1052">
        <v>150</v>
      </c>
      <c r="F123" s="1052">
        <v>300</v>
      </c>
      <c r="G123" s="1052">
        <v>590</v>
      </c>
      <c r="H123" s="1052">
        <v>460</v>
      </c>
      <c r="I123" s="1052">
        <v>295</v>
      </c>
      <c r="J123" s="1052">
        <v>195</v>
      </c>
      <c r="K123" s="1052">
        <v>0</v>
      </c>
      <c r="L123" s="1052">
        <v>0</v>
      </c>
      <c r="M123" s="1069">
        <v>1050</v>
      </c>
      <c r="N123" s="1069">
        <v>2000</v>
      </c>
      <c r="O123" s="1053" t="s">
        <v>1247</v>
      </c>
      <c r="P123" s="1053"/>
      <c r="Q123" s="1053"/>
      <c r="R123" s="1053"/>
      <c r="S123" s="1053"/>
      <c r="T123" s="1055"/>
    </row>
    <row r="124" spans="1:20" x14ac:dyDescent="0.35">
      <c r="A124" s="1050" t="s">
        <v>1270</v>
      </c>
      <c r="B124" s="1051" t="s">
        <v>1271</v>
      </c>
      <c r="C124" s="1052"/>
      <c r="D124" s="1052"/>
      <c r="E124" s="1052"/>
      <c r="F124" s="1052"/>
      <c r="G124" s="1052"/>
      <c r="H124" s="1052"/>
      <c r="I124" s="1052"/>
      <c r="J124" s="1052"/>
      <c r="K124" s="1052"/>
      <c r="L124" s="1052"/>
      <c r="M124" s="1052"/>
      <c r="N124" s="1052"/>
      <c r="O124" s="1053"/>
      <c r="P124" s="1053"/>
      <c r="Q124" s="1053"/>
      <c r="R124" s="1053"/>
      <c r="S124" s="1053"/>
      <c r="T124" s="1055"/>
    </row>
    <row r="125" spans="1:20" ht="24" customHeight="1" x14ac:dyDescent="0.35">
      <c r="A125" s="1067" t="s">
        <v>1272</v>
      </c>
      <c r="B125" s="1068" t="s">
        <v>1273</v>
      </c>
      <c r="C125" s="1071">
        <v>0</v>
      </c>
      <c r="D125" s="1071">
        <v>72</v>
      </c>
      <c r="E125" s="1071">
        <v>123</v>
      </c>
      <c r="F125" s="1071">
        <v>122</v>
      </c>
      <c r="G125" s="1071">
        <v>115</v>
      </c>
      <c r="H125" s="1071">
        <v>55</v>
      </c>
      <c r="I125" s="1071">
        <v>55</v>
      </c>
      <c r="J125" s="1071">
        <v>33</v>
      </c>
      <c r="K125" s="1071">
        <v>0</v>
      </c>
      <c r="L125" s="1071">
        <v>0</v>
      </c>
      <c r="M125" s="1071">
        <v>432</v>
      </c>
      <c r="N125" s="1071">
        <v>575</v>
      </c>
      <c r="O125" s="1052" t="s">
        <v>1247</v>
      </c>
      <c r="P125" s="1052"/>
      <c r="Q125" s="1052"/>
      <c r="R125" s="1052"/>
      <c r="S125" s="1052"/>
      <c r="T125" s="1055"/>
    </row>
    <row r="126" spans="1:20" x14ac:dyDescent="0.35">
      <c r="A126" s="1050" t="s">
        <v>1274</v>
      </c>
      <c r="B126" s="1051" t="s">
        <v>1275</v>
      </c>
      <c r="C126" s="1052">
        <v>0</v>
      </c>
      <c r="D126" s="1052">
        <v>1</v>
      </c>
      <c r="E126" s="1052">
        <v>2</v>
      </c>
      <c r="F126" s="1052">
        <v>2</v>
      </c>
      <c r="G126" s="1052">
        <v>2</v>
      </c>
      <c r="H126" s="1052">
        <v>2</v>
      </c>
      <c r="I126" s="1052">
        <v>2</v>
      </c>
      <c r="J126" s="1052">
        <v>2</v>
      </c>
      <c r="K126" s="1052">
        <v>2</v>
      </c>
      <c r="L126" s="1052">
        <v>1</v>
      </c>
      <c r="M126" s="1052">
        <v>7</v>
      </c>
      <c r="N126" s="1052">
        <v>16</v>
      </c>
      <c r="O126" s="1053" t="s">
        <v>1247</v>
      </c>
      <c r="P126" s="1053"/>
      <c r="Q126" s="1053"/>
      <c r="R126" s="1053"/>
      <c r="S126" s="1053"/>
      <c r="T126" s="1055"/>
    </row>
    <row r="127" spans="1:20" x14ac:dyDescent="0.35">
      <c r="A127" s="1050" t="s">
        <v>1276</v>
      </c>
      <c r="B127" s="1051" t="s">
        <v>1277</v>
      </c>
      <c r="C127" s="1052">
        <v>0</v>
      </c>
      <c r="D127" s="1052">
        <v>49</v>
      </c>
      <c r="E127" s="1052">
        <v>190</v>
      </c>
      <c r="F127" s="1052">
        <v>379</v>
      </c>
      <c r="G127" s="1052">
        <v>531</v>
      </c>
      <c r="H127" s="1052">
        <v>619</v>
      </c>
      <c r="I127" s="1052">
        <v>580</v>
      </c>
      <c r="J127" s="1052">
        <v>387</v>
      </c>
      <c r="K127" s="1052">
        <v>196</v>
      </c>
      <c r="L127" s="1052">
        <v>69</v>
      </c>
      <c r="M127" s="1069">
        <v>1149</v>
      </c>
      <c r="N127" s="1069">
        <v>3000</v>
      </c>
      <c r="O127" s="1053" t="s">
        <v>1247</v>
      </c>
      <c r="P127" s="1053"/>
      <c r="Q127" s="1053"/>
      <c r="R127" s="1053"/>
      <c r="S127" s="1053"/>
      <c r="T127" s="1055"/>
    </row>
    <row r="128" spans="1:20" x14ac:dyDescent="0.35">
      <c r="A128" s="1067" t="s">
        <v>1278</v>
      </c>
      <c r="B128" s="1068" t="s">
        <v>1279</v>
      </c>
      <c r="C128" s="1052">
        <v>0</v>
      </c>
      <c r="D128" s="1052">
        <v>22</v>
      </c>
      <c r="E128" s="1052">
        <v>22</v>
      </c>
      <c r="F128" s="1052">
        <v>6</v>
      </c>
      <c r="G128" s="1052">
        <v>0</v>
      </c>
      <c r="H128" s="1052">
        <v>0</v>
      </c>
      <c r="I128" s="1052">
        <v>0</v>
      </c>
      <c r="J128" s="1052">
        <v>0</v>
      </c>
      <c r="K128" s="1052">
        <v>0</v>
      </c>
      <c r="L128" s="1052">
        <v>0</v>
      </c>
      <c r="M128" s="1052">
        <v>50</v>
      </c>
      <c r="N128" s="1052">
        <v>50</v>
      </c>
      <c r="O128" s="1053" t="s">
        <v>1247</v>
      </c>
      <c r="P128" s="1053"/>
      <c r="Q128" s="1053"/>
      <c r="R128" s="1053"/>
      <c r="S128" s="1053"/>
      <c r="T128" s="1054"/>
    </row>
    <row r="129" spans="1:20" x14ac:dyDescent="0.35">
      <c r="A129" s="1050" t="s">
        <v>1280</v>
      </c>
      <c r="B129" s="1051" t="s">
        <v>1281</v>
      </c>
      <c r="C129" s="1052">
        <v>0</v>
      </c>
      <c r="D129" s="1052">
        <v>30</v>
      </c>
      <c r="E129" s="1052">
        <v>30</v>
      </c>
      <c r="F129" s="1052">
        <v>40</v>
      </c>
      <c r="G129" s="1052">
        <v>15</v>
      </c>
      <c r="H129" s="1052">
        <v>5</v>
      </c>
      <c r="I129" s="1052">
        <v>5</v>
      </c>
      <c r="J129" s="1052">
        <v>0</v>
      </c>
      <c r="K129" s="1052">
        <v>0</v>
      </c>
      <c r="L129" s="1052">
        <v>0</v>
      </c>
      <c r="M129" s="1052">
        <v>115</v>
      </c>
      <c r="N129" s="1052">
        <v>125</v>
      </c>
      <c r="O129" s="1053" t="s">
        <v>1247</v>
      </c>
      <c r="P129" s="1053"/>
      <c r="Q129" s="1053"/>
      <c r="R129" s="1053"/>
      <c r="S129" s="1053"/>
      <c r="T129" s="1055"/>
    </row>
    <row r="130" spans="1:20" x14ac:dyDescent="0.35">
      <c r="A130" s="1050" t="s">
        <v>1282</v>
      </c>
      <c r="B130" s="1051" t="s">
        <v>1283</v>
      </c>
      <c r="C130" s="1052">
        <v>0</v>
      </c>
      <c r="D130" s="1052">
        <v>10</v>
      </c>
      <c r="E130" s="1052">
        <v>230</v>
      </c>
      <c r="F130" s="1052">
        <v>660</v>
      </c>
      <c r="G130" s="1052">
        <v>945</v>
      </c>
      <c r="H130" s="1052">
        <v>605</v>
      </c>
      <c r="I130" s="1052">
        <v>100</v>
      </c>
      <c r="J130" s="1052">
        <v>0</v>
      </c>
      <c r="K130" s="1052">
        <v>0</v>
      </c>
      <c r="L130" s="1052">
        <v>0</v>
      </c>
      <c r="M130" s="1069">
        <v>1845</v>
      </c>
      <c r="N130" s="1069">
        <v>2550</v>
      </c>
      <c r="O130" s="1053" t="s">
        <v>1247</v>
      </c>
      <c r="P130" s="1053"/>
      <c r="Q130" s="1053"/>
      <c r="R130" s="1053"/>
      <c r="S130" s="1053"/>
      <c r="T130" s="1055"/>
    </row>
    <row r="131" spans="1:20" x14ac:dyDescent="0.35">
      <c r="A131" s="1050" t="s">
        <v>1284</v>
      </c>
      <c r="B131" s="1051" t="s">
        <v>1285</v>
      </c>
      <c r="C131" s="1052">
        <v>0</v>
      </c>
      <c r="D131" s="1052">
        <v>10</v>
      </c>
      <c r="E131" s="1052">
        <v>45</v>
      </c>
      <c r="F131" s="1052">
        <v>70</v>
      </c>
      <c r="G131" s="1052">
        <v>100</v>
      </c>
      <c r="H131" s="1052">
        <v>100</v>
      </c>
      <c r="I131" s="1052">
        <v>100</v>
      </c>
      <c r="J131" s="1052">
        <v>100</v>
      </c>
      <c r="K131" s="1052">
        <v>100</v>
      </c>
      <c r="L131" s="1052">
        <v>100</v>
      </c>
      <c r="M131" s="1052">
        <v>225</v>
      </c>
      <c r="N131" s="1052">
        <v>725</v>
      </c>
      <c r="O131" s="1053" t="s">
        <v>1247</v>
      </c>
      <c r="P131" s="1053"/>
      <c r="Q131" s="1053"/>
      <c r="R131" s="1053"/>
      <c r="S131" s="1053"/>
      <c r="T131" s="1055"/>
    </row>
    <row r="132" spans="1:20" x14ac:dyDescent="0.35">
      <c r="A132" s="1067" t="s">
        <v>1286</v>
      </c>
      <c r="B132" s="1068" t="s">
        <v>1287</v>
      </c>
      <c r="C132" s="1052">
        <v>0</v>
      </c>
      <c r="D132" s="1052">
        <v>14</v>
      </c>
      <c r="E132" s="1052">
        <v>11</v>
      </c>
      <c r="F132" s="1052">
        <v>0</v>
      </c>
      <c r="G132" s="1052">
        <v>0</v>
      </c>
      <c r="H132" s="1052">
        <v>0</v>
      </c>
      <c r="I132" s="1052">
        <v>0</v>
      </c>
      <c r="J132" s="1052">
        <v>0</v>
      </c>
      <c r="K132" s="1052">
        <v>0</v>
      </c>
      <c r="L132" s="1052">
        <v>0</v>
      </c>
      <c r="M132" s="1052">
        <v>25</v>
      </c>
      <c r="N132" s="1052">
        <v>25</v>
      </c>
      <c r="O132" s="1053" t="s">
        <v>1251</v>
      </c>
      <c r="P132" s="1053"/>
      <c r="Q132" s="1053"/>
      <c r="R132" s="1053"/>
      <c r="S132" s="1053"/>
      <c r="T132" s="1054"/>
    </row>
    <row r="133" spans="1:20" x14ac:dyDescent="0.35">
      <c r="A133" s="1067" t="s">
        <v>1288</v>
      </c>
      <c r="B133" s="1068" t="s">
        <v>1289</v>
      </c>
      <c r="C133" s="1052">
        <v>0</v>
      </c>
      <c r="D133" s="1052">
        <v>84</v>
      </c>
      <c r="E133" s="1052">
        <v>320</v>
      </c>
      <c r="F133" s="1052">
        <v>638</v>
      </c>
      <c r="G133" s="1052">
        <v>928</v>
      </c>
      <c r="H133" s="1052">
        <v>940</v>
      </c>
      <c r="I133" s="1052">
        <v>720</v>
      </c>
      <c r="J133" s="1052">
        <v>300</v>
      </c>
      <c r="K133" s="1052">
        <v>120</v>
      </c>
      <c r="L133" s="1052">
        <v>0</v>
      </c>
      <c r="M133" s="1069">
        <v>1970</v>
      </c>
      <c r="N133" s="1069">
        <v>4050</v>
      </c>
      <c r="O133" s="1053" t="s">
        <v>1251</v>
      </c>
      <c r="P133" s="1053"/>
      <c r="Q133" s="1053"/>
      <c r="R133" s="1053"/>
      <c r="S133" s="1053"/>
      <c r="T133" s="1055"/>
    </row>
    <row r="134" spans="1:20" x14ac:dyDescent="0.35">
      <c r="A134" s="1050" t="s">
        <v>1290</v>
      </c>
      <c r="B134" s="1051" t="s">
        <v>1291</v>
      </c>
      <c r="C134" s="1052">
        <v>0</v>
      </c>
      <c r="D134" s="1052">
        <v>40</v>
      </c>
      <c r="E134" s="1052">
        <v>200</v>
      </c>
      <c r="F134" s="1052">
        <v>400</v>
      </c>
      <c r="G134" s="1052">
        <v>660</v>
      </c>
      <c r="H134" s="1052">
        <v>640</v>
      </c>
      <c r="I134" s="1052">
        <v>515</v>
      </c>
      <c r="J134" s="1052">
        <v>240</v>
      </c>
      <c r="K134" s="1052">
        <v>105</v>
      </c>
      <c r="L134" s="1052">
        <v>0</v>
      </c>
      <c r="M134" s="1069">
        <v>1300</v>
      </c>
      <c r="N134" s="1069">
        <v>2800</v>
      </c>
      <c r="O134" s="1053" t="s">
        <v>1251</v>
      </c>
      <c r="P134" s="1053"/>
      <c r="Q134" s="1053"/>
      <c r="R134" s="1053"/>
      <c r="S134" s="1053"/>
      <c r="T134" s="1055"/>
    </row>
    <row r="135" spans="1:20" x14ac:dyDescent="0.35">
      <c r="A135" s="1050" t="s">
        <v>1292</v>
      </c>
      <c r="B135" s="1051" t="s">
        <v>1293</v>
      </c>
      <c r="C135" s="1085">
        <v>0</v>
      </c>
      <c r="D135" s="1085">
        <v>138</v>
      </c>
      <c r="E135" s="1085">
        <v>566</v>
      </c>
      <c r="F135" s="1085">
        <v>994</v>
      </c>
      <c r="G135" s="1086">
        <v>1328</v>
      </c>
      <c r="H135" s="1086">
        <v>1791</v>
      </c>
      <c r="I135" s="1086">
        <v>2350</v>
      </c>
      <c r="J135" s="1086">
        <v>2928</v>
      </c>
      <c r="K135" s="1086">
        <v>3548</v>
      </c>
      <c r="L135" s="1086">
        <v>4162</v>
      </c>
      <c r="M135" s="1086">
        <v>3026</v>
      </c>
      <c r="N135" s="1086">
        <v>17805</v>
      </c>
      <c r="O135" s="1087" t="s">
        <v>54</v>
      </c>
      <c r="P135" s="1087"/>
      <c r="Q135" s="1087"/>
      <c r="R135" s="1087"/>
      <c r="S135" s="1087"/>
      <c r="T135" s="1088"/>
    </row>
    <row r="136" spans="1:20" x14ac:dyDescent="0.35">
      <c r="A136" s="1050" t="s">
        <v>1294</v>
      </c>
      <c r="B136" s="1051" t="s">
        <v>1295</v>
      </c>
      <c r="C136" s="1085">
        <v>0</v>
      </c>
      <c r="D136" s="1085">
        <v>0</v>
      </c>
      <c r="E136" s="1085">
        <v>235</v>
      </c>
      <c r="F136" s="1085">
        <v>317</v>
      </c>
      <c r="G136" s="1085">
        <v>304</v>
      </c>
      <c r="H136" s="1085">
        <v>314</v>
      </c>
      <c r="I136" s="1085">
        <v>324</v>
      </c>
      <c r="J136" s="1085">
        <v>335</v>
      </c>
      <c r="K136" s="1085">
        <v>346</v>
      </c>
      <c r="L136" s="1085">
        <v>359</v>
      </c>
      <c r="M136" s="1085">
        <v>856</v>
      </c>
      <c r="N136" s="1086">
        <v>2534</v>
      </c>
      <c r="O136" s="1087" t="s">
        <v>54</v>
      </c>
      <c r="P136" s="1087"/>
      <c r="Q136" s="1087"/>
      <c r="R136" s="1087"/>
      <c r="S136" s="1087"/>
      <c r="T136" s="1055"/>
    </row>
    <row r="137" spans="1:20" ht="24" customHeight="1" x14ac:dyDescent="0.35">
      <c r="A137" s="1050" t="s">
        <v>1296</v>
      </c>
      <c r="B137" s="1051" t="s">
        <v>1297</v>
      </c>
      <c r="C137" s="1089"/>
      <c r="D137" s="1089">
        <v>333</v>
      </c>
      <c r="E137" s="1089">
        <v>314</v>
      </c>
      <c r="F137" s="1089">
        <v>314</v>
      </c>
      <c r="G137" s="1089">
        <v>-4530</v>
      </c>
      <c r="H137" s="1089">
        <v>-9118</v>
      </c>
      <c r="I137" s="1089">
        <v>-18184</v>
      </c>
      <c r="J137" s="1089">
        <v>-20493</v>
      </c>
      <c r="K137" s="1089">
        <v>-23289</v>
      </c>
      <c r="L137" s="1089">
        <v>-24298</v>
      </c>
      <c r="M137" s="1089">
        <v>-569</v>
      </c>
      <c r="N137" s="1089">
        <v>-95951</v>
      </c>
      <c r="O137" s="1090" t="s">
        <v>55</v>
      </c>
      <c r="P137" s="1090"/>
      <c r="Q137" s="1090"/>
      <c r="R137" s="1090"/>
      <c r="S137" s="1090"/>
      <c r="T137" s="1091"/>
    </row>
    <row r="138" spans="1:20" ht="36" customHeight="1" x14ac:dyDescent="0.35">
      <c r="A138" s="1050" t="s">
        <v>1292</v>
      </c>
      <c r="B138" s="1051" t="s">
        <v>1298</v>
      </c>
      <c r="C138" s="1092">
        <v>0</v>
      </c>
      <c r="D138" s="1092">
        <v>-2447</v>
      </c>
      <c r="E138" s="1092">
        <v>-3716</v>
      </c>
      <c r="F138" s="1092">
        <v>-19171</v>
      </c>
      <c r="G138" s="1092">
        <v>-7014</v>
      </c>
      <c r="H138" s="1092">
        <v>-7706</v>
      </c>
      <c r="I138" s="1092">
        <v>-8497</v>
      </c>
      <c r="J138" s="1092">
        <v>-9360</v>
      </c>
      <c r="K138" s="1092">
        <v>-10602</v>
      </c>
      <c r="L138" s="1092">
        <v>-11603</v>
      </c>
      <c r="M138" s="1092">
        <v>-32348</v>
      </c>
      <c r="N138" s="1092">
        <v>-80116</v>
      </c>
      <c r="O138" s="1090" t="s">
        <v>55</v>
      </c>
      <c r="P138" s="1090"/>
      <c r="Q138" s="1090"/>
      <c r="R138" s="1090"/>
      <c r="S138" s="1090"/>
      <c r="T138" s="1055"/>
    </row>
    <row r="139" spans="1:20" x14ac:dyDescent="0.35">
      <c r="A139" s="1050" t="s">
        <v>1299</v>
      </c>
      <c r="B139" s="1051" t="s">
        <v>1300</v>
      </c>
      <c r="C139" s="1089">
        <v>0</v>
      </c>
      <c r="D139" s="1089">
        <v>53</v>
      </c>
      <c r="E139" s="1089">
        <v>1991</v>
      </c>
      <c r="F139" s="1089">
        <v>3308</v>
      </c>
      <c r="G139" s="1089">
        <v>3545</v>
      </c>
      <c r="H139" s="1089">
        <v>4537</v>
      </c>
      <c r="I139" s="1089">
        <v>4476</v>
      </c>
      <c r="J139" s="1089">
        <v>3947</v>
      </c>
      <c r="K139" s="1089">
        <v>1781</v>
      </c>
      <c r="L139" s="1089">
        <v>1462</v>
      </c>
      <c r="M139" s="1089">
        <v>8897</v>
      </c>
      <c r="N139" s="1089">
        <v>25100</v>
      </c>
      <c r="O139" s="1090" t="s">
        <v>55</v>
      </c>
      <c r="P139" s="1090"/>
      <c r="Q139" s="1090"/>
      <c r="R139" s="1090"/>
      <c r="S139" s="1090"/>
      <c r="T139" s="1055"/>
    </row>
    <row r="140" spans="1:20" x14ac:dyDescent="0.35">
      <c r="A140" s="1050" t="s">
        <v>1301</v>
      </c>
      <c r="B140" s="1051" t="s">
        <v>1302</v>
      </c>
      <c r="C140" s="1093">
        <v>0</v>
      </c>
      <c r="D140" s="1093">
        <v>0</v>
      </c>
      <c r="E140" s="1093">
        <v>0</v>
      </c>
      <c r="F140" s="1093">
        <v>0</v>
      </c>
      <c r="G140" s="1093">
        <v>0</v>
      </c>
      <c r="H140" s="1094">
        <v>-16290</v>
      </c>
      <c r="I140" s="1094">
        <v>-25656</v>
      </c>
      <c r="J140" s="1094">
        <v>-23394</v>
      </c>
      <c r="K140" s="1094">
        <v>-27561</v>
      </c>
      <c r="L140" s="1094">
        <v>-29250</v>
      </c>
      <c r="M140" s="1093">
        <v>0</v>
      </c>
      <c r="N140" s="1094">
        <v>-122151</v>
      </c>
      <c r="O140" s="1090" t="s">
        <v>55</v>
      </c>
      <c r="P140" s="1090"/>
      <c r="Q140" s="1090"/>
      <c r="R140" s="1090"/>
      <c r="S140" s="1090"/>
      <c r="T140" s="1055"/>
    </row>
    <row r="141" spans="1:20" ht="36" customHeight="1" x14ac:dyDescent="0.35">
      <c r="A141" s="1050" t="s">
        <v>1303</v>
      </c>
      <c r="B141" s="1051" t="s">
        <v>1304</v>
      </c>
      <c r="C141" s="1089">
        <v>0</v>
      </c>
      <c r="D141" s="1089">
        <v>-70</v>
      </c>
      <c r="E141" s="1089">
        <v>300</v>
      </c>
      <c r="F141" s="1089">
        <v>862</v>
      </c>
      <c r="G141" s="1089">
        <v>577</v>
      </c>
      <c r="H141" s="1089">
        <v>464</v>
      </c>
      <c r="I141" s="1089">
        <v>549</v>
      </c>
      <c r="J141" s="1089">
        <v>501</v>
      </c>
      <c r="K141" s="1089">
        <v>591</v>
      </c>
      <c r="L141" s="1089">
        <v>630</v>
      </c>
      <c r="M141" s="1089">
        <v>1669</v>
      </c>
      <c r="N141" s="1089">
        <v>4404</v>
      </c>
      <c r="O141" s="1090" t="s">
        <v>55</v>
      </c>
      <c r="P141" s="1090"/>
      <c r="Q141" s="1090"/>
      <c r="R141" s="1090"/>
      <c r="S141" s="1090"/>
      <c r="T141" s="1055"/>
    </row>
    <row r="142" spans="1:20" x14ac:dyDescent="0.35">
      <c r="A142" s="1050" t="s">
        <v>1305</v>
      </c>
      <c r="B142" s="1051" t="s">
        <v>1306</v>
      </c>
      <c r="C142" s="1093">
        <v>0</v>
      </c>
      <c r="D142" s="1093">
        <v>0</v>
      </c>
      <c r="E142" s="1093">
        <v>195</v>
      </c>
      <c r="F142" s="1093">
        <v>230</v>
      </c>
      <c r="G142" s="1093">
        <v>248</v>
      </c>
      <c r="H142" s="1093">
        <v>266</v>
      </c>
      <c r="I142" s="1093">
        <v>311</v>
      </c>
      <c r="J142" s="1093">
        <v>281</v>
      </c>
      <c r="K142" s="1093">
        <v>327</v>
      </c>
      <c r="L142" s="1093">
        <v>347</v>
      </c>
      <c r="M142" s="1093">
        <v>673</v>
      </c>
      <c r="N142" s="1094">
        <v>2205</v>
      </c>
      <c r="O142" s="1090" t="s">
        <v>55</v>
      </c>
      <c r="P142" s="1090"/>
      <c r="Q142" s="1090"/>
      <c r="R142" s="1090"/>
      <c r="S142" s="1090"/>
      <c r="T142" s="1055"/>
    </row>
    <row r="143" spans="1:20" x14ac:dyDescent="0.35">
      <c r="A143" s="1067" t="s">
        <v>1307</v>
      </c>
      <c r="B143" s="1068" t="s">
        <v>1308</v>
      </c>
      <c r="C143" s="1095">
        <v>0</v>
      </c>
      <c r="D143" s="1095">
        <v>70</v>
      </c>
      <c r="E143" s="1095">
        <v>132</v>
      </c>
      <c r="F143" s="1095">
        <v>51</v>
      </c>
      <c r="G143" s="1095">
        <v>20</v>
      </c>
      <c r="H143" s="1095">
        <v>8</v>
      </c>
      <c r="I143" s="1095">
        <v>0</v>
      </c>
      <c r="J143" s="1095">
        <v>0</v>
      </c>
      <c r="K143" s="1095">
        <v>0</v>
      </c>
      <c r="L143" s="1095">
        <v>0</v>
      </c>
      <c r="M143" s="1095">
        <v>273</v>
      </c>
      <c r="N143" s="1095">
        <v>281</v>
      </c>
      <c r="O143" s="1096" t="s">
        <v>1309</v>
      </c>
      <c r="P143" s="1096"/>
      <c r="Q143" s="1096"/>
      <c r="R143" s="1096"/>
      <c r="S143" s="1096"/>
      <c r="T143" s="1055" t="s">
        <v>1310</v>
      </c>
    </row>
    <row r="144" spans="1:20" x14ac:dyDescent="0.35">
      <c r="A144" s="1067" t="s">
        <v>1311</v>
      </c>
      <c r="B144" s="1068" t="s">
        <v>1312</v>
      </c>
      <c r="C144" s="1095">
        <v>0</v>
      </c>
      <c r="D144" s="1095">
        <v>465</v>
      </c>
      <c r="E144" s="1097">
        <v>2420</v>
      </c>
      <c r="F144" s="1097">
        <v>4755</v>
      </c>
      <c r="G144" s="1097">
        <v>5980</v>
      </c>
      <c r="H144" s="1097">
        <v>4694</v>
      </c>
      <c r="I144" s="1097">
        <v>1573</v>
      </c>
      <c r="J144" s="1095">
        <v>93</v>
      </c>
      <c r="K144" s="1095">
        <v>0</v>
      </c>
      <c r="L144" s="1095">
        <v>0</v>
      </c>
      <c r="M144" s="1097">
        <v>13620</v>
      </c>
      <c r="N144" s="1097">
        <v>19980</v>
      </c>
      <c r="O144" s="1096" t="s">
        <v>1309</v>
      </c>
      <c r="P144" s="1096"/>
      <c r="Q144" s="1096"/>
      <c r="R144" s="1096"/>
      <c r="S144" s="1096"/>
      <c r="T144" s="1055" t="s">
        <v>1313</v>
      </c>
    </row>
    <row r="145" spans="1:20" x14ac:dyDescent="0.35">
      <c r="A145" s="1050" t="s">
        <v>1314</v>
      </c>
      <c r="B145" s="1051" t="s">
        <v>1315</v>
      </c>
      <c r="C145" s="1095">
        <v>0</v>
      </c>
      <c r="D145" s="1095">
        <v>20</v>
      </c>
      <c r="E145" s="1095">
        <v>65</v>
      </c>
      <c r="F145" s="1095">
        <v>110</v>
      </c>
      <c r="G145" s="1095">
        <v>135</v>
      </c>
      <c r="H145" s="1095">
        <v>180</v>
      </c>
      <c r="I145" s="1095">
        <v>230</v>
      </c>
      <c r="J145" s="1095">
        <v>180</v>
      </c>
      <c r="K145" s="1095">
        <v>60</v>
      </c>
      <c r="L145" s="1095">
        <v>10</v>
      </c>
      <c r="M145" s="1095">
        <v>330</v>
      </c>
      <c r="N145" s="1095">
        <v>990</v>
      </c>
      <c r="O145" s="1096" t="s">
        <v>1309</v>
      </c>
      <c r="P145" s="1096"/>
      <c r="Q145" s="1096"/>
      <c r="R145" s="1096"/>
      <c r="S145" s="1096"/>
      <c r="T145" s="1078" t="s">
        <v>1316</v>
      </c>
    </row>
    <row r="146" spans="1:20" x14ac:dyDescent="0.35">
      <c r="A146" s="1050" t="s">
        <v>1317</v>
      </c>
      <c r="B146" s="1051" t="s">
        <v>1318</v>
      </c>
      <c r="C146" s="1095">
        <v>0</v>
      </c>
      <c r="D146" s="1097">
        <v>20892</v>
      </c>
      <c r="E146" s="1097">
        <v>11288</v>
      </c>
      <c r="F146" s="1097">
        <v>9651</v>
      </c>
      <c r="G146" s="1097">
        <v>-8548</v>
      </c>
      <c r="H146" s="1095">
        <v>-463</v>
      </c>
      <c r="I146" s="1095">
        <v>0</v>
      </c>
      <c r="J146" s="1095">
        <v>0</v>
      </c>
      <c r="K146" s="1095">
        <v>0</v>
      </c>
      <c r="L146" s="1095">
        <v>0</v>
      </c>
      <c r="M146" s="1097">
        <v>33283</v>
      </c>
      <c r="N146" s="1097">
        <v>32820</v>
      </c>
      <c r="O146" s="1098" t="s">
        <v>1309</v>
      </c>
      <c r="P146" s="1098"/>
      <c r="Q146" s="1098"/>
      <c r="R146" s="1098"/>
      <c r="S146" s="1098"/>
      <c r="T146" s="1055"/>
    </row>
    <row r="147" spans="1:20" x14ac:dyDescent="0.35">
      <c r="A147" s="1050" t="s">
        <v>1319</v>
      </c>
      <c r="B147" s="1051" t="s">
        <v>1320</v>
      </c>
      <c r="C147" s="1095">
        <v>0</v>
      </c>
      <c r="D147" s="1095">
        <v>24</v>
      </c>
      <c r="E147" s="1095">
        <v>65</v>
      </c>
      <c r="F147" s="1095">
        <v>112</v>
      </c>
      <c r="G147" s="1095">
        <v>130</v>
      </c>
      <c r="H147" s="1095">
        <v>98</v>
      </c>
      <c r="I147" s="1095">
        <v>56</v>
      </c>
      <c r="J147" s="1095">
        <v>15</v>
      </c>
      <c r="K147" s="1095">
        <v>0</v>
      </c>
      <c r="L147" s="1095">
        <v>0</v>
      </c>
      <c r="M147" s="1095">
        <v>331</v>
      </c>
      <c r="N147" s="1095">
        <v>500</v>
      </c>
      <c r="O147" s="1098" t="s">
        <v>1309</v>
      </c>
      <c r="P147" s="1098"/>
      <c r="Q147" s="1098"/>
      <c r="R147" s="1098"/>
      <c r="S147" s="1098"/>
      <c r="T147" s="1055"/>
    </row>
    <row r="148" spans="1:20" x14ac:dyDescent="0.35">
      <c r="A148" s="1099" t="s">
        <v>1321</v>
      </c>
      <c r="B148" s="1100" t="s">
        <v>1322</v>
      </c>
      <c r="C148" s="1095">
        <v>0</v>
      </c>
      <c r="D148" s="1095">
        <v>50</v>
      </c>
      <c r="E148" s="1095">
        <v>500</v>
      </c>
      <c r="F148" s="1095">
        <v>920</v>
      </c>
      <c r="G148" s="1097">
        <v>1310</v>
      </c>
      <c r="H148" s="1097">
        <v>1680</v>
      </c>
      <c r="I148" s="1097">
        <v>1780</v>
      </c>
      <c r="J148" s="1097">
        <v>1640</v>
      </c>
      <c r="K148" s="1097">
        <v>1090</v>
      </c>
      <c r="L148" s="1095">
        <v>630</v>
      </c>
      <c r="M148" s="1097">
        <v>2780</v>
      </c>
      <c r="N148" s="1097">
        <v>9600</v>
      </c>
      <c r="O148" s="1098" t="s">
        <v>1309</v>
      </c>
      <c r="P148" s="1098"/>
      <c r="Q148" s="1098"/>
      <c r="R148" s="1098"/>
      <c r="S148" s="1098"/>
      <c r="T148" s="1101"/>
    </row>
    <row r="149" spans="1:20" x14ac:dyDescent="0.35">
      <c r="A149" s="1050" t="s">
        <v>1323</v>
      </c>
      <c r="B149" s="1051" t="s">
        <v>1324</v>
      </c>
      <c r="C149" s="1095">
        <v>0</v>
      </c>
      <c r="D149" s="1095">
        <v>30</v>
      </c>
      <c r="E149" s="1095">
        <v>90</v>
      </c>
      <c r="F149" s="1095">
        <v>90</v>
      </c>
      <c r="G149" s="1095">
        <v>85</v>
      </c>
      <c r="H149" s="1095">
        <v>70</v>
      </c>
      <c r="I149" s="1095">
        <v>65</v>
      </c>
      <c r="J149" s="1095">
        <v>65</v>
      </c>
      <c r="K149" s="1095">
        <v>35</v>
      </c>
      <c r="L149" s="1095">
        <v>15</v>
      </c>
      <c r="M149" s="1095">
        <v>295</v>
      </c>
      <c r="N149" s="1095">
        <v>545</v>
      </c>
      <c r="O149" s="1098" t="s">
        <v>1309</v>
      </c>
      <c r="P149" s="1098"/>
      <c r="Q149" s="1098"/>
      <c r="R149" s="1098"/>
      <c r="S149" s="1098"/>
      <c r="T149" s="1055"/>
    </row>
    <row r="150" spans="1:20" x14ac:dyDescent="0.35">
      <c r="A150" s="1050" t="s">
        <v>1325</v>
      </c>
      <c r="B150" s="1051" t="s">
        <v>1326</v>
      </c>
      <c r="C150" s="1095">
        <v>0</v>
      </c>
      <c r="D150" s="1095">
        <v>185</v>
      </c>
      <c r="E150" s="1095">
        <v>394</v>
      </c>
      <c r="F150" s="1095">
        <v>639</v>
      </c>
      <c r="G150" s="1095">
        <v>722</v>
      </c>
      <c r="H150" s="1095">
        <v>595</v>
      </c>
      <c r="I150" s="1095">
        <v>346</v>
      </c>
      <c r="J150" s="1095">
        <v>101</v>
      </c>
      <c r="K150" s="1095">
        <v>18</v>
      </c>
      <c r="L150" s="1095">
        <v>0</v>
      </c>
      <c r="M150" s="1097">
        <v>1940</v>
      </c>
      <c r="N150" s="1097">
        <v>3000</v>
      </c>
      <c r="O150" s="1096" t="s">
        <v>1309</v>
      </c>
      <c r="P150" s="1096"/>
      <c r="Q150" s="1096"/>
      <c r="R150" s="1096"/>
      <c r="S150" s="1096"/>
      <c r="T150" s="1055"/>
    </row>
    <row r="151" spans="1:20" x14ac:dyDescent="0.35">
      <c r="A151" s="1050" t="s">
        <v>1327</v>
      </c>
      <c r="B151" s="1051" t="s">
        <v>1328</v>
      </c>
      <c r="C151" s="1095">
        <v>0</v>
      </c>
      <c r="D151" s="1095">
        <v>8</v>
      </c>
      <c r="E151" s="1095">
        <v>26</v>
      </c>
      <c r="F151" s="1095">
        <v>41</v>
      </c>
      <c r="G151" s="1095">
        <v>38</v>
      </c>
      <c r="H151" s="1095">
        <v>22</v>
      </c>
      <c r="I151" s="1095">
        <v>11</v>
      </c>
      <c r="J151" s="1095">
        <v>4</v>
      </c>
      <c r="K151" s="1095">
        <v>0</v>
      </c>
      <c r="L151" s="1095">
        <v>0</v>
      </c>
      <c r="M151" s="1095">
        <v>113</v>
      </c>
      <c r="N151" s="1095">
        <v>150</v>
      </c>
      <c r="O151" s="1096" t="s">
        <v>1309</v>
      </c>
      <c r="P151" s="1096"/>
      <c r="Q151" s="1096"/>
      <c r="R151" s="1096"/>
      <c r="S151" s="1096"/>
      <c r="T151" s="1055"/>
    </row>
    <row r="152" spans="1:20" ht="24" customHeight="1" x14ac:dyDescent="0.35">
      <c r="A152" s="1067" t="s">
        <v>1329</v>
      </c>
      <c r="B152" s="1068" t="s">
        <v>1330</v>
      </c>
      <c r="C152" s="1102">
        <v>0</v>
      </c>
      <c r="D152" s="1103">
        <v>77</v>
      </c>
      <c r="E152" s="1103">
        <v>232</v>
      </c>
      <c r="F152" s="1103">
        <v>341</v>
      </c>
      <c r="G152" s="1103">
        <v>496</v>
      </c>
      <c r="H152" s="1103">
        <v>310</v>
      </c>
      <c r="I152" s="1103">
        <v>47</v>
      </c>
      <c r="J152" s="1103">
        <v>31</v>
      </c>
      <c r="K152" s="1103">
        <v>15</v>
      </c>
      <c r="L152" s="1103">
        <v>1</v>
      </c>
      <c r="M152" s="1104">
        <v>1146</v>
      </c>
      <c r="N152" s="1104">
        <v>1550</v>
      </c>
      <c r="O152" s="1105" t="s">
        <v>1331</v>
      </c>
      <c r="P152" s="1112"/>
      <c r="Q152" s="1112"/>
      <c r="R152" s="1112"/>
      <c r="S152" s="1112"/>
      <c r="T152" s="1055" t="s">
        <v>1332</v>
      </c>
    </row>
    <row r="153" spans="1:20" ht="30" customHeight="1" x14ac:dyDescent="0.35">
      <c r="A153" s="1050" t="s">
        <v>1333</v>
      </c>
      <c r="B153" s="1051" t="s">
        <v>1334</v>
      </c>
      <c r="C153" s="1106">
        <v>0</v>
      </c>
      <c r="D153" s="1106">
        <v>264</v>
      </c>
      <c r="E153" s="1106">
        <v>715</v>
      </c>
      <c r="F153" s="1106">
        <v>1393</v>
      </c>
      <c r="G153" s="1106">
        <v>2492</v>
      </c>
      <c r="H153" s="1106">
        <v>3364</v>
      </c>
      <c r="I153" s="1106">
        <v>3209</v>
      </c>
      <c r="J153" s="1106">
        <v>2750</v>
      </c>
      <c r="K153" s="1106">
        <v>1783</v>
      </c>
      <c r="L153" s="1106">
        <v>744</v>
      </c>
      <c r="M153" s="1107">
        <v>4864</v>
      </c>
      <c r="N153" s="1107">
        <v>16714</v>
      </c>
      <c r="O153" s="1113" t="s">
        <v>52</v>
      </c>
      <c r="P153" s="1113"/>
      <c r="Q153" s="1113"/>
      <c r="R153" s="1113"/>
      <c r="S153" s="1113"/>
      <c r="T153" s="1114" t="s">
        <v>1335</v>
      </c>
    </row>
    <row r="154" spans="1:20" x14ac:dyDescent="0.35">
      <c r="A154" s="1050" t="s">
        <v>1336</v>
      </c>
      <c r="B154" s="1051" t="s">
        <v>1337</v>
      </c>
      <c r="C154" s="1115">
        <v>0</v>
      </c>
      <c r="D154" s="1115">
        <v>0</v>
      </c>
      <c r="E154" s="1115">
        <v>50</v>
      </c>
      <c r="F154" s="1115">
        <v>270</v>
      </c>
      <c r="G154" s="1115">
        <v>680</v>
      </c>
      <c r="H154" s="1115">
        <v>850</v>
      </c>
      <c r="I154" s="1115">
        <v>730</v>
      </c>
      <c r="J154" s="1115">
        <v>485</v>
      </c>
      <c r="K154" s="1115">
        <v>285</v>
      </c>
      <c r="L154" s="1115">
        <v>145</v>
      </c>
      <c r="M154" s="1116">
        <v>1000</v>
      </c>
      <c r="N154" s="1116">
        <v>3495</v>
      </c>
      <c r="O154" s="1117" t="s">
        <v>52</v>
      </c>
      <c r="P154" s="1117"/>
      <c r="Q154" s="1117"/>
      <c r="R154" s="1117"/>
      <c r="S154" s="1117"/>
      <c r="T154" s="1118" t="s">
        <v>1338</v>
      </c>
    </row>
    <row r="155" spans="1:20" x14ac:dyDescent="0.35">
      <c r="A155" s="1050" t="s">
        <v>1339</v>
      </c>
      <c r="B155" s="1051" t="s">
        <v>1340</v>
      </c>
      <c r="C155" s="1115">
        <v>0</v>
      </c>
      <c r="D155" s="1115">
        <v>5</v>
      </c>
      <c r="E155" s="1115">
        <v>5</v>
      </c>
      <c r="F155" s="1115">
        <v>10</v>
      </c>
      <c r="G155" s="1115">
        <v>25</v>
      </c>
      <c r="H155" s="1115">
        <v>70</v>
      </c>
      <c r="I155" s="1115">
        <v>175</v>
      </c>
      <c r="J155" s="1115">
        <v>385</v>
      </c>
      <c r="K155" s="1115">
        <v>460</v>
      </c>
      <c r="L155" s="1115">
        <v>325</v>
      </c>
      <c r="M155" s="1115">
        <v>45</v>
      </c>
      <c r="N155" s="1116">
        <v>1460</v>
      </c>
      <c r="O155" s="1119" t="s">
        <v>52</v>
      </c>
      <c r="P155" s="1119"/>
      <c r="Q155" s="1119"/>
      <c r="R155" s="1119"/>
      <c r="S155" s="1119"/>
      <c r="T155" s="1118" t="s">
        <v>1341</v>
      </c>
    </row>
    <row r="156" spans="1:20" x14ac:dyDescent="0.35">
      <c r="A156" s="1067" t="s">
        <v>1342</v>
      </c>
      <c r="B156" s="1068" t="s">
        <v>1343</v>
      </c>
      <c r="C156" s="1115">
        <v>0</v>
      </c>
      <c r="D156" s="1115">
        <v>6</v>
      </c>
      <c r="E156" s="1115">
        <v>8</v>
      </c>
      <c r="F156" s="1115">
        <v>1</v>
      </c>
      <c r="G156" s="1115">
        <v>0</v>
      </c>
      <c r="H156" s="1115">
        <v>0</v>
      </c>
      <c r="I156" s="1115">
        <v>0</v>
      </c>
      <c r="J156" s="1115">
        <v>0</v>
      </c>
      <c r="K156" s="1115">
        <v>0</v>
      </c>
      <c r="L156" s="1115">
        <v>0</v>
      </c>
      <c r="M156" s="1115">
        <v>15</v>
      </c>
      <c r="N156" s="1115">
        <v>15</v>
      </c>
      <c r="O156" s="1119" t="s">
        <v>52</v>
      </c>
      <c r="P156" s="1119"/>
      <c r="Q156" s="1119"/>
      <c r="R156" s="1119"/>
      <c r="S156" s="1119"/>
      <c r="T156" s="1118" t="s">
        <v>1344</v>
      </c>
    </row>
    <row r="157" spans="1:20" ht="24" customHeight="1" x14ac:dyDescent="0.35">
      <c r="A157" s="1050" t="s">
        <v>1345</v>
      </c>
      <c r="B157" s="1051" t="s">
        <v>1346</v>
      </c>
      <c r="C157" s="1115">
        <v>0</v>
      </c>
      <c r="D157" s="1115">
        <v>5</v>
      </c>
      <c r="E157" s="1115">
        <v>41</v>
      </c>
      <c r="F157" s="1115">
        <v>116</v>
      </c>
      <c r="G157" s="1115">
        <v>284</v>
      </c>
      <c r="H157" s="1115">
        <v>417</v>
      </c>
      <c r="I157" s="1115">
        <v>459</v>
      </c>
      <c r="J157" s="1115">
        <v>355</v>
      </c>
      <c r="K157" s="1115">
        <v>210</v>
      </c>
      <c r="L157" s="1115">
        <v>90</v>
      </c>
      <c r="M157" s="1115">
        <v>446</v>
      </c>
      <c r="N157" s="1116">
        <v>1977</v>
      </c>
      <c r="O157" s="1120" t="s">
        <v>52</v>
      </c>
      <c r="P157" s="1120"/>
      <c r="Q157" s="1120"/>
      <c r="R157" s="1120"/>
      <c r="S157" s="1120"/>
      <c r="T157" s="1121" t="s">
        <v>1347</v>
      </c>
    </row>
    <row r="158" spans="1:20" ht="24" customHeight="1" x14ac:dyDescent="0.35">
      <c r="A158" s="1050" t="s">
        <v>1348</v>
      </c>
      <c r="B158" s="1051" t="s">
        <v>1349</v>
      </c>
      <c r="C158" s="1115">
        <v>0</v>
      </c>
      <c r="D158" s="1115">
        <v>20</v>
      </c>
      <c r="E158" s="1115">
        <v>100</v>
      </c>
      <c r="F158" s="1115">
        <v>460</v>
      </c>
      <c r="G158" s="1116">
        <v>1070</v>
      </c>
      <c r="H158" s="1116">
        <v>1430</v>
      </c>
      <c r="I158" s="1116">
        <v>1110</v>
      </c>
      <c r="J158" s="1115">
        <v>660</v>
      </c>
      <c r="K158" s="1115">
        <v>300</v>
      </c>
      <c r="L158" s="1115">
        <v>100</v>
      </c>
      <c r="M158" s="1116">
        <v>1650</v>
      </c>
      <c r="N158" s="1116">
        <v>5250</v>
      </c>
      <c r="O158" s="1119" t="s">
        <v>52</v>
      </c>
      <c r="P158" s="1119"/>
      <c r="Q158" s="1119"/>
      <c r="R158" s="1119"/>
      <c r="S158" s="1119"/>
      <c r="T158" s="1118" t="s">
        <v>1350</v>
      </c>
    </row>
    <row r="159" spans="1:20" x14ac:dyDescent="0.35">
      <c r="A159" s="1050" t="s">
        <v>1351</v>
      </c>
      <c r="B159" s="1051" t="s">
        <v>1352</v>
      </c>
      <c r="C159" s="1133">
        <v>0</v>
      </c>
      <c r="D159" s="1133">
        <v>56</v>
      </c>
      <c r="E159" s="1133">
        <v>141</v>
      </c>
      <c r="F159" s="1133">
        <v>230</v>
      </c>
      <c r="G159" s="1133">
        <v>343</v>
      </c>
      <c r="H159" s="1133">
        <v>470</v>
      </c>
      <c r="I159" s="1133">
        <v>620</v>
      </c>
      <c r="J159" s="1133">
        <v>802</v>
      </c>
      <c r="K159" s="1133">
        <v>1024</v>
      </c>
      <c r="L159" s="1133">
        <v>1330</v>
      </c>
      <c r="M159" s="1133">
        <v>769</v>
      </c>
      <c r="N159" s="1133">
        <v>5015</v>
      </c>
      <c r="O159" s="1117" t="s">
        <v>52</v>
      </c>
      <c r="P159" s="1117"/>
      <c r="Q159" s="1117"/>
      <c r="R159" s="1117"/>
      <c r="S159" s="1117"/>
      <c r="T159" s="1055"/>
    </row>
    <row r="160" spans="1:20" x14ac:dyDescent="0.35">
      <c r="A160" s="1050" t="s">
        <v>1353</v>
      </c>
      <c r="B160" s="1051" t="s">
        <v>1354</v>
      </c>
      <c r="C160" s="1115"/>
      <c r="D160" s="1115"/>
      <c r="E160" s="1115"/>
      <c r="F160" s="1115"/>
      <c r="G160" s="1115"/>
      <c r="H160" s="1115"/>
      <c r="I160" s="1115"/>
      <c r="J160" s="1115"/>
      <c r="K160" s="1115"/>
      <c r="L160" s="1115"/>
      <c r="M160" s="1115"/>
      <c r="N160" s="1116"/>
      <c r="O160" s="1120"/>
      <c r="P160" s="1120"/>
      <c r="Q160" s="1120"/>
      <c r="R160" s="1120"/>
      <c r="S160" s="1120"/>
      <c r="T160" s="1055"/>
    </row>
    <row r="161" spans="1:21" x14ac:dyDescent="0.35">
      <c r="A161" s="1050" t="s">
        <v>1355</v>
      </c>
      <c r="B161" s="1051" t="s">
        <v>1356</v>
      </c>
      <c r="C161" s="1115"/>
      <c r="D161" s="1115"/>
      <c r="E161" s="1115"/>
      <c r="F161" s="1115"/>
      <c r="G161" s="1115"/>
      <c r="H161" s="1115"/>
      <c r="I161" s="1115"/>
      <c r="J161" s="1115"/>
      <c r="K161" s="1115"/>
      <c r="L161" s="1115"/>
      <c r="M161" s="1115"/>
      <c r="N161" s="1116"/>
      <c r="O161" s="1134"/>
      <c r="P161" s="1134"/>
      <c r="Q161" s="1134"/>
      <c r="R161" s="1134"/>
      <c r="S161" s="1134"/>
      <c r="T161" s="1135"/>
    </row>
    <row r="162" spans="1:21" x14ac:dyDescent="0.35">
      <c r="A162" s="1050" t="s">
        <v>1357</v>
      </c>
      <c r="B162" s="1051" t="s">
        <v>1358</v>
      </c>
      <c r="C162" s="1115">
        <v>0</v>
      </c>
      <c r="D162" s="1115">
        <v>20</v>
      </c>
      <c r="E162" s="1115">
        <v>70</v>
      </c>
      <c r="F162" s="1115">
        <v>130</v>
      </c>
      <c r="G162" s="1115">
        <v>155</v>
      </c>
      <c r="H162" s="1115">
        <v>155</v>
      </c>
      <c r="I162" s="1115">
        <v>155</v>
      </c>
      <c r="J162" s="1115">
        <v>135</v>
      </c>
      <c r="K162" s="1115">
        <v>80</v>
      </c>
      <c r="L162" s="1115">
        <v>20</v>
      </c>
      <c r="M162" s="1115">
        <v>375</v>
      </c>
      <c r="N162" s="1115">
        <v>920</v>
      </c>
      <c r="O162" s="1119" t="s">
        <v>52</v>
      </c>
      <c r="P162" s="1119"/>
      <c r="Q162" s="1119"/>
      <c r="R162" s="1119"/>
      <c r="S162" s="1119"/>
      <c r="T162" s="1055"/>
    </row>
    <row r="163" spans="1:21" x14ac:dyDescent="0.35">
      <c r="A163" s="1067" t="s">
        <v>1359</v>
      </c>
      <c r="B163" s="1068" t="s">
        <v>1360</v>
      </c>
      <c r="C163" s="1115">
        <v>0</v>
      </c>
      <c r="D163" s="1115">
        <v>15</v>
      </c>
      <c r="E163" s="1115">
        <v>12</v>
      </c>
      <c r="F163" s="1115">
        <v>8</v>
      </c>
      <c r="G163" s="1115">
        <v>4</v>
      </c>
      <c r="H163" s="1115">
        <v>0</v>
      </c>
      <c r="I163" s="1115">
        <v>0</v>
      </c>
      <c r="J163" s="1115">
        <v>0</v>
      </c>
      <c r="K163" s="1115">
        <v>0</v>
      </c>
      <c r="L163" s="1115">
        <v>0</v>
      </c>
      <c r="M163" s="1115">
        <v>39</v>
      </c>
      <c r="N163" s="1115">
        <v>39</v>
      </c>
      <c r="O163" s="1119" t="s">
        <v>52</v>
      </c>
      <c r="P163" s="1119"/>
      <c r="Q163" s="1119"/>
      <c r="R163" s="1119"/>
      <c r="S163" s="1119"/>
      <c r="T163" s="1055"/>
    </row>
    <row r="164" spans="1:21" x14ac:dyDescent="0.35">
      <c r="A164" s="1050" t="s">
        <v>1361</v>
      </c>
      <c r="B164" s="1051" t="s">
        <v>1362</v>
      </c>
      <c r="C164" s="1136">
        <v>0</v>
      </c>
      <c r="D164" s="1136">
        <v>25</v>
      </c>
      <c r="E164" s="1136">
        <v>100</v>
      </c>
      <c r="F164" s="1136">
        <v>125</v>
      </c>
      <c r="G164" s="1136">
        <v>100</v>
      </c>
      <c r="H164" s="1136">
        <v>75</v>
      </c>
      <c r="I164" s="1136">
        <v>30</v>
      </c>
      <c r="J164" s="1136">
        <v>20</v>
      </c>
      <c r="K164" s="1136">
        <v>0</v>
      </c>
      <c r="L164" s="1136">
        <v>0</v>
      </c>
      <c r="M164" s="1136">
        <v>350</v>
      </c>
      <c r="N164" s="1136">
        <v>475</v>
      </c>
      <c r="O164" s="1137" t="s">
        <v>52</v>
      </c>
      <c r="P164" s="1137"/>
      <c r="Q164" s="1137"/>
      <c r="R164" s="1137"/>
      <c r="S164" s="1137"/>
      <c r="T164" s="1055"/>
    </row>
    <row r="165" spans="1:21" x14ac:dyDescent="0.35">
      <c r="A165" s="42"/>
      <c r="B165" s="994"/>
      <c r="C165" s="57"/>
      <c r="D165" s="57"/>
      <c r="E165" s="57"/>
      <c r="F165" s="57"/>
      <c r="G165" s="57"/>
      <c r="H165" s="57"/>
      <c r="I165" s="57"/>
      <c r="J165" s="57"/>
      <c r="K165" s="57"/>
      <c r="L165" s="57"/>
      <c r="M165" s="57"/>
      <c r="N165" s="57"/>
      <c r="O165" s="42"/>
      <c r="P165" s="42"/>
      <c r="Q165" s="42"/>
      <c r="R165" s="42"/>
      <c r="S165" s="42"/>
      <c r="T165" s="994"/>
    </row>
    <row r="167" spans="1:21" x14ac:dyDescent="0.35">
      <c r="A167" s="43" t="s">
        <v>1370</v>
      </c>
    </row>
    <row r="168" spans="1:21" x14ac:dyDescent="0.35">
      <c r="A168" s="1138"/>
      <c r="B168" s="1138"/>
      <c r="C168" s="1122"/>
      <c r="D168" s="1122">
        <v>2022</v>
      </c>
      <c r="E168" s="1122">
        <v>2023</v>
      </c>
      <c r="F168" s="1122">
        <v>2024</v>
      </c>
      <c r="G168" s="1122">
        <v>2025</v>
      </c>
      <c r="H168" s="1122">
        <v>2026</v>
      </c>
      <c r="I168" s="1122">
        <v>2027</v>
      </c>
      <c r="J168" s="1122">
        <v>2028</v>
      </c>
      <c r="K168" s="1122">
        <v>2029</v>
      </c>
      <c r="L168" s="1122">
        <v>2030</v>
      </c>
      <c r="M168" s="1123">
        <v>2031</v>
      </c>
      <c r="N168" s="1124" t="s">
        <v>1363</v>
      </c>
      <c r="O168" s="1124" t="s">
        <v>1364</v>
      </c>
      <c r="P168" s="1109"/>
      <c r="Q168" s="1109"/>
      <c r="R168" s="1109"/>
      <c r="S168" s="1109"/>
      <c r="U168" s="29"/>
    </row>
    <row r="169" spans="1:21" x14ac:dyDescent="0.35">
      <c r="A169" s="1139" t="s">
        <v>1365</v>
      </c>
      <c r="B169" s="1139"/>
      <c r="C169" s="1145"/>
      <c r="D169" s="1145">
        <f t="shared" ref="D169:O169" si="9">D78/1000</f>
        <v>0</v>
      </c>
      <c r="E169" s="1145">
        <f t="shared" si="9"/>
        <v>6.8000000000000005E-2</v>
      </c>
      <c r="F169" s="1145">
        <f t="shared" si="9"/>
        <v>1.363</v>
      </c>
      <c r="G169" s="1145">
        <f t="shared" si="9"/>
        <v>2.4329999999999998</v>
      </c>
      <c r="H169" s="1145">
        <f t="shared" si="9"/>
        <v>2.8029999999999999</v>
      </c>
      <c r="I169" s="1145">
        <f t="shared" si="9"/>
        <v>1.7410000000000001</v>
      </c>
      <c r="J169" s="1145">
        <f t="shared" si="9"/>
        <v>0.56999999999999995</v>
      </c>
      <c r="K169" s="1145">
        <f t="shared" si="9"/>
        <v>3.5000000000000003E-2</v>
      </c>
      <c r="L169" s="1145">
        <f t="shared" si="9"/>
        <v>0</v>
      </c>
      <c r="M169" s="1145">
        <f t="shared" si="9"/>
        <v>0</v>
      </c>
      <c r="N169" s="1145">
        <f t="shared" si="9"/>
        <v>6.6669999999999998</v>
      </c>
      <c r="O169" s="1145">
        <f t="shared" si="9"/>
        <v>9.0129999999999999</v>
      </c>
      <c r="P169" s="1145"/>
      <c r="Q169" s="1145"/>
      <c r="R169" s="1145"/>
      <c r="S169" s="1145"/>
      <c r="U169" s="29"/>
    </row>
    <row r="170" spans="1:21" x14ac:dyDescent="0.35">
      <c r="A170" s="1139" t="s">
        <v>1366</v>
      </c>
      <c r="B170" s="1139"/>
      <c r="C170" s="1145"/>
      <c r="D170" s="1145">
        <f t="shared" ref="D170:O170" si="10">(D77+D70)/1000</f>
        <v>0</v>
      </c>
      <c r="E170" s="1145">
        <f t="shared" si="10"/>
        <v>0.81899999999999995</v>
      </c>
      <c r="F170" s="1145">
        <f t="shared" si="10"/>
        <v>2.4780000000000002</v>
      </c>
      <c r="G170" s="1145">
        <f t="shared" si="10"/>
        <v>4.0720000000000001</v>
      </c>
      <c r="H170" s="1145">
        <f t="shared" si="10"/>
        <v>5.4480000000000004</v>
      </c>
      <c r="I170" s="1145">
        <f t="shared" si="10"/>
        <v>4.8289999999999997</v>
      </c>
      <c r="J170" s="1145">
        <f t="shared" si="10"/>
        <v>3.2949999999999999</v>
      </c>
      <c r="K170" s="1145">
        <f t="shared" si="10"/>
        <v>1.98</v>
      </c>
      <c r="L170" s="1145">
        <f t="shared" si="10"/>
        <v>1.01</v>
      </c>
      <c r="M170" s="1145">
        <f t="shared" si="10"/>
        <v>0.40400000000000003</v>
      </c>
      <c r="N170" s="1145">
        <f t="shared" si="10"/>
        <v>12.817</v>
      </c>
      <c r="O170" s="1145">
        <f t="shared" si="10"/>
        <v>24.335000000000001</v>
      </c>
      <c r="P170" s="1145"/>
      <c r="Q170" s="1145"/>
      <c r="R170" s="1145"/>
      <c r="S170" s="1145"/>
      <c r="U170" s="29"/>
    </row>
    <row r="171" spans="1:21" x14ac:dyDescent="0.35">
      <c r="A171" s="1139" t="s">
        <v>1367</v>
      </c>
      <c r="B171" s="1139"/>
      <c r="C171" s="1145"/>
      <c r="D171" s="1145">
        <f t="shared" ref="D171:O171" si="11">(D69+D76)/1000</f>
        <v>0</v>
      </c>
      <c r="E171" s="1145">
        <f t="shared" si="11"/>
        <v>4.5430000000000001</v>
      </c>
      <c r="F171" s="1145">
        <f t="shared" si="11"/>
        <v>5.6079999999999997</v>
      </c>
      <c r="G171" s="1145">
        <f t="shared" si="11"/>
        <v>8.16</v>
      </c>
      <c r="H171" s="1145">
        <f t="shared" si="11"/>
        <v>10.069000000000001</v>
      </c>
      <c r="I171" s="1145">
        <f t="shared" si="11"/>
        <v>12.026999999999999</v>
      </c>
      <c r="J171" s="1145">
        <f t="shared" si="11"/>
        <v>13.826000000000001</v>
      </c>
      <c r="K171" s="1145">
        <f t="shared" si="11"/>
        <v>15.862</v>
      </c>
      <c r="L171" s="1145">
        <f t="shared" si="11"/>
        <v>17.890999999999998</v>
      </c>
      <c r="M171" s="1145">
        <f t="shared" si="11"/>
        <v>17.481000000000002</v>
      </c>
      <c r="N171" s="1145">
        <f t="shared" si="11"/>
        <v>28.38</v>
      </c>
      <c r="O171" s="1145">
        <f t="shared" si="11"/>
        <v>105.467</v>
      </c>
      <c r="P171" s="1145"/>
      <c r="Q171" s="1145"/>
      <c r="R171" s="1145"/>
      <c r="S171" s="1145"/>
      <c r="U171" s="29"/>
    </row>
    <row r="172" spans="1:21" x14ac:dyDescent="0.35">
      <c r="A172" s="1140" t="s">
        <v>52</v>
      </c>
      <c r="B172" s="1140"/>
      <c r="C172" s="1145"/>
      <c r="D172" s="1145">
        <f t="shared" ref="D172:O172" si="12">(D79+D74)/1000</f>
        <v>0</v>
      </c>
      <c r="E172" s="1145">
        <f t="shared" si="12"/>
        <v>1.2969999999999999</v>
      </c>
      <c r="F172" s="1145">
        <f t="shared" si="12"/>
        <v>3.8479999999999999</v>
      </c>
      <c r="G172" s="1145">
        <f t="shared" si="12"/>
        <v>6.4420000000000002</v>
      </c>
      <c r="H172" s="1145">
        <f t="shared" si="12"/>
        <v>9.532</v>
      </c>
      <c r="I172" s="1145">
        <f t="shared" si="12"/>
        <v>11.882</v>
      </c>
      <c r="J172" s="1145">
        <f t="shared" si="12"/>
        <v>11.727</v>
      </c>
      <c r="K172" s="1145">
        <f t="shared" si="12"/>
        <v>10.569000000000001</v>
      </c>
      <c r="L172" s="1145">
        <f t="shared" si="12"/>
        <v>8.8879999999999999</v>
      </c>
      <c r="M172" s="1145">
        <f t="shared" si="12"/>
        <v>7.1890000000000001</v>
      </c>
      <c r="N172" s="1145">
        <f t="shared" si="12"/>
        <v>21.117000000000001</v>
      </c>
      <c r="O172" s="1145">
        <f t="shared" si="12"/>
        <v>71.372</v>
      </c>
      <c r="P172" s="1145"/>
      <c r="Q172" s="1145"/>
      <c r="R172" s="1145"/>
      <c r="S172" s="1145"/>
      <c r="U172" s="29"/>
    </row>
    <row r="173" spans="1:21" x14ac:dyDescent="0.35">
      <c r="A173" s="1141" t="s">
        <v>526</v>
      </c>
      <c r="B173" s="1141"/>
      <c r="C173" s="1145"/>
      <c r="D173" s="1145"/>
      <c r="E173" s="1145"/>
      <c r="F173" s="1145"/>
      <c r="G173" s="1145"/>
      <c r="H173" s="1145"/>
      <c r="I173" s="1145"/>
      <c r="J173" s="1145"/>
      <c r="K173" s="1145"/>
      <c r="L173" s="1145"/>
      <c r="M173" s="1145"/>
      <c r="N173" s="1145"/>
      <c r="O173" s="1145"/>
      <c r="P173" s="1145"/>
      <c r="Q173" s="1145"/>
      <c r="R173" s="1145"/>
      <c r="S173" s="1145"/>
      <c r="U173" s="29"/>
    </row>
    <row r="174" spans="1:21" x14ac:dyDescent="0.35">
      <c r="A174" s="1142" t="s">
        <v>54</v>
      </c>
      <c r="B174" s="1142"/>
      <c r="C174" s="1145"/>
      <c r="D174" s="1145">
        <f t="shared" ref="D174:O174" si="13">D71/1000</f>
        <v>0</v>
      </c>
      <c r="E174" s="1145">
        <f t="shared" si="13"/>
        <v>0.11</v>
      </c>
      <c r="F174" s="1145">
        <f t="shared" si="13"/>
        <v>0.73899999999999999</v>
      </c>
      <c r="G174" s="1145">
        <f t="shared" si="13"/>
        <v>1.1950000000000001</v>
      </c>
      <c r="H174" s="1145">
        <f t="shared" si="13"/>
        <v>1.4970000000000001</v>
      </c>
      <c r="I174" s="1145">
        <f t="shared" si="13"/>
        <v>1.91</v>
      </c>
      <c r="J174" s="1145">
        <f t="shared" si="13"/>
        <v>2.4049999999999998</v>
      </c>
      <c r="K174" s="1145">
        <f t="shared" si="13"/>
        <v>2.9220000000000002</v>
      </c>
      <c r="L174" s="1145">
        <f t="shared" si="13"/>
        <v>3.4630000000000001</v>
      </c>
      <c r="M174" s="1145">
        <f t="shared" si="13"/>
        <v>4.0069999999999997</v>
      </c>
      <c r="N174" s="1145">
        <f t="shared" si="13"/>
        <v>3.5409999999999999</v>
      </c>
      <c r="O174" s="1145">
        <f t="shared" si="13"/>
        <v>18.248000000000001</v>
      </c>
      <c r="P174" s="1145"/>
      <c r="Q174" s="1145"/>
      <c r="R174" s="1145"/>
      <c r="S174" s="1145"/>
      <c r="U174" s="29"/>
    </row>
    <row r="175" spans="1:21" x14ac:dyDescent="0.35">
      <c r="A175" s="1142" t="s">
        <v>1368</v>
      </c>
      <c r="B175" s="1142"/>
      <c r="C175" s="1145"/>
      <c r="D175" s="1145">
        <f t="shared" ref="D175:O175" si="14">D72/1000</f>
        <v>0</v>
      </c>
      <c r="E175" s="1145">
        <f t="shared" si="14"/>
        <v>-0.41499999999999998</v>
      </c>
      <c r="F175" s="1145">
        <f t="shared" si="14"/>
        <v>2.7679999999999998</v>
      </c>
      <c r="G175" s="1145">
        <f t="shared" si="14"/>
        <v>-12.473000000000001</v>
      </c>
      <c r="H175" s="1145">
        <f t="shared" si="14"/>
        <v>-5.3739999999999997</v>
      </c>
      <c r="I175" s="1145">
        <f t="shared" si="14"/>
        <v>-25.515000000000001</v>
      </c>
      <c r="J175" s="1145">
        <f t="shared" si="14"/>
        <v>-43.975000000000001</v>
      </c>
      <c r="K175" s="1145">
        <f t="shared" si="14"/>
        <v>-46.426000000000002</v>
      </c>
      <c r="L175" s="1145">
        <f t="shared" si="14"/>
        <v>-56.228000000000002</v>
      </c>
      <c r="M175" s="1145">
        <f t="shared" si="14"/>
        <v>-60.581000000000003</v>
      </c>
      <c r="N175" s="1145">
        <f t="shared" si="14"/>
        <v>-15.494</v>
      </c>
      <c r="O175" s="1145">
        <f t="shared" si="14"/>
        <v>-248.21899999999999</v>
      </c>
      <c r="P175" s="1145"/>
      <c r="Q175" s="1145"/>
      <c r="R175" s="1145"/>
      <c r="S175" s="1145"/>
      <c r="U175" s="29"/>
    </row>
    <row r="176" spans="1:21" x14ac:dyDescent="0.35">
      <c r="A176" s="1143" t="s">
        <v>57</v>
      </c>
      <c r="B176" s="1143"/>
      <c r="C176" s="1145"/>
      <c r="D176" s="1145">
        <f t="shared" ref="D176:O176" si="15">(D80+D73)/1000</f>
        <v>-0.622</v>
      </c>
      <c r="E176" s="1145">
        <f t="shared" si="15"/>
        <v>21.89</v>
      </c>
      <c r="F176" s="1145">
        <f t="shared" si="15"/>
        <v>15.439</v>
      </c>
      <c r="G176" s="1145">
        <f t="shared" si="15"/>
        <v>16.966999999999999</v>
      </c>
      <c r="H176" s="1145">
        <f t="shared" si="15"/>
        <v>0.72799999999999998</v>
      </c>
      <c r="I176" s="1145">
        <f t="shared" si="15"/>
        <v>7.657</v>
      </c>
      <c r="J176" s="1145">
        <f t="shared" si="15"/>
        <v>4.5590000000000002</v>
      </c>
      <c r="K176" s="1145">
        <f t="shared" si="15"/>
        <v>2.4649999999999999</v>
      </c>
      <c r="L176" s="1145">
        <f t="shared" si="15"/>
        <v>1.444</v>
      </c>
      <c r="M176" s="1145">
        <f t="shared" si="15"/>
        <v>0.77300000000000002</v>
      </c>
      <c r="N176" s="1145">
        <f t="shared" si="15"/>
        <v>54.402000000000001</v>
      </c>
      <c r="O176" s="1145">
        <f t="shared" si="15"/>
        <v>71.3</v>
      </c>
      <c r="P176" s="1145"/>
      <c r="Q176" s="1145"/>
      <c r="R176" s="1145"/>
      <c r="S176" s="1145"/>
      <c r="U176" s="29"/>
    </row>
    <row r="177" spans="1:21" x14ac:dyDescent="0.35">
      <c r="A177" s="1144" t="s">
        <v>1424</v>
      </c>
      <c r="B177" s="1144"/>
      <c r="C177" s="1145"/>
      <c r="D177" s="1132">
        <f t="shared" ref="D177:O177" si="16">D84/1000</f>
        <v>0</v>
      </c>
      <c r="E177" s="1132">
        <f t="shared" si="16"/>
        <v>-3.1549999999999998</v>
      </c>
      <c r="F177" s="1132">
        <f t="shared" si="16"/>
        <v>-2.2309999999999999</v>
      </c>
      <c r="G177" s="1132">
        <f t="shared" si="16"/>
        <v>-1.6080000000000001</v>
      </c>
      <c r="H177" s="1132">
        <f t="shared" si="16"/>
        <v>-0.77</v>
      </c>
      <c r="I177" s="1132">
        <f t="shared" si="16"/>
        <v>-0.98299999999999998</v>
      </c>
      <c r="J177" s="1132">
        <f t="shared" si="16"/>
        <v>-1.2110000000000001</v>
      </c>
      <c r="K177" s="1132">
        <f t="shared" si="16"/>
        <v>-1.4710000000000001</v>
      </c>
      <c r="L177" s="1132">
        <f t="shared" si="16"/>
        <v>-1.81</v>
      </c>
      <c r="M177" s="1132">
        <f t="shared" si="16"/>
        <v>-2.3250000000000002</v>
      </c>
      <c r="N177" s="1132">
        <f t="shared" si="16"/>
        <v>-7.7670000000000003</v>
      </c>
      <c r="O177" s="1132">
        <f t="shared" si="16"/>
        <v>-15.566000000000001</v>
      </c>
      <c r="P177" s="1132"/>
      <c r="Q177" s="1132"/>
      <c r="R177" s="1132"/>
      <c r="S177" s="1132"/>
      <c r="U177" s="29"/>
    </row>
    <row r="178" spans="1:21" x14ac:dyDescent="0.35">
      <c r="A178" s="1144" t="s">
        <v>239</v>
      </c>
      <c r="B178" s="1144"/>
      <c r="C178" s="1145"/>
      <c r="D178" s="1132">
        <f t="shared" ref="D178:O178" si="17">D85/1000</f>
        <v>0</v>
      </c>
      <c r="E178" s="1132">
        <f t="shared" si="17"/>
        <v>0.45200000000000001</v>
      </c>
      <c r="F178" s="1132">
        <f t="shared" si="17"/>
        <v>-8.67</v>
      </c>
      <c r="G178" s="1132">
        <f t="shared" si="17"/>
        <v>-4.5270000000000001</v>
      </c>
      <c r="H178" s="1132">
        <f t="shared" si="17"/>
        <v>-0.70499999999999996</v>
      </c>
      <c r="I178" s="1132">
        <f t="shared" si="17"/>
        <v>15.813000000000001</v>
      </c>
      <c r="J178" s="1132">
        <f t="shared" si="17"/>
        <v>20.372</v>
      </c>
      <c r="K178" s="1132">
        <f t="shared" si="17"/>
        <v>24.847000000000001</v>
      </c>
      <c r="L178" s="1132">
        <f t="shared" si="17"/>
        <v>28.113</v>
      </c>
      <c r="M178" s="1132">
        <f t="shared" si="17"/>
        <v>24.777000000000001</v>
      </c>
      <c r="N178" s="1132">
        <f t="shared" si="17"/>
        <v>-13.451000000000001</v>
      </c>
      <c r="O178" s="1132">
        <f t="shared" si="17"/>
        <v>100.468</v>
      </c>
      <c r="P178" s="1132"/>
      <c r="Q178" s="1132"/>
      <c r="R178" s="1132"/>
      <c r="S178" s="1132"/>
      <c r="U178" s="29"/>
    </row>
    <row r="179" spans="1:21" x14ac:dyDescent="0.35">
      <c r="A179" s="1144" t="s">
        <v>106</v>
      </c>
      <c r="B179" s="1144"/>
      <c r="C179" s="1145"/>
      <c r="D179" s="1132">
        <f t="shared" ref="D179:O179" si="18">D83/1000</f>
        <v>0</v>
      </c>
      <c r="E179" s="1132">
        <f t="shared" si="18"/>
        <v>35.317</v>
      </c>
      <c r="F179" s="1132">
        <f t="shared" si="18"/>
        <v>36.033000000000001</v>
      </c>
      <c r="G179" s="1132">
        <f t="shared" si="18"/>
        <v>21.076000000000001</v>
      </c>
      <c r="H179" s="1132">
        <f t="shared" si="18"/>
        <v>13.346</v>
      </c>
      <c r="I179" s="1132">
        <f t="shared" si="18"/>
        <v>27.507999999999999</v>
      </c>
      <c r="J179" s="1132">
        <f t="shared" si="18"/>
        <v>35.85</v>
      </c>
      <c r="K179" s="1132">
        <f t="shared" si="18"/>
        <v>18.64</v>
      </c>
      <c r="L179" s="1132">
        <f t="shared" si="18"/>
        <v>8.3940000000000001</v>
      </c>
      <c r="M179" s="1132">
        <f t="shared" si="18"/>
        <v>7.9820000000000002</v>
      </c>
      <c r="N179" s="1132">
        <f t="shared" si="18"/>
        <v>105.76900000000001</v>
      </c>
      <c r="O179" s="1132">
        <f t="shared" si="18"/>
        <v>204.14400000000001</v>
      </c>
      <c r="P179" s="1132"/>
      <c r="Q179" s="1132"/>
      <c r="R179" s="1132"/>
      <c r="S179" s="1132"/>
      <c r="U179" s="29"/>
    </row>
    <row r="182" spans="1:21" x14ac:dyDescent="0.35">
      <c r="A182" s="43" t="s">
        <v>1369</v>
      </c>
    </row>
    <row r="183" spans="1:21" x14ac:dyDescent="0.35">
      <c r="A183" s="1138"/>
      <c r="B183" s="1138"/>
      <c r="C183" s="1138"/>
      <c r="D183" s="1138" t="s">
        <v>183</v>
      </c>
      <c r="E183" s="1138" t="s">
        <v>184</v>
      </c>
      <c r="F183" s="1138" t="s">
        <v>185</v>
      </c>
      <c r="G183" s="1138" t="s">
        <v>186</v>
      </c>
      <c r="H183" s="1138" t="s">
        <v>187</v>
      </c>
      <c r="I183" s="1138" t="s">
        <v>188</v>
      </c>
      <c r="J183" s="1138" t="s">
        <v>189</v>
      </c>
      <c r="K183" s="1138" t="s">
        <v>190</v>
      </c>
      <c r="L183" s="1138" t="s">
        <v>191</v>
      </c>
      <c r="M183" s="1138" t="s">
        <v>175</v>
      </c>
      <c r="N183" s="1138" t="s">
        <v>176</v>
      </c>
      <c r="O183" s="1138" t="s">
        <v>177</v>
      </c>
      <c r="P183" s="1138" t="s">
        <v>763</v>
      </c>
      <c r="Q183" s="1138" t="s">
        <v>764</v>
      </c>
      <c r="R183" s="1138" t="s">
        <v>765</v>
      </c>
      <c r="S183" s="1138" t="s">
        <v>1152</v>
      </c>
      <c r="U183" s="29"/>
    </row>
    <row r="184" spans="1:21" x14ac:dyDescent="0.35">
      <c r="A184" s="1139" t="s">
        <v>1365</v>
      </c>
      <c r="B184" s="1139"/>
      <c r="C184" s="1146"/>
      <c r="D184" s="1146">
        <f t="shared" ref="D184:D191" si="19">D169</f>
        <v>0</v>
      </c>
      <c r="E184" s="1146">
        <f>D184</f>
        <v>0</v>
      </c>
      <c r="F184" s="1146">
        <f t="shared" ref="F184:F191" si="20">E169</f>
        <v>6.8000000000000005E-2</v>
      </c>
      <c r="G184" s="1146">
        <f>F184</f>
        <v>6.8000000000000005E-2</v>
      </c>
      <c r="H184" s="1146">
        <f>G184</f>
        <v>6.8000000000000005E-2</v>
      </c>
      <c r="I184" s="1146">
        <f>H184</f>
        <v>6.8000000000000005E-2</v>
      </c>
      <c r="J184" s="1146">
        <f t="shared" ref="J184:J191" si="21">F169</f>
        <v>1.363</v>
      </c>
      <c r="K184" s="1146">
        <f t="shared" ref="K184:M191" si="22">J184</f>
        <v>1.363</v>
      </c>
      <c r="L184" s="1146">
        <f t="shared" si="22"/>
        <v>1.363</v>
      </c>
      <c r="M184" s="1146">
        <f>L184</f>
        <v>1.363</v>
      </c>
      <c r="N184" s="1146">
        <f>G169</f>
        <v>2.4329999999999998</v>
      </c>
      <c r="O184" s="1146">
        <f>N184</f>
        <v>2.4329999999999998</v>
      </c>
      <c r="P184" s="1146">
        <f t="shared" ref="P184:Q184" si="23">O184</f>
        <v>2.4329999999999998</v>
      </c>
      <c r="Q184" s="1146">
        <f t="shared" si="23"/>
        <v>2.4329999999999998</v>
      </c>
      <c r="R184" s="1146">
        <f>H169</f>
        <v>2.8029999999999999</v>
      </c>
      <c r="S184" s="1146">
        <f>R184</f>
        <v>2.8029999999999999</v>
      </c>
      <c r="U184" s="29"/>
    </row>
    <row r="185" spans="1:21" x14ac:dyDescent="0.35">
      <c r="A185" s="1139" t="s">
        <v>1366</v>
      </c>
      <c r="B185" s="1139"/>
      <c r="C185" s="1146"/>
      <c r="D185" s="1146">
        <f t="shared" si="19"/>
        <v>0</v>
      </c>
      <c r="E185" s="1146">
        <f t="shared" ref="E185:E191" si="24">D185</f>
        <v>0</v>
      </c>
      <c r="F185" s="1146">
        <f t="shared" si="20"/>
        <v>0.81899999999999995</v>
      </c>
      <c r="G185" s="1146">
        <f t="shared" ref="G185:I191" si="25">F185</f>
        <v>0.81899999999999995</v>
      </c>
      <c r="H185" s="1146">
        <f t="shared" si="25"/>
        <v>0.81899999999999995</v>
      </c>
      <c r="I185" s="1146">
        <f t="shared" si="25"/>
        <v>0.81899999999999995</v>
      </c>
      <c r="J185" s="1146">
        <f>F170</f>
        <v>2.4780000000000002</v>
      </c>
      <c r="K185" s="1146">
        <f t="shared" si="22"/>
        <v>2.4780000000000002</v>
      </c>
      <c r="L185" s="1146">
        <f t="shared" si="22"/>
        <v>2.4780000000000002</v>
      </c>
      <c r="M185" s="1146">
        <f>L185</f>
        <v>2.4780000000000002</v>
      </c>
      <c r="N185" s="1146">
        <f>G170</f>
        <v>4.0720000000000001</v>
      </c>
      <c r="O185" s="1146">
        <f>N185</f>
        <v>4.0720000000000001</v>
      </c>
      <c r="P185" s="1146">
        <f t="shared" ref="P185:Q194" si="26">O185</f>
        <v>4.0720000000000001</v>
      </c>
      <c r="Q185" s="1146">
        <f t="shared" si="26"/>
        <v>4.0720000000000001</v>
      </c>
      <c r="R185" s="1146">
        <f>H170</f>
        <v>5.4480000000000004</v>
      </c>
      <c r="S185" s="1146">
        <f t="shared" ref="S185:S194" si="27">R185</f>
        <v>5.4480000000000004</v>
      </c>
      <c r="U185" s="29"/>
    </row>
    <row r="186" spans="1:21" x14ac:dyDescent="0.35">
      <c r="A186" s="1139" t="s">
        <v>1367</v>
      </c>
      <c r="B186" s="1139"/>
      <c r="C186" s="1146"/>
      <c r="D186" s="1146">
        <f t="shared" si="19"/>
        <v>0</v>
      </c>
      <c r="E186" s="1146">
        <f t="shared" si="24"/>
        <v>0</v>
      </c>
      <c r="F186" s="1146">
        <f t="shared" si="20"/>
        <v>4.5430000000000001</v>
      </c>
      <c r="G186" s="1146">
        <f t="shared" si="25"/>
        <v>4.5430000000000001</v>
      </c>
      <c r="H186" s="1146">
        <f t="shared" si="25"/>
        <v>4.5430000000000001</v>
      </c>
      <c r="I186" s="1146">
        <f t="shared" si="25"/>
        <v>4.5430000000000001</v>
      </c>
      <c r="J186" s="1146">
        <f t="shared" si="21"/>
        <v>5.6079999999999997</v>
      </c>
      <c r="K186" s="1146">
        <f t="shared" si="22"/>
        <v>5.6079999999999997</v>
      </c>
      <c r="L186" s="1146">
        <f t="shared" si="22"/>
        <v>5.6079999999999997</v>
      </c>
      <c r="M186" s="1146">
        <f t="shared" si="22"/>
        <v>5.6079999999999997</v>
      </c>
      <c r="N186" s="1146">
        <f>G171</f>
        <v>8.16</v>
      </c>
      <c r="O186" s="1146">
        <f t="shared" ref="O186:O191" si="28">N186</f>
        <v>8.16</v>
      </c>
      <c r="P186" s="1146">
        <f t="shared" si="26"/>
        <v>8.16</v>
      </c>
      <c r="Q186" s="1146">
        <f t="shared" si="26"/>
        <v>8.16</v>
      </c>
      <c r="R186" s="1146">
        <f t="shared" ref="R186:R194" si="29">H171</f>
        <v>10.069000000000001</v>
      </c>
      <c r="S186" s="1146">
        <f t="shared" si="27"/>
        <v>10.069000000000001</v>
      </c>
      <c r="U186" s="29"/>
    </row>
    <row r="187" spans="1:21" x14ac:dyDescent="0.35">
      <c r="A187" s="1140" t="s">
        <v>52</v>
      </c>
      <c r="B187" s="1140"/>
      <c r="C187" s="1146"/>
      <c r="D187" s="1146">
        <f t="shared" si="19"/>
        <v>0</v>
      </c>
      <c r="E187" s="1146">
        <f t="shared" si="24"/>
        <v>0</v>
      </c>
      <c r="F187" s="1146">
        <f t="shared" si="20"/>
        <v>1.2969999999999999</v>
      </c>
      <c r="G187" s="1146">
        <f t="shared" si="25"/>
        <v>1.2969999999999999</v>
      </c>
      <c r="H187" s="1146">
        <f t="shared" si="25"/>
        <v>1.2969999999999999</v>
      </c>
      <c r="I187" s="1146">
        <f t="shared" si="25"/>
        <v>1.2969999999999999</v>
      </c>
      <c r="J187" s="1146">
        <f t="shared" si="21"/>
        <v>3.8479999999999999</v>
      </c>
      <c r="K187" s="1146">
        <f t="shared" si="22"/>
        <v>3.8479999999999999</v>
      </c>
      <c r="L187" s="1146">
        <f t="shared" si="22"/>
        <v>3.8479999999999999</v>
      </c>
      <c r="M187" s="1146">
        <f t="shared" si="22"/>
        <v>3.8479999999999999</v>
      </c>
      <c r="N187" s="1146">
        <f t="shared" ref="N187:N191" si="30">G172</f>
        <v>6.4420000000000002</v>
      </c>
      <c r="O187" s="1146">
        <f t="shared" si="28"/>
        <v>6.4420000000000002</v>
      </c>
      <c r="P187" s="1146">
        <f t="shared" si="26"/>
        <v>6.4420000000000002</v>
      </c>
      <c r="Q187" s="1146">
        <f t="shared" si="26"/>
        <v>6.4420000000000002</v>
      </c>
      <c r="R187" s="1146">
        <f t="shared" si="29"/>
        <v>9.532</v>
      </c>
      <c r="S187" s="1146">
        <f t="shared" si="27"/>
        <v>9.532</v>
      </c>
      <c r="U187" s="29"/>
    </row>
    <row r="188" spans="1:21" x14ac:dyDescent="0.35">
      <c r="A188" s="1141" t="s">
        <v>526</v>
      </c>
      <c r="B188" s="1141"/>
      <c r="C188" s="1146"/>
      <c r="D188" s="1146">
        <f t="shared" si="19"/>
        <v>0</v>
      </c>
      <c r="E188" s="1146">
        <f t="shared" si="24"/>
        <v>0</v>
      </c>
      <c r="F188" s="1146">
        <f t="shared" si="20"/>
        <v>0</v>
      </c>
      <c r="G188" s="1146">
        <f t="shared" si="25"/>
        <v>0</v>
      </c>
      <c r="H188" s="1146">
        <f t="shared" si="25"/>
        <v>0</v>
      </c>
      <c r="I188" s="1146">
        <f t="shared" si="25"/>
        <v>0</v>
      </c>
      <c r="J188" s="1146">
        <f t="shared" si="21"/>
        <v>0</v>
      </c>
      <c r="K188" s="1146">
        <f t="shared" si="22"/>
        <v>0</v>
      </c>
      <c r="L188" s="1146">
        <f t="shared" si="22"/>
        <v>0</v>
      </c>
      <c r="M188" s="1146">
        <f t="shared" si="22"/>
        <v>0</v>
      </c>
      <c r="N188" s="1146">
        <f t="shared" si="30"/>
        <v>0</v>
      </c>
      <c r="O188" s="1146">
        <f t="shared" si="28"/>
        <v>0</v>
      </c>
      <c r="P188" s="1146">
        <f t="shared" si="26"/>
        <v>0</v>
      </c>
      <c r="Q188" s="1146">
        <f t="shared" si="26"/>
        <v>0</v>
      </c>
      <c r="R188" s="1146">
        <f t="shared" si="29"/>
        <v>0</v>
      </c>
      <c r="S188" s="1146">
        <f t="shared" si="27"/>
        <v>0</v>
      </c>
      <c r="U188" s="29"/>
    </row>
    <row r="189" spans="1:21" x14ac:dyDescent="0.35">
      <c r="A189" s="1142" t="s">
        <v>54</v>
      </c>
      <c r="B189" s="1142"/>
      <c r="C189" s="1146"/>
      <c r="D189" s="1146">
        <f t="shared" si="19"/>
        <v>0</v>
      </c>
      <c r="E189" s="1146">
        <f t="shared" si="24"/>
        <v>0</v>
      </c>
      <c r="F189" s="1146">
        <f t="shared" si="20"/>
        <v>0.11</v>
      </c>
      <c r="G189" s="1146">
        <f t="shared" si="25"/>
        <v>0.11</v>
      </c>
      <c r="H189" s="1146">
        <f t="shared" si="25"/>
        <v>0.11</v>
      </c>
      <c r="I189" s="1146">
        <f t="shared" si="25"/>
        <v>0.11</v>
      </c>
      <c r="J189" s="1146">
        <f t="shared" si="21"/>
        <v>0.73899999999999999</v>
      </c>
      <c r="K189" s="1146">
        <f t="shared" si="22"/>
        <v>0.73899999999999999</v>
      </c>
      <c r="L189" s="1146">
        <f t="shared" si="22"/>
        <v>0.73899999999999999</v>
      </c>
      <c r="M189" s="1146">
        <f t="shared" si="22"/>
        <v>0.73899999999999999</v>
      </c>
      <c r="N189" s="1146">
        <f t="shared" si="30"/>
        <v>1.1950000000000001</v>
      </c>
      <c r="O189" s="1146">
        <f t="shared" si="28"/>
        <v>1.1950000000000001</v>
      </c>
      <c r="P189" s="1146">
        <f t="shared" si="26"/>
        <v>1.1950000000000001</v>
      </c>
      <c r="Q189" s="1146">
        <f t="shared" si="26"/>
        <v>1.1950000000000001</v>
      </c>
      <c r="R189" s="1146">
        <f t="shared" si="29"/>
        <v>1.4970000000000001</v>
      </c>
      <c r="S189" s="1146">
        <f t="shared" si="27"/>
        <v>1.4970000000000001</v>
      </c>
      <c r="U189" s="29"/>
    </row>
    <row r="190" spans="1:21" x14ac:dyDescent="0.35">
      <c r="A190" s="1142" t="s">
        <v>1368</v>
      </c>
      <c r="B190" s="1142"/>
      <c r="C190" s="1146"/>
      <c r="D190" s="1146">
        <f t="shared" si="19"/>
        <v>0</v>
      </c>
      <c r="E190" s="1146">
        <f t="shared" si="24"/>
        <v>0</v>
      </c>
      <c r="F190" s="1146">
        <f t="shared" si="20"/>
        <v>-0.41499999999999998</v>
      </c>
      <c r="G190" s="1146">
        <f t="shared" si="25"/>
        <v>-0.41499999999999998</v>
      </c>
      <c r="H190" s="1146">
        <f t="shared" si="25"/>
        <v>-0.41499999999999998</v>
      </c>
      <c r="I190" s="1146">
        <f t="shared" si="25"/>
        <v>-0.41499999999999998</v>
      </c>
      <c r="J190" s="1146">
        <f t="shared" si="21"/>
        <v>2.7679999999999998</v>
      </c>
      <c r="K190" s="1146">
        <f t="shared" si="22"/>
        <v>2.7679999999999998</v>
      </c>
      <c r="L190" s="1146">
        <f t="shared" si="22"/>
        <v>2.7679999999999998</v>
      </c>
      <c r="M190" s="1146">
        <f t="shared" si="22"/>
        <v>2.7679999999999998</v>
      </c>
      <c r="N190" s="1146">
        <f t="shared" si="30"/>
        <v>-12.473000000000001</v>
      </c>
      <c r="O190" s="1146">
        <f t="shared" si="28"/>
        <v>-12.473000000000001</v>
      </c>
      <c r="P190" s="1146">
        <f t="shared" si="26"/>
        <v>-12.473000000000001</v>
      </c>
      <c r="Q190" s="1146">
        <f t="shared" si="26"/>
        <v>-12.473000000000001</v>
      </c>
      <c r="R190" s="1146">
        <f t="shared" si="29"/>
        <v>-5.3739999999999997</v>
      </c>
      <c r="S190" s="1146">
        <f t="shared" si="27"/>
        <v>-5.3739999999999997</v>
      </c>
      <c r="U190" s="29"/>
    </row>
    <row r="191" spans="1:21" x14ac:dyDescent="0.35">
      <c r="A191" s="1143" t="s">
        <v>57</v>
      </c>
      <c r="B191" s="1143"/>
      <c r="C191" s="1146"/>
      <c r="D191" s="1146">
        <f t="shared" si="19"/>
        <v>-0.622</v>
      </c>
      <c r="E191" s="1146">
        <f t="shared" si="24"/>
        <v>-0.622</v>
      </c>
      <c r="F191" s="1146">
        <f t="shared" si="20"/>
        <v>21.89</v>
      </c>
      <c r="G191" s="1146">
        <f t="shared" si="25"/>
        <v>21.89</v>
      </c>
      <c r="H191" s="1146">
        <f t="shared" si="25"/>
        <v>21.89</v>
      </c>
      <c r="I191" s="1146">
        <f t="shared" si="25"/>
        <v>21.89</v>
      </c>
      <c r="J191" s="1146">
        <f t="shared" si="21"/>
        <v>15.439</v>
      </c>
      <c r="K191" s="1146">
        <f t="shared" si="22"/>
        <v>15.439</v>
      </c>
      <c r="L191" s="1146">
        <f t="shared" si="22"/>
        <v>15.439</v>
      </c>
      <c r="M191" s="1146">
        <f t="shared" si="22"/>
        <v>15.439</v>
      </c>
      <c r="N191" s="1146">
        <f t="shared" si="30"/>
        <v>16.966999999999999</v>
      </c>
      <c r="O191" s="1146">
        <f t="shared" si="28"/>
        <v>16.966999999999999</v>
      </c>
      <c r="P191" s="1146">
        <f t="shared" si="26"/>
        <v>16.966999999999999</v>
      </c>
      <c r="Q191" s="1146">
        <f t="shared" si="26"/>
        <v>16.966999999999999</v>
      </c>
      <c r="R191" s="1146">
        <f t="shared" si="29"/>
        <v>0.72799999999999998</v>
      </c>
      <c r="S191" s="1146">
        <f t="shared" si="27"/>
        <v>0.72799999999999998</v>
      </c>
      <c r="U191" s="29"/>
    </row>
    <row r="192" spans="1:21" x14ac:dyDescent="0.35">
      <c r="A192" s="1144" t="s">
        <v>484</v>
      </c>
      <c r="B192" s="1144"/>
      <c r="C192" s="1146"/>
      <c r="D192" s="1132">
        <f t="shared" ref="D192:D194" si="31">D177</f>
        <v>0</v>
      </c>
      <c r="E192" s="1132">
        <f t="shared" ref="E192:E194" si="32">D192</f>
        <v>0</v>
      </c>
      <c r="F192" s="1132">
        <f t="shared" ref="F192:F194" si="33">E177</f>
        <v>-3.1549999999999998</v>
      </c>
      <c r="G192" s="1132">
        <f t="shared" ref="G192:G194" si="34">F192</f>
        <v>-3.1549999999999998</v>
      </c>
      <c r="H192" s="1132">
        <f t="shared" ref="H192:H194" si="35">G192</f>
        <v>-3.1549999999999998</v>
      </c>
      <c r="I192" s="1132">
        <f t="shared" ref="I192:I194" si="36">H192</f>
        <v>-3.1549999999999998</v>
      </c>
      <c r="J192" s="1132">
        <f t="shared" ref="J192:J194" si="37">F177</f>
        <v>-2.2309999999999999</v>
      </c>
      <c r="K192" s="1132">
        <f t="shared" ref="K192:K194" si="38">J192</f>
        <v>-2.2309999999999999</v>
      </c>
      <c r="L192" s="1132">
        <f t="shared" ref="L192:L194" si="39">K192</f>
        <v>-2.2309999999999999</v>
      </c>
      <c r="M192" s="1132">
        <f t="shared" ref="M192:M194" si="40">L192</f>
        <v>-2.2309999999999999</v>
      </c>
      <c r="N192" s="1132">
        <f t="shared" ref="N192:N194" si="41">G177</f>
        <v>-1.6080000000000001</v>
      </c>
      <c r="O192" s="1132">
        <f t="shared" ref="O192:O194" si="42">N192</f>
        <v>-1.6080000000000001</v>
      </c>
      <c r="P192" s="1132">
        <f t="shared" si="26"/>
        <v>-1.6080000000000001</v>
      </c>
      <c r="Q192" s="1132">
        <f t="shared" si="26"/>
        <v>-1.6080000000000001</v>
      </c>
      <c r="R192" s="1146">
        <f t="shared" si="29"/>
        <v>-0.77</v>
      </c>
      <c r="S192" s="1146">
        <f t="shared" si="27"/>
        <v>-0.77</v>
      </c>
      <c r="U192" s="29"/>
    </row>
    <row r="193" spans="1:21" x14ac:dyDescent="0.35">
      <c r="A193" s="1144" t="s">
        <v>482</v>
      </c>
      <c r="B193" s="1144"/>
      <c r="C193" s="1146"/>
      <c r="D193" s="1132">
        <f t="shared" si="31"/>
        <v>0</v>
      </c>
      <c r="E193" s="1132">
        <f t="shared" si="32"/>
        <v>0</v>
      </c>
      <c r="F193" s="1132">
        <f t="shared" si="33"/>
        <v>0.45200000000000001</v>
      </c>
      <c r="G193" s="1132">
        <f t="shared" si="34"/>
        <v>0.45200000000000001</v>
      </c>
      <c r="H193" s="1132">
        <f t="shared" si="35"/>
        <v>0.45200000000000001</v>
      </c>
      <c r="I193" s="1132">
        <f t="shared" si="36"/>
        <v>0.45200000000000001</v>
      </c>
      <c r="J193" s="1132">
        <f t="shared" si="37"/>
        <v>-8.67</v>
      </c>
      <c r="K193" s="1132">
        <f t="shared" si="38"/>
        <v>-8.67</v>
      </c>
      <c r="L193" s="1132">
        <f t="shared" si="39"/>
        <v>-8.67</v>
      </c>
      <c r="M193" s="1132">
        <f t="shared" si="40"/>
        <v>-8.67</v>
      </c>
      <c r="N193" s="1132">
        <f t="shared" si="41"/>
        <v>-4.5270000000000001</v>
      </c>
      <c r="O193" s="1132">
        <f t="shared" si="42"/>
        <v>-4.5270000000000001</v>
      </c>
      <c r="P193" s="1132">
        <f t="shared" si="26"/>
        <v>-4.5270000000000001</v>
      </c>
      <c r="Q193" s="1132">
        <f t="shared" si="26"/>
        <v>-4.5270000000000001</v>
      </c>
      <c r="R193" s="1146">
        <f t="shared" si="29"/>
        <v>-0.70499999999999996</v>
      </c>
      <c r="S193" s="1146">
        <f t="shared" si="27"/>
        <v>-0.70499999999999996</v>
      </c>
      <c r="U193" s="29"/>
    </row>
    <row r="194" spans="1:21" x14ac:dyDescent="0.35">
      <c r="A194" s="1144" t="s">
        <v>106</v>
      </c>
      <c r="B194" s="1144"/>
      <c r="C194" s="1146"/>
      <c r="D194" s="1132">
        <f t="shared" si="31"/>
        <v>0</v>
      </c>
      <c r="E194" s="1132">
        <f t="shared" si="32"/>
        <v>0</v>
      </c>
      <c r="F194" s="1132">
        <f t="shared" si="33"/>
        <v>35.317</v>
      </c>
      <c r="G194" s="1132">
        <f t="shared" si="34"/>
        <v>35.317</v>
      </c>
      <c r="H194" s="1132">
        <f t="shared" si="35"/>
        <v>35.317</v>
      </c>
      <c r="I194" s="1132">
        <f t="shared" si="36"/>
        <v>35.317</v>
      </c>
      <c r="J194" s="1132">
        <f t="shared" si="37"/>
        <v>36.033000000000001</v>
      </c>
      <c r="K194" s="1132">
        <f t="shared" si="38"/>
        <v>36.033000000000001</v>
      </c>
      <c r="L194" s="1132">
        <f t="shared" si="39"/>
        <v>36.033000000000001</v>
      </c>
      <c r="M194" s="1132">
        <f t="shared" si="40"/>
        <v>36.033000000000001</v>
      </c>
      <c r="N194" s="1132">
        <f t="shared" si="41"/>
        <v>21.076000000000001</v>
      </c>
      <c r="O194" s="1132">
        <f t="shared" si="42"/>
        <v>21.076000000000001</v>
      </c>
      <c r="P194" s="1132">
        <f t="shared" si="26"/>
        <v>21.076000000000001</v>
      </c>
      <c r="Q194" s="1132">
        <f t="shared" si="26"/>
        <v>21.076000000000001</v>
      </c>
      <c r="R194" s="1146">
        <f t="shared" si="29"/>
        <v>13.346</v>
      </c>
      <c r="S194" s="1146">
        <f t="shared" si="27"/>
        <v>13.346</v>
      </c>
      <c r="U194" s="29"/>
    </row>
    <row r="197" spans="1:21" x14ac:dyDescent="0.35">
      <c r="A197" s="43" t="s">
        <v>1371</v>
      </c>
    </row>
    <row r="198" spans="1:21" x14ac:dyDescent="0.35">
      <c r="A198" s="1140" t="s">
        <v>52</v>
      </c>
      <c r="D198" s="1147">
        <v>0</v>
      </c>
      <c r="E198" s="1147">
        <v>0</v>
      </c>
      <c r="F198" s="1147">
        <v>2.3250000000000002</v>
      </c>
      <c r="G198" s="1147">
        <v>2.3250000000000002</v>
      </c>
      <c r="H198" s="1147">
        <v>2.3250000000000002</v>
      </c>
      <c r="I198" s="1147">
        <v>2.3250000000000002</v>
      </c>
      <c r="J198" s="1147">
        <v>5.5830000000000002</v>
      </c>
      <c r="K198" s="1147">
        <v>5.5830000000000002</v>
      </c>
      <c r="L198" s="1147">
        <v>5.5830000000000002</v>
      </c>
      <c r="M198" s="1147">
        <v>5.5830000000000002</v>
      </c>
      <c r="N198" s="1147">
        <v>8.0220000000000002</v>
      </c>
      <c r="O198" s="1147">
        <v>8.0220000000000002</v>
      </c>
      <c r="P198" s="1147"/>
      <c r="Q198" s="1147"/>
      <c r="R198" s="1147"/>
      <c r="S198" s="1147"/>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workbookViewId="0">
      <selection activeCell="F40" sqref="F40"/>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5" t="s">
        <v>552</v>
      </c>
    </row>
    <row r="2" spans="1:6" ht="20.9" customHeight="1" x14ac:dyDescent="0.4">
      <c r="A2" s="1152" t="s">
        <v>553</v>
      </c>
      <c r="B2" s="1152" t="s">
        <v>554</v>
      </c>
      <c r="C2" s="1152" t="s">
        <v>555</v>
      </c>
      <c r="D2" s="1152" t="s">
        <v>556</v>
      </c>
    </row>
    <row r="3" spans="1:6" x14ac:dyDescent="0.35">
      <c r="A3" s="1153" t="s">
        <v>557</v>
      </c>
      <c r="B3" s="733">
        <f>SUM(B4:B7)</f>
        <v>325</v>
      </c>
      <c r="E3" s="1421" t="s">
        <v>558</v>
      </c>
      <c r="F3" s="1421"/>
    </row>
    <row r="4" spans="1:6" x14ac:dyDescent="0.35">
      <c r="A4" s="856" t="s">
        <v>559</v>
      </c>
      <c r="B4" s="733">
        <v>284</v>
      </c>
      <c r="E4" s="512" t="s">
        <v>51</v>
      </c>
      <c r="F4" s="512" t="s">
        <v>560</v>
      </c>
    </row>
    <row r="5" spans="1:6" x14ac:dyDescent="0.35">
      <c r="A5" s="856" t="s">
        <v>412</v>
      </c>
      <c r="B5" s="733">
        <v>20</v>
      </c>
      <c r="E5" s="235" t="s">
        <v>150</v>
      </c>
      <c r="F5" s="235">
        <f>SUM(B11:B16)</f>
        <v>82</v>
      </c>
    </row>
    <row r="6" spans="1:6" x14ac:dyDescent="0.35">
      <c r="A6" s="856" t="s">
        <v>419</v>
      </c>
      <c r="B6" s="733">
        <v>15</v>
      </c>
      <c r="E6" s="235" t="s">
        <v>49</v>
      </c>
      <c r="F6" s="235">
        <f>B23</f>
        <v>3</v>
      </c>
    </row>
    <row r="7" spans="1:6" x14ac:dyDescent="0.35">
      <c r="A7" s="856" t="s">
        <v>420</v>
      </c>
      <c r="B7" s="733">
        <v>6</v>
      </c>
      <c r="E7" s="235" t="s">
        <v>342</v>
      </c>
      <c r="F7" s="235">
        <f>B27-B28</f>
        <v>29</v>
      </c>
    </row>
    <row r="8" spans="1:6" x14ac:dyDescent="0.35">
      <c r="A8" s="512" t="s">
        <v>561</v>
      </c>
      <c r="B8" s="733">
        <v>121</v>
      </c>
      <c r="E8" s="235" t="s">
        <v>359</v>
      </c>
      <c r="F8" s="235">
        <f>B42</f>
        <v>2</v>
      </c>
    </row>
    <row r="9" spans="1:6" x14ac:dyDescent="0.35">
      <c r="A9" s="1154" t="s">
        <v>562</v>
      </c>
      <c r="B9" s="733">
        <v>166</v>
      </c>
      <c r="E9" s="235" t="s">
        <v>563</v>
      </c>
      <c r="F9" s="235">
        <f>B18+B20+B21</f>
        <v>34</v>
      </c>
    </row>
    <row r="10" spans="1:6" x14ac:dyDescent="0.35">
      <c r="A10" s="1151" t="s">
        <v>564</v>
      </c>
      <c r="B10" s="733">
        <v>82</v>
      </c>
      <c r="E10" s="512" t="s">
        <v>565</v>
      </c>
      <c r="F10" s="512" t="s">
        <v>566</v>
      </c>
    </row>
    <row r="11" spans="1:6" x14ac:dyDescent="0.35">
      <c r="A11" s="856" t="s">
        <v>567</v>
      </c>
      <c r="B11" s="733">
        <v>54</v>
      </c>
      <c r="E11" s="235" t="s">
        <v>315</v>
      </c>
      <c r="F11" s="235">
        <f>B4</f>
        <v>284</v>
      </c>
    </row>
    <row r="12" spans="1:6" x14ac:dyDescent="0.35">
      <c r="A12" s="856" t="s">
        <v>568</v>
      </c>
      <c r="B12" s="733">
        <v>20</v>
      </c>
      <c r="E12" s="235" t="s">
        <v>569</v>
      </c>
      <c r="F12" s="235">
        <f>B5</f>
        <v>20</v>
      </c>
    </row>
    <row r="13" spans="1:6" x14ac:dyDescent="0.35">
      <c r="A13" s="856" t="s">
        <v>570</v>
      </c>
      <c r="B13" s="733">
        <v>4</v>
      </c>
      <c r="E13" s="235" t="s">
        <v>419</v>
      </c>
      <c r="F13" s="235">
        <f>B6</f>
        <v>15</v>
      </c>
    </row>
    <row r="14" spans="1:6" ht="27.65" customHeight="1" x14ac:dyDescent="0.35">
      <c r="A14" s="856" t="s">
        <v>571</v>
      </c>
      <c r="B14" s="733">
        <v>2</v>
      </c>
      <c r="E14" s="271" t="s">
        <v>420</v>
      </c>
      <c r="F14" s="235">
        <f>B7</f>
        <v>6</v>
      </c>
    </row>
    <row r="15" spans="1:6" ht="27.65" customHeight="1" x14ac:dyDescent="0.35">
      <c r="A15" s="856" t="s">
        <v>572</v>
      </c>
      <c r="B15" s="733">
        <v>1</v>
      </c>
      <c r="E15" s="271" t="s">
        <v>573</v>
      </c>
      <c r="F15" s="235">
        <f>B28</f>
        <v>15</v>
      </c>
    </row>
    <row r="16" spans="1:6" x14ac:dyDescent="0.35">
      <c r="A16" s="856" t="s">
        <v>574</v>
      </c>
      <c r="B16" s="733">
        <v>1</v>
      </c>
      <c r="E16" s="235" t="s">
        <v>575</v>
      </c>
      <c r="F16" s="235">
        <f>B37</f>
        <v>12</v>
      </c>
    </row>
    <row r="17" spans="1:6" x14ac:dyDescent="0.35">
      <c r="A17" s="512" t="s">
        <v>576</v>
      </c>
      <c r="B17" s="733">
        <v>72</v>
      </c>
      <c r="E17" s="235" t="s">
        <v>577</v>
      </c>
      <c r="F17" s="235">
        <f>B38</f>
        <v>10</v>
      </c>
    </row>
    <row r="18" spans="1:6" x14ac:dyDescent="0.35">
      <c r="A18" s="856" t="s">
        <v>578</v>
      </c>
      <c r="B18" s="733">
        <v>22</v>
      </c>
      <c r="C18" s="235" t="s">
        <v>579</v>
      </c>
    </row>
    <row r="19" spans="1:6" x14ac:dyDescent="0.35">
      <c r="A19" s="856" t="s">
        <v>580</v>
      </c>
      <c r="B19" s="733">
        <v>20</v>
      </c>
      <c r="C19" s="235" t="s">
        <v>109</v>
      </c>
    </row>
    <row r="20" spans="1:6" x14ac:dyDescent="0.35">
      <c r="A20" s="856" t="s">
        <v>581</v>
      </c>
      <c r="B20" s="733">
        <v>8</v>
      </c>
      <c r="C20" s="235" t="s">
        <v>579</v>
      </c>
    </row>
    <row r="21" spans="1:6" x14ac:dyDescent="0.35">
      <c r="A21" s="856" t="s">
        <v>582</v>
      </c>
      <c r="B21" s="733">
        <v>4</v>
      </c>
      <c r="C21" s="235" t="s">
        <v>51</v>
      </c>
    </row>
    <row r="22" spans="1:6" x14ac:dyDescent="0.35">
      <c r="A22" s="856" t="s">
        <v>583</v>
      </c>
      <c r="B22" s="733">
        <v>4</v>
      </c>
      <c r="C22" s="235" t="s">
        <v>109</v>
      </c>
    </row>
    <row r="23" spans="1:6" x14ac:dyDescent="0.35">
      <c r="A23" s="856" t="s">
        <v>584</v>
      </c>
      <c r="B23" s="733">
        <v>3</v>
      </c>
      <c r="C23" s="235" t="s">
        <v>585</v>
      </c>
    </row>
    <row r="24" spans="1:6" x14ac:dyDescent="0.35">
      <c r="A24" s="856" t="s">
        <v>586</v>
      </c>
      <c r="B24" s="733">
        <v>3</v>
      </c>
      <c r="C24" s="235" t="s">
        <v>587</v>
      </c>
    </row>
    <row r="25" spans="1:6" x14ac:dyDescent="0.35">
      <c r="A25" s="1155" t="s">
        <v>588</v>
      </c>
      <c r="B25" s="733">
        <v>3</v>
      </c>
      <c r="C25" s="235" t="s">
        <v>55</v>
      </c>
    </row>
    <row r="26" spans="1:6" x14ac:dyDescent="0.35">
      <c r="A26" s="856" t="s">
        <v>589</v>
      </c>
      <c r="B26" s="733">
        <v>4</v>
      </c>
      <c r="C26" s="235" t="s">
        <v>590</v>
      </c>
    </row>
    <row r="27" spans="1:6" x14ac:dyDescent="0.35">
      <c r="A27" s="512" t="s">
        <v>342</v>
      </c>
      <c r="B27" s="733">
        <v>44</v>
      </c>
    </row>
    <row r="28" spans="1:6" x14ac:dyDescent="0.35">
      <c r="A28" s="1148" t="s">
        <v>573</v>
      </c>
      <c r="B28" s="1149">
        <v>15</v>
      </c>
    </row>
    <row r="29" spans="1:6" x14ac:dyDescent="0.35">
      <c r="A29" s="856" t="s">
        <v>591</v>
      </c>
      <c r="B29" s="733">
        <v>14</v>
      </c>
    </row>
    <row r="30" spans="1:6" x14ac:dyDescent="0.35">
      <c r="A30" s="856" t="s">
        <v>592</v>
      </c>
      <c r="B30" s="733">
        <v>10</v>
      </c>
    </row>
    <row r="31" spans="1:6" x14ac:dyDescent="0.35">
      <c r="A31" s="856" t="s">
        <v>593</v>
      </c>
      <c r="B31" s="733">
        <v>2</v>
      </c>
    </row>
    <row r="32" spans="1:6" x14ac:dyDescent="0.35">
      <c r="A32" s="856" t="s">
        <v>594</v>
      </c>
      <c r="B32" s="733">
        <v>2</v>
      </c>
    </row>
    <row r="33" spans="1:6" x14ac:dyDescent="0.35">
      <c r="A33" s="856" t="s">
        <v>595</v>
      </c>
      <c r="B33" s="733">
        <v>1</v>
      </c>
    </row>
    <row r="34" spans="1:6" x14ac:dyDescent="0.35">
      <c r="A34" s="512" t="s">
        <v>596</v>
      </c>
      <c r="B34" s="733">
        <v>88</v>
      </c>
    </row>
    <row r="35" spans="1:6" x14ac:dyDescent="0.35">
      <c r="A35" s="1155" t="s">
        <v>597</v>
      </c>
      <c r="B35" s="733">
        <v>26</v>
      </c>
    </row>
    <row r="36" spans="1:6" x14ac:dyDescent="0.35">
      <c r="A36" s="856" t="s">
        <v>598</v>
      </c>
      <c r="B36" s="733">
        <v>25</v>
      </c>
    </row>
    <row r="37" spans="1:6" x14ac:dyDescent="0.35">
      <c r="A37" s="856" t="s">
        <v>575</v>
      </c>
      <c r="B37" s="733">
        <v>12</v>
      </c>
      <c r="C37" s="235" t="s">
        <v>599</v>
      </c>
      <c r="E37" s="235" t="s">
        <v>600</v>
      </c>
      <c r="F37" s="235" t="s">
        <v>601</v>
      </c>
    </row>
    <row r="38" spans="1:6" x14ac:dyDescent="0.35">
      <c r="A38" s="856" t="s">
        <v>577</v>
      </c>
      <c r="B38" s="733">
        <v>10</v>
      </c>
      <c r="C38" s="235" t="s">
        <v>599</v>
      </c>
      <c r="E38" s="235" t="s">
        <v>602</v>
      </c>
      <c r="F38" s="235" t="s">
        <v>603</v>
      </c>
    </row>
    <row r="39" spans="1:6" x14ac:dyDescent="0.35">
      <c r="A39" s="856" t="s">
        <v>604</v>
      </c>
      <c r="B39" s="733">
        <v>7</v>
      </c>
      <c r="C39" s="235" t="s">
        <v>590</v>
      </c>
      <c r="E39" s="235" t="s">
        <v>605</v>
      </c>
      <c r="F39" s="235" t="s">
        <v>606</v>
      </c>
    </row>
    <row r="40" spans="1:6" x14ac:dyDescent="0.35">
      <c r="A40" s="856" t="s">
        <v>607</v>
      </c>
      <c r="B40" s="733">
        <v>5</v>
      </c>
      <c r="C40" s="235" t="s">
        <v>109</v>
      </c>
      <c r="E40" s="235" t="s">
        <v>608</v>
      </c>
    </row>
    <row r="41" spans="1:6" x14ac:dyDescent="0.35">
      <c r="A41" s="856" t="s">
        <v>609</v>
      </c>
      <c r="B41" s="733">
        <v>2</v>
      </c>
      <c r="C41" s="235" t="s">
        <v>590</v>
      </c>
      <c r="E41" s="235" t="s">
        <v>610</v>
      </c>
    </row>
    <row r="42" spans="1:6" x14ac:dyDescent="0.35">
      <c r="A42" s="856" t="s">
        <v>611</v>
      </c>
      <c r="B42" s="733">
        <v>2</v>
      </c>
      <c r="C42" s="235" t="s">
        <v>579</v>
      </c>
      <c r="E42" s="1150" t="s">
        <v>612</v>
      </c>
    </row>
    <row r="43" spans="1:6" x14ac:dyDescent="0.35">
      <c r="A43" s="856" t="s">
        <v>613</v>
      </c>
      <c r="B43" s="733">
        <v>0</v>
      </c>
      <c r="E43" s="235" t="s">
        <v>614</v>
      </c>
    </row>
    <row r="44" spans="1:6" x14ac:dyDescent="0.35">
      <c r="A44" s="512" t="s">
        <v>615</v>
      </c>
      <c r="B44" s="733">
        <v>40</v>
      </c>
    </row>
    <row r="45" spans="1:6" x14ac:dyDescent="0.35">
      <c r="A45" s="1155" t="s">
        <v>616</v>
      </c>
      <c r="B45" s="1156">
        <v>21</v>
      </c>
    </row>
    <row r="46" spans="1:6" x14ac:dyDescent="0.35">
      <c r="A46" s="856" t="s">
        <v>617</v>
      </c>
      <c r="B46" s="733">
        <v>6</v>
      </c>
    </row>
    <row r="47" spans="1:6" x14ac:dyDescent="0.35">
      <c r="A47" s="1155" t="s">
        <v>618</v>
      </c>
      <c r="B47" s="1156">
        <v>4</v>
      </c>
    </row>
    <row r="48" spans="1:6" x14ac:dyDescent="0.35">
      <c r="A48" s="856" t="s">
        <v>619</v>
      </c>
      <c r="B48" s="733">
        <v>4</v>
      </c>
    </row>
    <row r="49" spans="1:2" x14ac:dyDescent="0.35">
      <c r="A49" s="1155" t="s">
        <v>620</v>
      </c>
      <c r="B49" s="1156">
        <v>3</v>
      </c>
    </row>
    <row r="50" spans="1:2" x14ac:dyDescent="0.35">
      <c r="A50" s="856" t="s">
        <v>621</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zoomScale="105" zoomScaleNormal="90" workbookViewId="0">
      <selection activeCell="P21" sqref="P21"/>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6" t="s">
        <v>828</v>
      </c>
      <c r="I1" s="1422"/>
      <c r="J1" s="1422"/>
      <c r="K1" s="1422"/>
    </row>
    <row r="2" spans="1:62" ht="13.4" customHeight="1" x14ac:dyDescent="0.35">
      <c r="A2" s="1168"/>
      <c r="O2" s="1194" t="s">
        <v>793</v>
      </c>
      <c r="P2" s="1428" t="s">
        <v>622</v>
      </c>
      <c r="Q2" s="1428"/>
      <c r="R2" s="1428"/>
      <c r="S2" s="1428"/>
      <c r="T2" s="1197"/>
      <c r="U2" s="1197"/>
      <c r="V2" s="1197"/>
      <c r="W2" s="1197"/>
      <c r="X2" s="1197"/>
      <c r="Y2" s="1423" t="s">
        <v>623</v>
      </c>
      <c r="Z2" s="1424"/>
      <c r="AA2" s="1424"/>
      <c r="AB2" s="1424"/>
      <c r="AC2" s="1424"/>
      <c r="AD2" s="1424"/>
      <c r="AE2" s="1197"/>
      <c r="AF2" s="1197"/>
      <c r="AG2" s="1425" t="s">
        <v>624</v>
      </c>
      <c r="AH2" s="1424"/>
      <c r="AI2" s="1424"/>
      <c r="AJ2" s="1427" t="s">
        <v>625</v>
      </c>
      <c r="AK2" s="1427"/>
      <c r="AL2" s="1427"/>
      <c r="AM2" s="1427"/>
      <c r="AN2" s="1427"/>
      <c r="AO2" s="1427"/>
      <c r="AP2" s="1427"/>
      <c r="AQ2" s="1427"/>
      <c r="AR2" s="1427"/>
      <c r="AS2" s="1427"/>
      <c r="AT2" s="1198"/>
      <c r="AU2" s="1426" t="s">
        <v>384</v>
      </c>
      <c r="AV2" s="1426"/>
      <c r="AW2" s="1426"/>
      <c r="AX2" s="1426"/>
      <c r="AY2" s="1426"/>
      <c r="AZ2" s="1426"/>
      <c r="BA2" s="1426"/>
      <c r="BB2" s="1179"/>
      <c r="BC2" s="1179"/>
      <c r="BD2" s="1179"/>
      <c r="BE2" s="1179"/>
      <c r="BF2" s="1179"/>
      <c r="BG2" s="1179"/>
      <c r="BH2" s="1179"/>
      <c r="BI2" s="1179"/>
      <c r="BJ2" s="1185" t="s">
        <v>626</v>
      </c>
    </row>
    <row r="3" spans="1:62" ht="43.4" customHeight="1" x14ac:dyDescent="0.35">
      <c r="A3" s="1169"/>
      <c r="B3" s="1169"/>
      <c r="C3" s="1169"/>
      <c r="D3" s="1169"/>
      <c r="E3" s="1169"/>
      <c r="F3" s="1169"/>
      <c r="G3" s="1169"/>
      <c r="H3" s="1169"/>
      <c r="I3" s="1169"/>
      <c r="J3" s="1169"/>
      <c r="K3" s="1169"/>
      <c r="L3" s="1169"/>
      <c r="M3" s="1169"/>
      <c r="N3" s="1169"/>
      <c r="O3" s="1195" t="s">
        <v>627</v>
      </c>
      <c r="P3" s="1178" t="s">
        <v>628</v>
      </c>
      <c r="Q3" s="1178" t="s">
        <v>629</v>
      </c>
      <c r="R3" s="1178" t="s">
        <v>630</v>
      </c>
      <c r="S3" s="1178" t="s">
        <v>631</v>
      </c>
      <c r="T3" s="1178" t="s">
        <v>632</v>
      </c>
      <c r="U3" s="1178" t="s">
        <v>633</v>
      </c>
      <c r="V3" s="1178" t="s">
        <v>634</v>
      </c>
      <c r="W3" s="1178" t="s">
        <v>635</v>
      </c>
      <c r="X3" s="1178" t="s">
        <v>636</v>
      </c>
      <c r="Y3" s="1178" t="s">
        <v>637</v>
      </c>
      <c r="Z3" s="1178"/>
      <c r="AA3" s="1178"/>
      <c r="AB3" s="1178"/>
      <c r="AC3" s="1178" t="s">
        <v>638</v>
      </c>
      <c r="AD3" s="1178" t="s">
        <v>639</v>
      </c>
      <c r="AE3" s="1178" t="s">
        <v>640</v>
      </c>
      <c r="AF3" s="1178" t="s">
        <v>641</v>
      </c>
      <c r="AG3" s="1178" t="s">
        <v>642</v>
      </c>
      <c r="AH3" s="1178" t="s">
        <v>643</v>
      </c>
      <c r="AI3" s="1178" t="s">
        <v>644</v>
      </c>
      <c r="AJ3" s="1178" t="s">
        <v>645</v>
      </c>
      <c r="AK3" s="1178" t="s">
        <v>646</v>
      </c>
      <c r="AL3" s="1178" t="s">
        <v>647</v>
      </c>
      <c r="AM3" s="1178" t="s">
        <v>648</v>
      </c>
      <c r="AN3" s="1178" t="s">
        <v>649</v>
      </c>
      <c r="AO3" s="1178" t="s">
        <v>650</v>
      </c>
      <c r="AP3" s="1178" t="s">
        <v>651</v>
      </c>
      <c r="AQ3" s="1191" t="s">
        <v>652</v>
      </c>
      <c r="AR3" s="1178" t="s">
        <v>653</v>
      </c>
      <c r="AS3" s="1178" t="s">
        <v>654</v>
      </c>
      <c r="AT3" s="1178" t="s">
        <v>655</v>
      </c>
      <c r="AU3" s="1178" t="s">
        <v>656</v>
      </c>
      <c r="AV3" s="1178" t="s">
        <v>657</v>
      </c>
      <c r="AW3" s="1178" t="s">
        <v>658</v>
      </c>
      <c r="AX3" s="1178" t="s">
        <v>659</v>
      </c>
      <c r="AY3" s="1178" t="s">
        <v>660</v>
      </c>
      <c r="AZ3" s="1178" t="s">
        <v>661</v>
      </c>
      <c r="BA3" s="1178" t="s">
        <v>638</v>
      </c>
      <c r="BB3" s="1186" t="s">
        <v>662</v>
      </c>
      <c r="BC3" s="1186" t="s">
        <v>663</v>
      </c>
      <c r="BD3" s="1186" t="s">
        <v>664</v>
      </c>
      <c r="BE3" s="1186" t="s">
        <v>665</v>
      </c>
      <c r="BF3" s="1186" t="s">
        <v>666</v>
      </c>
      <c r="BG3" s="1186" t="s">
        <v>667</v>
      </c>
      <c r="BH3" s="1186" t="s">
        <v>668</v>
      </c>
      <c r="BI3" s="1186" t="s">
        <v>669</v>
      </c>
      <c r="BJ3" s="1180" t="s">
        <v>670</v>
      </c>
    </row>
    <row r="4" spans="1:62" ht="63" customHeight="1" x14ac:dyDescent="0.35">
      <c r="A4" s="1189" t="s">
        <v>671</v>
      </c>
      <c r="B4" s="1168" t="s">
        <v>56</v>
      </c>
      <c r="C4" s="1168" t="s">
        <v>672</v>
      </c>
      <c r="D4" s="1168" t="s">
        <v>542</v>
      </c>
      <c r="E4" s="1168" t="s">
        <v>673</v>
      </c>
      <c r="F4" s="1168" t="s">
        <v>674</v>
      </c>
      <c r="G4" s="1168" t="s">
        <v>675</v>
      </c>
      <c r="H4" s="1168" t="s">
        <v>131</v>
      </c>
      <c r="I4" s="1175" t="s">
        <v>347</v>
      </c>
      <c r="J4" s="1175" t="s">
        <v>150</v>
      </c>
      <c r="K4" s="1175" t="s">
        <v>676</v>
      </c>
      <c r="L4" s="1173" t="s">
        <v>159</v>
      </c>
      <c r="M4" s="1168" t="s">
        <v>109</v>
      </c>
      <c r="N4" s="1168" t="s">
        <v>677</v>
      </c>
      <c r="O4" s="1196" t="s">
        <v>678</v>
      </c>
      <c r="P4" s="1186" t="s">
        <v>679</v>
      </c>
      <c r="Q4" s="1186" t="s">
        <v>680</v>
      </c>
      <c r="R4" s="1186" t="s">
        <v>681</v>
      </c>
      <c r="S4" s="1186" t="s">
        <v>682</v>
      </c>
      <c r="T4" s="1186" t="s">
        <v>683</v>
      </c>
      <c r="U4" s="1186" t="s">
        <v>684</v>
      </c>
      <c r="V4" s="1186" t="s">
        <v>685</v>
      </c>
      <c r="W4" s="1186" t="s">
        <v>686</v>
      </c>
      <c r="X4" s="1186" t="s">
        <v>687</v>
      </c>
      <c r="Y4" s="1186" t="s">
        <v>688</v>
      </c>
      <c r="Z4" s="1186" t="s">
        <v>689</v>
      </c>
      <c r="AA4" s="1186" t="s">
        <v>690</v>
      </c>
      <c r="AB4" s="1186" t="s">
        <v>691</v>
      </c>
      <c r="AC4" s="1186" t="s">
        <v>692</v>
      </c>
      <c r="AD4" s="1186" t="s">
        <v>693</v>
      </c>
      <c r="AE4" s="1186" t="s">
        <v>694</v>
      </c>
      <c r="AF4" s="1186" t="s">
        <v>695</v>
      </c>
      <c r="AG4" s="1186" t="s">
        <v>210</v>
      </c>
      <c r="AH4" s="1186" t="s">
        <v>211</v>
      </c>
      <c r="AI4" s="1186" t="s">
        <v>696</v>
      </c>
      <c r="AJ4" s="1186" t="s">
        <v>697</v>
      </c>
      <c r="AK4" s="1186" t="s">
        <v>698</v>
      </c>
      <c r="AL4" s="1186" t="s">
        <v>699</v>
      </c>
      <c r="AM4" s="1186" t="s">
        <v>700</v>
      </c>
      <c r="AN4" s="1186" t="s">
        <v>701</v>
      </c>
      <c r="AO4" s="1186" t="s">
        <v>702</v>
      </c>
      <c r="AP4" s="1186" t="s">
        <v>703</v>
      </c>
      <c r="AQ4" s="1187" t="s">
        <v>704</v>
      </c>
      <c r="AR4" s="1186" t="s">
        <v>705</v>
      </c>
      <c r="AS4" s="1186" t="s">
        <v>706</v>
      </c>
      <c r="AT4" s="1186" t="s">
        <v>707</v>
      </c>
      <c r="AU4" s="1186" t="s">
        <v>708</v>
      </c>
      <c r="AV4" s="1186" t="s">
        <v>709</v>
      </c>
      <c r="AW4" s="1186" t="s">
        <v>710</v>
      </c>
      <c r="AX4" s="1186" t="s">
        <v>711</v>
      </c>
      <c r="AY4" s="1186" t="s">
        <v>712</v>
      </c>
      <c r="AZ4" s="1186" t="s">
        <v>713</v>
      </c>
      <c r="BA4" s="1186"/>
      <c r="BB4" s="1186" t="s">
        <v>424</v>
      </c>
      <c r="BC4" s="1186" t="s">
        <v>714</v>
      </c>
      <c r="BD4" s="1186" t="s">
        <v>715</v>
      </c>
      <c r="BE4" s="1186" t="s">
        <v>716</v>
      </c>
      <c r="BF4" s="1186" t="s">
        <v>717</v>
      </c>
      <c r="BG4" s="1186" t="s">
        <v>718</v>
      </c>
      <c r="BH4" s="1186" t="s">
        <v>719</v>
      </c>
      <c r="BI4" s="1186" t="s">
        <v>720</v>
      </c>
      <c r="BJ4" s="1188" t="s">
        <v>721</v>
      </c>
    </row>
    <row r="5" spans="1:62" x14ac:dyDescent="0.35">
      <c r="A5" s="1170">
        <v>2021</v>
      </c>
      <c r="B5" s="1172">
        <f>Q5</f>
        <v>394.202</v>
      </c>
      <c r="C5" s="1172">
        <f>SUM(Y5:AB5)</f>
        <v>195.7</v>
      </c>
      <c r="D5" s="1172">
        <f>T5</f>
        <v>18.823</v>
      </c>
      <c r="E5" s="1172">
        <f>SUM(P5:S5)-B5</f>
        <v>0.77600000000001046</v>
      </c>
      <c r="F5" s="1172">
        <f>SUM(T5:AF5)-C5-L5-D5 - 28</f>
        <v>19.722000000000016</v>
      </c>
      <c r="G5" s="1172">
        <f>SUM(BB5:BI5)-BC5</f>
        <v>81.642999999999986</v>
      </c>
      <c r="H5" s="1172">
        <f>SUM(AG5:AI5)</f>
        <v>7.798</v>
      </c>
      <c r="I5" s="1172">
        <f>AJ5</f>
        <v>283.95749999999998</v>
      </c>
      <c r="J5" s="1172">
        <f>AL5</f>
        <v>12.347</v>
      </c>
      <c r="K5" s="1172">
        <f>SUM(AM5:AT5)</f>
        <v>29.628</v>
      </c>
      <c r="L5" s="1176">
        <f>103/4</f>
        <v>25.75</v>
      </c>
      <c r="M5" s="1172">
        <f t="shared" ref="M5:M16" si="0">SUM(AU5:BA5)</f>
        <v>31.939</v>
      </c>
      <c r="N5" s="1172">
        <f>AK5</f>
        <v>3.4</v>
      </c>
      <c r="O5" s="1199">
        <v>50</v>
      </c>
      <c r="P5" s="1193">
        <v>0.55000000000000004</v>
      </c>
      <c r="Q5" s="916">
        <v>394.202</v>
      </c>
      <c r="R5" s="1201">
        <v>0.14599999999999999</v>
      </c>
      <c r="S5" s="1201">
        <v>0.08</v>
      </c>
      <c r="T5" s="1201">
        <v>18.823</v>
      </c>
      <c r="U5" s="916">
        <v>19</v>
      </c>
      <c r="V5" s="1201">
        <v>11.481999999999999</v>
      </c>
      <c r="W5" s="755">
        <v>1.5580000000000001</v>
      </c>
      <c r="X5" s="755">
        <v>0.74</v>
      </c>
      <c r="Y5" s="916">
        <v>0.2</v>
      </c>
      <c r="Z5" s="916">
        <v>43.1</v>
      </c>
      <c r="AA5" s="916">
        <v>33.9</v>
      </c>
      <c r="AB5" s="916">
        <v>118.5</v>
      </c>
      <c r="AC5" s="916">
        <v>28</v>
      </c>
      <c r="AD5" s="755">
        <v>-2.0379999999999998</v>
      </c>
      <c r="AE5" s="916">
        <v>14.31</v>
      </c>
      <c r="AF5" s="1201">
        <v>0.42</v>
      </c>
      <c r="AG5" s="1201">
        <v>7.7279999999999998</v>
      </c>
      <c r="AH5" s="916">
        <v>7.0000000000000007E-2</v>
      </c>
      <c r="AI5" s="916">
        <v>0</v>
      </c>
      <c r="AJ5" s="916">
        <v>283.95749999999998</v>
      </c>
      <c r="AK5" s="1192">
        <v>3.4</v>
      </c>
      <c r="AL5" s="1192">
        <v>12.347</v>
      </c>
      <c r="AM5" s="1202">
        <v>0.28599999999999998</v>
      </c>
      <c r="AN5" s="1192">
        <v>2</v>
      </c>
      <c r="AO5" s="916">
        <v>0.81</v>
      </c>
      <c r="AP5" s="1192">
        <v>0.52100000000000002</v>
      </c>
      <c r="AQ5" s="1203">
        <v>10</v>
      </c>
      <c r="AR5" s="1192">
        <v>2.7</v>
      </c>
      <c r="AS5" s="1192">
        <v>0.751</v>
      </c>
      <c r="AT5" s="916">
        <v>12.56</v>
      </c>
      <c r="AU5" s="916">
        <v>0</v>
      </c>
      <c r="AV5" s="1192">
        <v>1.415</v>
      </c>
      <c r="AW5" s="1192">
        <v>10.51</v>
      </c>
      <c r="AX5" s="1192">
        <v>2.6</v>
      </c>
      <c r="AY5" s="916">
        <v>-0.33</v>
      </c>
      <c r="AZ5" s="1192">
        <v>17.744</v>
      </c>
      <c r="BA5" s="916">
        <v>0</v>
      </c>
      <c r="BB5" s="1192">
        <v>4.0999999999999996</v>
      </c>
      <c r="BC5" s="1192">
        <v>7.25</v>
      </c>
      <c r="BD5" s="1192">
        <v>48.4</v>
      </c>
      <c r="BE5" s="1201">
        <v>0.83</v>
      </c>
      <c r="BF5" s="755">
        <v>4.5110000000000001</v>
      </c>
      <c r="BG5" s="916">
        <v>3.0739999999999998</v>
      </c>
      <c r="BH5" s="1157">
        <v>-0.28399999999999997</v>
      </c>
      <c r="BI5" s="1192">
        <v>21.012</v>
      </c>
      <c r="BJ5" s="1181">
        <v>1.1599999999999999</v>
      </c>
    </row>
    <row r="6" spans="1:62" x14ac:dyDescent="0.35">
      <c r="A6" s="1170">
        <v>2022</v>
      </c>
      <c r="B6" s="1172">
        <f t="shared" ref="B6:B15" si="1">Q6</f>
        <v>17.465</v>
      </c>
      <c r="C6" s="1172">
        <f t="shared" ref="C6:C15" si="2">SUM(Y6:AB6)</f>
        <v>10.1</v>
      </c>
      <c r="D6" s="1172">
        <f t="shared" ref="D6:D15" si="3">T6</f>
        <v>2.5950000000000002</v>
      </c>
      <c r="E6" s="1172">
        <f t="shared" ref="E6:E15" si="4">SUM(P6:S6)-B6</f>
        <v>19.719000000000005</v>
      </c>
      <c r="F6" s="1172">
        <f>SUM(T6:AF6)-C6-L6-D6</f>
        <v>52.756999999999998</v>
      </c>
      <c r="G6" s="1172">
        <f t="shared" ref="G6:G16" si="5">SUM(BB6:BI6)-BC6</f>
        <v>110.24799999999999</v>
      </c>
      <c r="H6" s="1172">
        <f t="shared" ref="H6:H15" si="6">SUM(AG6:AI6)</f>
        <v>7.9489999999999998</v>
      </c>
      <c r="I6" s="1172">
        <f t="shared" ref="I6:I15" si="7">AJ6</f>
        <v>77.092500000000001</v>
      </c>
      <c r="J6" s="1172">
        <f t="shared" ref="J6:J15" si="8">AL6</f>
        <v>46.79</v>
      </c>
      <c r="K6" s="1172">
        <f t="shared" ref="K6:K16" si="9">SUM(AM6:AT6)</f>
        <v>35.671000000000006</v>
      </c>
      <c r="L6" s="1176">
        <v>0</v>
      </c>
      <c r="M6" s="1172">
        <f t="shared" si="0"/>
        <v>56.412999999999997</v>
      </c>
      <c r="N6" s="1172">
        <f t="shared" ref="N6:N15" si="10">AK6</f>
        <v>5.0999999999999996</v>
      </c>
      <c r="O6" s="1199">
        <v>55</v>
      </c>
      <c r="P6" s="1193">
        <v>15.61</v>
      </c>
      <c r="Q6" s="916">
        <v>17.465</v>
      </c>
      <c r="R6" s="1201">
        <v>0.317</v>
      </c>
      <c r="S6" s="1201">
        <v>3.7919999999999998</v>
      </c>
      <c r="T6" s="916">
        <v>2.5950000000000002</v>
      </c>
      <c r="U6" s="1192">
        <v>14.5</v>
      </c>
      <c r="V6" s="916">
        <v>25.070999999999998</v>
      </c>
      <c r="W6" s="755">
        <v>1.952</v>
      </c>
      <c r="X6" s="755">
        <v>0.61399999999999999</v>
      </c>
      <c r="Y6" s="1192">
        <v>0</v>
      </c>
      <c r="Z6" s="1192">
        <v>2.2999999999999998</v>
      </c>
      <c r="AA6" s="1192">
        <v>1.6</v>
      </c>
      <c r="AB6" s="1192">
        <v>6.2</v>
      </c>
      <c r="AC6" s="916">
        <v>0</v>
      </c>
      <c r="AD6" s="916">
        <v>1.31</v>
      </c>
      <c r="AE6" s="916">
        <v>8.61</v>
      </c>
      <c r="AF6" s="916">
        <v>0.7</v>
      </c>
      <c r="AG6" s="1201">
        <v>7.782</v>
      </c>
      <c r="AH6" s="916">
        <v>0.12</v>
      </c>
      <c r="AI6" s="916">
        <v>4.7E-2</v>
      </c>
      <c r="AJ6" s="916">
        <v>77.092500000000001</v>
      </c>
      <c r="AK6" s="1192">
        <v>5.0999999999999996</v>
      </c>
      <c r="AL6" s="1192">
        <v>46.79</v>
      </c>
      <c r="AM6" s="1157">
        <v>0.30499999999999999</v>
      </c>
      <c r="AN6" s="1192">
        <v>4.3</v>
      </c>
      <c r="AO6" s="755">
        <v>1.1000000000000001</v>
      </c>
      <c r="AP6" s="1192">
        <v>1.575</v>
      </c>
      <c r="AQ6" s="1203">
        <v>10</v>
      </c>
      <c r="AR6" s="1192">
        <v>4.5</v>
      </c>
      <c r="AS6" s="1192">
        <v>1.9810000000000001</v>
      </c>
      <c r="AT6" s="916">
        <v>11.91</v>
      </c>
      <c r="AU6" s="916">
        <v>0</v>
      </c>
      <c r="AV6" s="1192">
        <v>3.927</v>
      </c>
      <c r="AW6" s="1192">
        <v>4.2880000000000003</v>
      </c>
      <c r="AX6" s="1192">
        <v>3.7</v>
      </c>
      <c r="AY6" s="916">
        <v>-1.34</v>
      </c>
      <c r="AZ6" s="1192">
        <v>45.838000000000001</v>
      </c>
      <c r="BA6" s="916">
        <v>0</v>
      </c>
      <c r="BB6" s="1192">
        <v>11.3</v>
      </c>
      <c r="BC6" s="1192">
        <v>0</v>
      </c>
      <c r="BD6" s="1192">
        <v>1.1000000000000001</v>
      </c>
      <c r="BE6" s="1201">
        <v>1.75</v>
      </c>
      <c r="BF6" s="755">
        <v>1.7330000000000001</v>
      </c>
      <c r="BG6" s="755">
        <v>7.1440000000000001</v>
      </c>
      <c r="BH6" s="1158">
        <v>81.608999999999995</v>
      </c>
      <c r="BI6" s="1192">
        <v>5.6120000000000001</v>
      </c>
      <c r="BJ6" s="1181">
        <v>4.2</v>
      </c>
    </row>
    <row r="7" spans="1:62" x14ac:dyDescent="0.35">
      <c r="A7" s="1170">
        <v>2023</v>
      </c>
      <c r="B7" s="1172">
        <f t="shared" si="1"/>
        <v>0.48599999999999999</v>
      </c>
      <c r="C7" s="1172">
        <f t="shared" si="2"/>
        <v>0</v>
      </c>
      <c r="D7" s="1172">
        <f t="shared" si="3"/>
        <v>0.93700000000000006</v>
      </c>
      <c r="E7" s="1172">
        <f t="shared" si="4"/>
        <v>1.4159999999999999</v>
      </c>
      <c r="F7" s="1172">
        <f t="shared" ref="F7:F15" si="11">SUM(T7:AF7)-C7-L7-D7</f>
        <v>12</v>
      </c>
      <c r="G7" s="1172">
        <f t="shared" si="5"/>
        <v>12.726000000000001</v>
      </c>
      <c r="H7" s="1172">
        <f t="shared" si="6"/>
        <v>4.7519999999999998</v>
      </c>
      <c r="I7" s="1172">
        <f t="shared" si="7"/>
        <v>1</v>
      </c>
      <c r="J7" s="1172">
        <f t="shared" si="8"/>
        <v>38.595999999999997</v>
      </c>
      <c r="K7" s="1172">
        <f t="shared" si="9"/>
        <v>24.216000000000001</v>
      </c>
      <c r="L7" s="1176">
        <v>0</v>
      </c>
      <c r="M7" s="1172">
        <f t="shared" si="0"/>
        <v>15.652999999999999</v>
      </c>
      <c r="N7" s="1172">
        <f t="shared" si="10"/>
        <v>0</v>
      </c>
      <c r="O7" s="1199">
        <v>0.7</v>
      </c>
      <c r="P7" s="1193">
        <v>0.96</v>
      </c>
      <c r="Q7" s="916">
        <v>0.48599999999999999</v>
      </c>
      <c r="R7" s="1201">
        <v>0.45600000000000002</v>
      </c>
      <c r="S7" s="916">
        <v>0</v>
      </c>
      <c r="T7" s="1159">
        <v>0.93700000000000006</v>
      </c>
      <c r="U7" s="1192">
        <v>3</v>
      </c>
      <c r="V7" s="1201">
        <v>7.891</v>
      </c>
      <c r="W7" s="755">
        <v>0.61699999999999999</v>
      </c>
      <c r="X7" s="755">
        <v>8.4000000000000005E-2</v>
      </c>
      <c r="Y7" s="1192">
        <v>0</v>
      </c>
      <c r="Z7" s="1192">
        <v>0</v>
      </c>
      <c r="AA7" s="1192">
        <v>0</v>
      </c>
      <c r="AB7" s="1192">
        <v>0</v>
      </c>
      <c r="AC7" s="916">
        <v>0</v>
      </c>
      <c r="AD7" s="916">
        <v>0.318</v>
      </c>
      <c r="AE7" s="1201">
        <v>-0.11000000000000001</v>
      </c>
      <c r="AF7" s="916">
        <v>0.2</v>
      </c>
      <c r="AG7" s="1201">
        <v>4.6749999999999998</v>
      </c>
      <c r="AH7" s="916">
        <v>0.06</v>
      </c>
      <c r="AI7" s="916">
        <v>1.7000000000000001E-2</v>
      </c>
      <c r="AJ7" s="916">
        <v>1</v>
      </c>
      <c r="AK7" s="1192">
        <v>0</v>
      </c>
      <c r="AL7" s="1192">
        <v>38.595999999999997</v>
      </c>
      <c r="AM7" s="916">
        <v>0.14899999999999999</v>
      </c>
      <c r="AN7" s="1192">
        <v>1.2</v>
      </c>
      <c r="AO7" s="755">
        <v>0.53</v>
      </c>
      <c r="AP7" s="1192">
        <v>0.38100000000000001</v>
      </c>
      <c r="AQ7" s="1203">
        <v>8</v>
      </c>
      <c r="AR7" s="1192">
        <v>4.5</v>
      </c>
      <c r="AS7" s="1192">
        <v>0.76600000000000001</v>
      </c>
      <c r="AT7" s="916">
        <v>8.69</v>
      </c>
      <c r="AU7" s="916">
        <v>0</v>
      </c>
      <c r="AV7" s="1192">
        <v>1.93</v>
      </c>
      <c r="AW7" s="1192">
        <v>1.4379999999999999</v>
      </c>
      <c r="AX7" s="1192">
        <v>2.6</v>
      </c>
      <c r="AY7" s="755">
        <v>-2.48</v>
      </c>
      <c r="AZ7" s="1192">
        <v>12.164999999999999</v>
      </c>
      <c r="BA7" s="755">
        <v>0</v>
      </c>
      <c r="BB7" s="1192">
        <v>8.4</v>
      </c>
      <c r="BC7" s="1192">
        <v>0</v>
      </c>
      <c r="BD7" s="1192">
        <v>0.3</v>
      </c>
      <c r="BE7" s="1201">
        <v>1.8</v>
      </c>
      <c r="BF7" s="755">
        <v>0</v>
      </c>
      <c r="BG7" s="755">
        <v>0</v>
      </c>
      <c r="BH7" s="1157">
        <v>1.3759999999999999</v>
      </c>
      <c r="BI7" s="1192">
        <v>0.85</v>
      </c>
      <c r="BJ7" s="1181">
        <v>2.7</v>
      </c>
    </row>
    <row r="8" spans="1:62" x14ac:dyDescent="0.35">
      <c r="A8" s="1170">
        <v>2024</v>
      </c>
      <c r="B8" s="1172">
        <f t="shared" si="1"/>
        <v>0</v>
      </c>
      <c r="C8" s="1172">
        <f t="shared" si="2"/>
        <v>0</v>
      </c>
      <c r="D8" s="1172">
        <f t="shared" si="3"/>
        <v>0.16</v>
      </c>
      <c r="E8" s="1172">
        <f t="shared" si="4"/>
        <v>1.4790000000000001</v>
      </c>
      <c r="F8" s="1172">
        <f t="shared" si="11"/>
        <v>4.2219999999999995</v>
      </c>
      <c r="G8" s="1172">
        <f t="shared" si="5"/>
        <v>1.365</v>
      </c>
      <c r="H8" s="1172">
        <f t="shared" si="6"/>
        <v>4.637999999999999</v>
      </c>
      <c r="I8" s="1172">
        <f t="shared" si="7"/>
        <v>0</v>
      </c>
      <c r="J8" s="1172">
        <f t="shared" si="8"/>
        <v>31.911000000000001</v>
      </c>
      <c r="K8" s="1172">
        <f t="shared" si="9"/>
        <v>9.6430000000000007</v>
      </c>
      <c r="L8" s="1176">
        <v>0</v>
      </c>
      <c r="M8" s="1172">
        <f t="shared" si="0"/>
        <v>3.9320000000000004</v>
      </c>
      <c r="N8" s="1172">
        <f t="shared" si="10"/>
        <v>0</v>
      </c>
      <c r="O8" s="1199">
        <v>0.7</v>
      </c>
      <c r="P8" s="1193">
        <v>0.96</v>
      </c>
      <c r="Q8" s="1192">
        <v>0</v>
      </c>
      <c r="R8" s="1201">
        <v>0.51900000000000002</v>
      </c>
      <c r="S8" s="916">
        <v>0</v>
      </c>
      <c r="T8" s="1160">
        <v>0.16</v>
      </c>
      <c r="U8" s="1192">
        <v>2.8</v>
      </c>
      <c r="V8" s="916">
        <v>0.504</v>
      </c>
      <c r="W8" s="755">
        <v>0.47199999999999998</v>
      </c>
      <c r="X8" s="755">
        <v>2E-3</v>
      </c>
      <c r="Y8" s="1192">
        <v>0</v>
      </c>
      <c r="Z8" s="1192">
        <v>0</v>
      </c>
      <c r="AA8" s="1192">
        <v>0</v>
      </c>
      <c r="AB8" s="1192">
        <v>0</v>
      </c>
      <c r="AC8" s="916">
        <v>0</v>
      </c>
      <c r="AD8" s="916">
        <v>0.34399999999999997</v>
      </c>
      <c r="AE8" s="1201">
        <v>0</v>
      </c>
      <c r="AF8" s="1201">
        <v>0.1</v>
      </c>
      <c r="AG8" s="1201">
        <v>4.5739999999999998</v>
      </c>
      <c r="AH8" s="916">
        <v>0.06</v>
      </c>
      <c r="AI8" s="916">
        <v>4.0000000000000001E-3</v>
      </c>
      <c r="AJ8" s="916">
        <v>0</v>
      </c>
      <c r="AK8" s="1192">
        <v>0</v>
      </c>
      <c r="AL8" s="1192">
        <v>31.911000000000001</v>
      </c>
      <c r="AM8" s="916">
        <v>4.1000000000000002E-2</v>
      </c>
      <c r="AN8" s="1192">
        <v>0.4</v>
      </c>
      <c r="AO8" s="755">
        <v>0.41</v>
      </c>
      <c r="AP8" s="1192">
        <v>0.13100000000000001</v>
      </c>
      <c r="AQ8" s="1203">
        <v>0</v>
      </c>
      <c r="AR8" s="1192">
        <v>3</v>
      </c>
      <c r="AS8" s="1192">
        <v>0.30099999999999999</v>
      </c>
      <c r="AT8" s="755">
        <v>5.36</v>
      </c>
      <c r="AU8" s="916">
        <v>0</v>
      </c>
      <c r="AV8" s="1192">
        <v>0.79600000000000004</v>
      </c>
      <c r="AW8" s="1192">
        <v>0.27500000000000002</v>
      </c>
      <c r="AX8" s="1192">
        <v>1</v>
      </c>
      <c r="AY8" s="755">
        <v>-2.6</v>
      </c>
      <c r="AZ8" s="1192">
        <v>4.4610000000000003</v>
      </c>
      <c r="BA8" s="755">
        <v>0</v>
      </c>
      <c r="BB8" s="1192">
        <v>0.2</v>
      </c>
      <c r="BC8" s="1192">
        <v>0</v>
      </c>
      <c r="BD8" s="1192">
        <v>0</v>
      </c>
      <c r="BE8" s="1201">
        <v>1.95</v>
      </c>
      <c r="BF8" s="755">
        <v>0</v>
      </c>
      <c r="BG8" s="755">
        <v>0</v>
      </c>
      <c r="BH8" s="1157">
        <v>-0.875</v>
      </c>
      <c r="BI8" s="1192">
        <v>0.09</v>
      </c>
      <c r="BJ8" s="1182">
        <v>0.87</v>
      </c>
    </row>
    <row r="9" spans="1:62" x14ac:dyDescent="0.35">
      <c r="A9" s="1170">
        <v>2025</v>
      </c>
      <c r="B9" s="1172">
        <f t="shared" si="1"/>
        <v>0</v>
      </c>
      <c r="C9" s="1172">
        <f t="shared" si="2"/>
        <v>0</v>
      </c>
      <c r="D9" s="1172">
        <f t="shared" si="3"/>
        <v>3.3000000000000002E-2</v>
      </c>
      <c r="E9" s="1172">
        <f t="shared" si="4"/>
        <v>1.63</v>
      </c>
      <c r="F9" s="1172">
        <f t="shared" si="11"/>
        <v>2.3719999999999999</v>
      </c>
      <c r="G9" s="1172">
        <f t="shared" si="5"/>
        <v>-0.90100000000000025</v>
      </c>
      <c r="H9" s="1172">
        <f t="shared" si="6"/>
        <v>1.8800000000000001</v>
      </c>
      <c r="I9" s="1172">
        <f t="shared" si="7"/>
        <v>0</v>
      </c>
      <c r="J9" s="1172">
        <f t="shared" si="8"/>
        <v>23.099</v>
      </c>
      <c r="K9" s="1172">
        <f t="shared" si="9"/>
        <v>4.5789999999999997</v>
      </c>
      <c r="L9" s="1176">
        <v>0</v>
      </c>
      <c r="M9" s="1172">
        <f t="shared" si="0"/>
        <v>-0.74299999999999988</v>
      </c>
      <c r="N9" s="1172">
        <f t="shared" si="10"/>
        <v>0</v>
      </c>
      <c r="O9" s="1199">
        <v>0.7</v>
      </c>
      <c r="P9" s="1193">
        <v>1.06</v>
      </c>
      <c r="Q9" s="1192">
        <v>0</v>
      </c>
      <c r="R9" s="1201">
        <v>0.56999999999999995</v>
      </c>
      <c r="S9" s="916">
        <v>0</v>
      </c>
      <c r="T9" s="1161">
        <v>3.3000000000000002E-2</v>
      </c>
      <c r="U9" s="1192">
        <v>2</v>
      </c>
      <c r="V9" s="1161">
        <v>0</v>
      </c>
      <c r="W9" s="755">
        <v>0.21299999999999999</v>
      </c>
      <c r="X9" s="755">
        <v>2E-3</v>
      </c>
      <c r="Y9" s="1192">
        <v>0</v>
      </c>
      <c r="Z9" s="1192">
        <v>0</v>
      </c>
      <c r="AA9" s="1192">
        <v>0</v>
      </c>
      <c r="AB9" s="1192">
        <v>0</v>
      </c>
      <c r="AC9" s="916">
        <v>0</v>
      </c>
      <c r="AD9" s="916">
        <v>0.157</v>
      </c>
      <c r="AE9" s="1201">
        <v>0</v>
      </c>
      <c r="AF9" s="1201">
        <v>0</v>
      </c>
      <c r="AG9" s="916">
        <v>1.81</v>
      </c>
      <c r="AH9" s="916">
        <v>7.0000000000000007E-2</v>
      </c>
      <c r="AI9" s="916">
        <v>0</v>
      </c>
      <c r="AJ9" s="1192">
        <v>0</v>
      </c>
      <c r="AK9" s="1192">
        <v>0</v>
      </c>
      <c r="AL9" s="1192">
        <v>23.099</v>
      </c>
      <c r="AM9" s="916">
        <v>1.2999999999999999E-2</v>
      </c>
      <c r="AN9" s="1192">
        <v>0.3</v>
      </c>
      <c r="AO9" s="1190">
        <v>0.15</v>
      </c>
      <c r="AP9" s="1192">
        <v>0.112</v>
      </c>
      <c r="AQ9" s="1203">
        <v>0</v>
      </c>
      <c r="AR9" s="1192">
        <v>0.2</v>
      </c>
      <c r="AS9" s="1192">
        <v>7.3999999999999996E-2</v>
      </c>
      <c r="AT9" s="755">
        <v>3.73</v>
      </c>
      <c r="AU9" s="916">
        <v>0</v>
      </c>
      <c r="AV9" s="1192">
        <v>5.3999999999999999E-2</v>
      </c>
      <c r="AW9" s="1192">
        <v>0.13100000000000001</v>
      </c>
      <c r="AX9" s="1192">
        <v>0</v>
      </c>
      <c r="AY9" s="755">
        <v>-2.71</v>
      </c>
      <c r="AZ9" s="1192">
        <v>1.782</v>
      </c>
      <c r="BA9" s="755">
        <v>0</v>
      </c>
      <c r="BB9" s="1192">
        <v>0</v>
      </c>
      <c r="BC9" s="1192">
        <v>0</v>
      </c>
      <c r="BD9" s="1192">
        <v>0</v>
      </c>
      <c r="BE9" s="1201">
        <v>1.43</v>
      </c>
      <c r="BF9" s="755">
        <v>0</v>
      </c>
      <c r="BG9" s="755">
        <v>0</v>
      </c>
      <c r="BH9" s="1157">
        <v>-2.3410000000000002</v>
      </c>
      <c r="BI9" s="1192">
        <v>0.01</v>
      </c>
      <c r="BJ9" s="1182">
        <v>0.33</v>
      </c>
    </row>
    <row r="10" spans="1:62" x14ac:dyDescent="0.35">
      <c r="A10" s="1170">
        <v>2026</v>
      </c>
      <c r="B10" s="1172">
        <f t="shared" si="1"/>
        <v>0</v>
      </c>
      <c r="C10" s="1172">
        <f t="shared" si="2"/>
        <v>0</v>
      </c>
      <c r="D10" s="1172">
        <f t="shared" si="3"/>
        <v>3.2000000000000001E-2</v>
      </c>
      <c r="E10" s="1172">
        <f t="shared" si="4"/>
        <v>1.671</v>
      </c>
      <c r="F10" s="1172">
        <f t="shared" si="11"/>
        <v>0.49</v>
      </c>
      <c r="G10" s="1172">
        <f t="shared" si="5"/>
        <v>-2.1500000000000004</v>
      </c>
      <c r="H10" s="1172">
        <f t="shared" si="6"/>
        <v>1.446</v>
      </c>
      <c r="I10" s="1172">
        <f t="shared" si="7"/>
        <v>0</v>
      </c>
      <c r="J10" s="1172">
        <f t="shared" si="8"/>
        <v>10.766999999999999</v>
      </c>
      <c r="K10" s="1172">
        <f t="shared" si="9"/>
        <v>2.9130000000000003</v>
      </c>
      <c r="L10" s="1176"/>
      <c r="M10" s="1172">
        <f t="shared" si="0"/>
        <v>-21.606000000000002</v>
      </c>
      <c r="N10" s="1172">
        <f t="shared" si="10"/>
        <v>0</v>
      </c>
      <c r="O10" s="1199">
        <v>0.7</v>
      </c>
      <c r="P10" s="1193">
        <v>1.07</v>
      </c>
      <c r="Q10" s="1192">
        <v>0</v>
      </c>
      <c r="R10" s="1201">
        <v>0.60099999999999998</v>
      </c>
      <c r="S10" s="916">
        <v>0</v>
      </c>
      <c r="T10" s="1157">
        <v>3.2000000000000001E-2</v>
      </c>
      <c r="U10" s="1192">
        <v>0.3</v>
      </c>
      <c r="V10" s="1201">
        <v>0</v>
      </c>
      <c r="W10" s="755">
        <v>0.188</v>
      </c>
      <c r="X10" s="755">
        <v>2E-3</v>
      </c>
      <c r="Y10" s="1192">
        <v>0</v>
      </c>
      <c r="Z10" s="1192">
        <v>0</v>
      </c>
      <c r="AA10" s="1192">
        <v>0</v>
      </c>
      <c r="AB10" s="1192">
        <v>0</v>
      </c>
      <c r="AC10" s="916">
        <v>0</v>
      </c>
      <c r="AD10" s="916">
        <v>0</v>
      </c>
      <c r="AE10" s="916">
        <v>0</v>
      </c>
      <c r="AF10" s="1201">
        <v>0</v>
      </c>
      <c r="AG10" s="916">
        <v>1.3759999999999999</v>
      </c>
      <c r="AH10" s="916">
        <v>7.0000000000000007E-2</v>
      </c>
      <c r="AI10" s="916">
        <v>0</v>
      </c>
      <c r="AJ10" s="1162">
        <v>0</v>
      </c>
      <c r="AK10" s="1192">
        <v>0</v>
      </c>
      <c r="AL10" s="1192">
        <v>10.766999999999999</v>
      </c>
      <c r="AM10" s="916">
        <v>3.0000000000000001E-3</v>
      </c>
      <c r="AN10" s="1192">
        <v>0.2</v>
      </c>
      <c r="AO10" s="1190">
        <v>0.1</v>
      </c>
      <c r="AP10" s="1192">
        <v>0.05</v>
      </c>
      <c r="AQ10" s="1203">
        <v>0</v>
      </c>
      <c r="AR10" s="1192">
        <v>0</v>
      </c>
      <c r="AS10" s="1192">
        <v>0</v>
      </c>
      <c r="AT10" s="755">
        <v>2.56</v>
      </c>
      <c r="AU10" s="916">
        <v>0</v>
      </c>
      <c r="AV10" s="1192">
        <v>3.7999999999999999E-2</v>
      </c>
      <c r="AW10" s="1192">
        <v>2.5999999999999999E-2</v>
      </c>
      <c r="AX10" s="1192">
        <v>0</v>
      </c>
      <c r="AY10" s="755">
        <v>-2.6700000000000004</v>
      </c>
      <c r="AZ10" s="1192">
        <v>0</v>
      </c>
      <c r="BA10" s="755">
        <v>-19</v>
      </c>
      <c r="BB10" s="1192">
        <v>0</v>
      </c>
      <c r="BC10" s="1192">
        <v>0</v>
      </c>
      <c r="BD10" s="1192">
        <v>0</v>
      </c>
      <c r="BE10" s="755">
        <v>0.88</v>
      </c>
      <c r="BF10" s="755">
        <v>0</v>
      </c>
      <c r="BG10" s="755">
        <v>0</v>
      </c>
      <c r="BH10" s="916">
        <v>-2.8200000000000003</v>
      </c>
      <c r="BI10" s="1192">
        <v>-0.21</v>
      </c>
      <c r="BJ10" s="1182">
        <v>0.17</v>
      </c>
    </row>
    <row r="11" spans="1:62" x14ac:dyDescent="0.35">
      <c r="A11" s="1170">
        <v>2027</v>
      </c>
      <c r="B11" s="1172">
        <f t="shared" si="1"/>
        <v>0</v>
      </c>
      <c r="C11" s="1172">
        <f t="shared" si="2"/>
        <v>0</v>
      </c>
      <c r="D11" s="1172">
        <f t="shared" si="3"/>
        <v>3.2000000000000001E-2</v>
      </c>
      <c r="E11" s="1172">
        <f t="shared" si="4"/>
        <v>1.7130000000000001</v>
      </c>
      <c r="F11" s="1172">
        <f t="shared" si="11"/>
        <v>0</v>
      </c>
      <c r="G11" s="1172">
        <f t="shared" si="5"/>
        <v>-4.8169999999999993</v>
      </c>
      <c r="H11" s="1172">
        <f t="shared" si="6"/>
        <v>0.65699999999999992</v>
      </c>
      <c r="I11" s="1172">
        <f t="shared" si="7"/>
        <v>0</v>
      </c>
      <c r="J11" s="1172">
        <f t="shared" si="8"/>
        <v>4.0789999999999997</v>
      </c>
      <c r="K11" s="1172">
        <f t="shared" si="9"/>
        <v>2.46</v>
      </c>
      <c r="L11" s="1176"/>
      <c r="M11" s="1172">
        <f t="shared" si="0"/>
        <v>-14.713000000000001</v>
      </c>
      <c r="N11" s="1172">
        <f t="shared" si="10"/>
        <v>0</v>
      </c>
      <c r="O11" s="1199">
        <v>0.3</v>
      </c>
      <c r="P11" s="1193">
        <v>1.08</v>
      </c>
      <c r="Q11" s="1192">
        <v>0</v>
      </c>
      <c r="R11" s="1201">
        <v>0.63300000000000001</v>
      </c>
      <c r="S11" s="1160">
        <v>0</v>
      </c>
      <c r="T11" s="1192">
        <v>3.2000000000000001E-2</v>
      </c>
      <c r="U11" s="1192">
        <v>0</v>
      </c>
      <c r="V11" s="916">
        <v>0</v>
      </c>
      <c r="W11" s="755">
        <v>0</v>
      </c>
      <c r="X11" s="755">
        <v>0</v>
      </c>
      <c r="Y11" s="1192">
        <v>0</v>
      </c>
      <c r="Z11" s="1192">
        <v>0</v>
      </c>
      <c r="AA11" s="1192">
        <v>0</v>
      </c>
      <c r="AB11" s="1192">
        <v>0</v>
      </c>
      <c r="AC11" s="916">
        <v>0</v>
      </c>
      <c r="AD11" s="1201">
        <v>0</v>
      </c>
      <c r="AE11" s="916">
        <v>0</v>
      </c>
      <c r="AF11" s="1201">
        <v>0</v>
      </c>
      <c r="AG11" s="916">
        <v>0.57699999999999996</v>
      </c>
      <c r="AH11" s="916">
        <v>0.08</v>
      </c>
      <c r="AI11" s="916">
        <v>0</v>
      </c>
      <c r="AJ11" s="916">
        <v>0</v>
      </c>
      <c r="AK11" s="1192">
        <v>0</v>
      </c>
      <c r="AL11" s="1192">
        <v>4.0789999999999997</v>
      </c>
      <c r="AM11" s="1192">
        <v>0</v>
      </c>
      <c r="AN11" s="1192">
        <v>0.1</v>
      </c>
      <c r="AO11" s="1190">
        <v>0.1</v>
      </c>
      <c r="AP11" s="1192">
        <v>0.03</v>
      </c>
      <c r="AQ11" s="1203">
        <v>0</v>
      </c>
      <c r="AR11" s="1192">
        <v>0</v>
      </c>
      <c r="AS11" s="1192">
        <v>0</v>
      </c>
      <c r="AT11" s="1190">
        <v>2.23</v>
      </c>
      <c r="AU11" s="916">
        <v>0</v>
      </c>
      <c r="AV11" s="1192">
        <v>1.7000000000000001E-2</v>
      </c>
      <c r="AW11" s="1192">
        <v>0</v>
      </c>
      <c r="AX11" s="1192">
        <v>0</v>
      </c>
      <c r="AY11" s="755">
        <v>-2.73</v>
      </c>
      <c r="AZ11" s="1192">
        <v>0</v>
      </c>
      <c r="BA11" s="755">
        <v>-12</v>
      </c>
      <c r="BB11" s="1192">
        <v>0</v>
      </c>
      <c r="BC11" s="1192">
        <v>0</v>
      </c>
      <c r="BD11" s="1192">
        <v>0</v>
      </c>
      <c r="BE11" s="755">
        <v>0.28000000000000003</v>
      </c>
      <c r="BF11" s="755">
        <v>0</v>
      </c>
      <c r="BG11" s="755">
        <v>0</v>
      </c>
      <c r="BH11" s="1161">
        <v>-5.0069999999999997</v>
      </c>
      <c r="BI11" s="1192">
        <v>-0.09</v>
      </c>
      <c r="BJ11" s="1183">
        <v>0.06</v>
      </c>
    </row>
    <row r="12" spans="1:62" x14ac:dyDescent="0.35">
      <c r="A12" s="1170">
        <v>2028</v>
      </c>
      <c r="B12" s="1172">
        <f t="shared" si="1"/>
        <v>0</v>
      </c>
      <c r="C12" s="1172">
        <f t="shared" si="2"/>
        <v>0</v>
      </c>
      <c r="D12" s="1172">
        <f t="shared" si="3"/>
        <v>3.3000000000000002E-2</v>
      </c>
      <c r="E12" s="1172">
        <f t="shared" si="4"/>
        <v>1.7130000000000001</v>
      </c>
      <c r="F12" s="1172">
        <f t="shared" si="11"/>
        <v>0</v>
      </c>
      <c r="G12" s="1172">
        <f t="shared" si="5"/>
        <v>-5.0590000000000002</v>
      </c>
      <c r="H12" s="1172">
        <f t="shared" si="6"/>
        <v>-1.071</v>
      </c>
      <c r="I12" s="1172">
        <f t="shared" si="7"/>
        <v>0</v>
      </c>
      <c r="J12" s="1172">
        <f t="shared" si="8"/>
        <v>1.635</v>
      </c>
      <c r="K12" s="1172">
        <f t="shared" si="9"/>
        <v>1.81</v>
      </c>
      <c r="L12" s="1176"/>
      <c r="M12" s="1172">
        <f t="shared" si="0"/>
        <v>-2.7690000000000001</v>
      </c>
      <c r="N12" s="1172">
        <f t="shared" si="10"/>
        <v>0</v>
      </c>
      <c r="O12" s="1199">
        <v>0.3</v>
      </c>
      <c r="P12" s="1193">
        <v>1.08</v>
      </c>
      <c r="Q12" s="1192">
        <v>0</v>
      </c>
      <c r="R12" s="1201">
        <v>0.63300000000000001</v>
      </c>
      <c r="S12" s="1160">
        <v>0</v>
      </c>
      <c r="T12" s="1163">
        <v>3.3000000000000002E-2</v>
      </c>
      <c r="U12" s="1192">
        <v>0</v>
      </c>
      <c r="V12" s="916">
        <v>0</v>
      </c>
      <c r="W12" s="755">
        <v>0</v>
      </c>
      <c r="X12" s="755">
        <v>0</v>
      </c>
      <c r="Y12" s="1192">
        <v>0</v>
      </c>
      <c r="Z12" s="1192">
        <v>0</v>
      </c>
      <c r="AA12" s="1192">
        <v>0</v>
      </c>
      <c r="AB12" s="1192">
        <v>0</v>
      </c>
      <c r="AC12" s="916">
        <v>0</v>
      </c>
      <c r="AD12" s="916">
        <v>0</v>
      </c>
      <c r="AE12" s="916">
        <v>0</v>
      </c>
      <c r="AF12" s="916">
        <v>0</v>
      </c>
      <c r="AG12" s="916">
        <v>-1.151</v>
      </c>
      <c r="AH12" s="916">
        <v>0.08</v>
      </c>
      <c r="AI12" s="916">
        <v>0</v>
      </c>
      <c r="AJ12" s="916">
        <v>0</v>
      </c>
      <c r="AK12" s="1192">
        <v>0</v>
      </c>
      <c r="AL12" s="1192">
        <v>1.635</v>
      </c>
      <c r="AM12" s="1192">
        <v>0</v>
      </c>
      <c r="AN12" s="1192">
        <v>0.1</v>
      </c>
      <c r="AO12" s="755">
        <v>0</v>
      </c>
      <c r="AP12" s="1192">
        <v>0</v>
      </c>
      <c r="AQ12" s="1203">
        <v>0</v>
      </c>
      <c r="AR12" s="1192">
        <v>0</v>
      </c>
      <c r="AS12" s="1192">
        <v>0</v>
      </c>
      <c r="AT12" s="1190">
        <v>1.71</v>
      </c>
      <c r="AU12" s="916">
        <v>0</v>
      </c>
      <c r="AV12" s="1192">
        <v>1E-3</v>
      </c>
      <c r="AW12" s="1192">
        <v>0</v>
      </c>
      <c r="AX12" s="1192">
        <v>0</v>
      </c>
      <c r="AY12" s="755">
        <v>-2.77</v>
      </c>
      <c r="AZ12" s="1192">
        <v>0</v>
      </c>
      <c r="BA12" s="755">
        <v>0</v>
      </c>
      <c r="BB12" s="1192">
        <v>0</v>
      </c>
      <c r="BC12" s="1192">
        <v>0</v>
      </c>
      <c r="BD12" s="1192">
        <v>0</v>
      </c>
      <c r="BE12" s="755">
        <v>0.1</v>
      </c>
      <c r="BF12" s="755">
        <v>0</v>
      </c>
      <c r="BG12" s="755">
        <v>0</v>
      </c>
      <c r="BH12" s="1161">
        <v>-5.069</v>
      </c>
      <c r="BI12" s="1192">
        <v>-0.09</v>
      </c>
      <c r="BJ12" s="1183">
        <v>0.03</v>
      </c>
    </row>
    <row r="13" spans="1:62" x14ac:dyDescent="0.35">
      <c r="A13" s="1170">
        <v>2029</v>
      </c>
      <c r="B13" s="1172">
        <f t="shared" si="1"/>
        <v>0</v>
      </c>
      <c r="C13" s="1172">
        <f t="shared" si="2"/>
        <v>0</v>
      </c>
      <c r="D13" s="1172">
        <f t="shared" si="3"/>
        <v>3.3000000000000002E-2</v>
      </c>
      <c r="E13" s="1172">
        <f t="shared" si="4"/>
        <v>1.7130000000000001</v>
      </c>
      <c r="F13" s="1172">
        <f t="shared" si="11"/>
        <v>0</v>
      </c>
      <c r="G13" s="1172">
        <f t="shared" si="5"/>
        <v>-5.218</v>
      </c>
      <c r="H13" s="1172">
        <f t="shared" si="6"/>
        <v>-1.964</v>
      </c>
      <c r="I13" s="1172">
        <f t="shared" si="7"/>
        <v>0</v>
      </c>
      <c r="J13" s="1172">
        <f t="shared" si="8"/>
        <v>-1.7000000000000001E-2</v>
      </c>
      <c r="K13" s="1172">
        <f t="shared" si="9"/>
        <v>1</v>
      </c>
      <c r="L13" s="1176"/>
      <c r="M13" s="1172">
        <f t="shared" si="0"/>
        <v>-2.75</v>
      </c>
      <c r="N13" s="1172">
        <f t="shared" si="10"/>
        <v>0</v>
      </c>
      <c r="O13" s="1199">
        <v>0.3</v>
      </c>
      <c r="P13" s="1193">
        <v>1.08</v>
      </c>
      <c r="Q13" s="1192">
        <v>0</v>
      </c>
      <c r="R13" s="1201">
        <v>0.63300000000000001</v>
      </c>
      <c r="S13" s="1160">
        <v>0</v>
      </c>
      <c r="T13" s="916">
        <v>3.3000000000000002E-2</v>
      </c>
      <c r="U13" s="1192">
        <v>0</v>
      </c>
      <c r="V13" s="916">
        <v>0</v>
      </c>
      <c r="W13" s="755">
        <v>0</v>
      </c>
      <c r="X13" s="755">
        <v>0</v>
      </c>
      <c r="Y13" s="1192">
        <v>0</v>
      </c>
      <c r="Z13" s="1192">
        <v>0</v>
      </c>
      <c r="AA13" s="1192">
        <v>0</v>
      </c>
      <c r="AB13" s="1192">
        <v>0</v>
      </c>
      <c r="AC13" s="916">
        <v>0</v>
      </c>
      <c r="AD13" s="916">
        <v>0</v>
      </c>
      <c r="AE13" s="916">
        <v>0</v>
      </c>
      <c r="AF13" s="916">
        <v>0</v>
      </c>
      <c r="AG13" s="1192">
        <v>-2.044</v>
      </c>
      <c r="AH13" s="916">
        <v>0.08</v>
      </c>
      <c r="AI13" s="916">
        <v>0</v>
      </c>
      <c r="AJ13" s="1164">
        <v>0</v>
      </c>
      <c r="AK13" s="1192">
        <v>0</v>
      </c>
      <c r="AL13" s="1192">
        <v>-1.7000000000000001E-2</v>
      </c>
      <c r="AM13" s="1192">
        <v>0</v>
      </c>
      <c r="AN13" s="1192">
        <v>0</v>
      </c>
      <c r="AO13" s="755">
        <v>0</v>
      </c>
      <c r="AP13" s="1192">
        <v>0</v>
      </c>
      <c r="AQ13" s="1203">
        <v>0</v>
      </c>
      <c r="AR13" s="1192">
        <v>0</v>
      </c>
      <c r="AS13" s="1192">
        <v>0</v>
      </c>
      <c r="AT13" s="1190">
        <v>1</v>
      </c>
      <c r="AU13" s="916">
        <v>0</v>
      </c>
      <c r="AV13" s="1192">
        <v>0</v>
      </c>
      <c r="AW13" s="1192">
        <v>0</v>
      </c>
      <c r="AX13" s="1192">
        <v>0</v>
      </c>
      <c r="AY13" s="755">
        <v>-2.75</v>
      </c>
      <c r="AZ13" s="1192">
        <v>0</v>
      </c>
      <c r="BA13" s="755">
        <v>0</v>
      </c>
      <c r="BB13" s="1192">
        <v>0</v>
      </c>
      <c r="BC13" s="1192">
        <v>0</v>
      </c>
      <c r="BD13" s="1192">
        <v>0</v>
      </c>
      <c r="BE13" s="755">
        <v>0</v>
      </c>
      <c r="BF13" s="1165">
        <v>0</v>
      </c>
      <c r="BG13" s="755">
        <v>0</v>
      </c>
      <c r="BH13" s="1161">
        <v>-5.1180000000000003</v>
      </c>
      <c r="BI13" s="1192">
        <v>-0.1</v>
      </c>
      <c r="BJ13" s="1183">
        <v>0.01</v>
      </c>
    </row>
    <row r="14" spans="1:62" x14ac:dyDescent="0.35">
      <c r="A14" s="1170">
        <v>2030</v>
      </c>
      <c r="B14" s="1172">
        <f t="shared" si="1"/>
        <v>0</v>
      </c>
      <c r="C14" s="1172">
        <f t="shared" si="2"/>
        <v>0</v>
      </c>
      <c r="D14" s="1172">
        <f t="shared" si="3"/>
        <v>3.3000000000000002E-2</v>
      </c>
      <c r="E14" s="1172">
        <f t="shared" si="4"/>
        <v>1.8130000000000002</v>
      </c>
      <c r="F14" s="1172">
        <f t="shared" si="11"/>
        <v>0</v>
      </c>
      <c r="G14" s="1172">
        <f t="shared" si="5"/>
        <v>-5.9420000000000002</v>
      </c>
      <c r="H14" s="1172">
        <f t="shared" si="6"/>
        <v>-2.0210000000000004</v>
      </c>
      <c r="I14" s="1172">
        <f t="shared" si="7"/>
        <v>0</v>
      </c>
      <c r="J14" s="1172">
        <f t="shared" si="8"/>
        <v>-1.9E-2</v>
      </c>
      <c r="K14" s="1172">
        <f t="shared" si="9"/>
        <v>0.8</v>
      </c>
      <c r="L14" s="1176"/>
      <c r="M14" s="1172">
        <f t="shared" si="0"/>
        <v>-8.1189999999999998</v>
      </c>
      <c r="N14" s="1172">
        <f t="shared" si="10"/>
        <v>0</v>
      </c>
      <c r="O14" s="1199">
        <v>0.3</v>
      </c>
      <c r="P14" s="1193">
        <v>1.1800000000000002</v>
      </c>
      <c r="Q14" s="1192">
        <v>0</v>
      </c>
      <c r="R14" s="1201">
        <v>0.63300000000000001</v>
      </c>
      <c r="S14" s="1160">
        <v>0</v>
      </c>
      <c r="T14" s="916">
        <v>3.3000000000000002E-2</v>
      </c>
      <c r="U14" s="1192">
        <v>0</v>
      </c>
      <c r="V14" s="916">
        <v>0</v>
      </c>
      <c r="W14" s="755">
        <v>0</v>
      </c>
      <c r="X14" s="755">
        <v>0</v>
      </c>
      <c r="Y14" s="1192">
        <v>0</v>
      </c>
      <c r="Z14" s="1192">
        <v>0</v>
      </c>
      <c r="AA14" s="1192">
        <v>0</v>
      </c>
      <c r="AB14" s="1192">
        <v>0</v>
      </c>
      <c r="AC14" s="916">
        <v>0</v>
      </c>
      <c r="AD14" s="1201">
        <v>0</v>
      </c>
      <c r="AE14" s="1192">
        <v>0</v>
      </c>
      <c r="AF14" s="916">
        <v>0</v>
      </c>
      <c r="AG14" s="916">
        <v>-2.1110000000000002</v>
      </c>
      <c r="AH14" s="916">
        <v>0.09</v>
      </c>
      <c r="AI14" s="916">
        <v>0</v>
      </c>
      <c r="AJ14" s="1166">
        <v>0</v>
      </c>
      <c r="AK14" s="1192">
        <v>0</v>
      </c>
      <c r="AL14" s="1192">
        <v>-1.9E-2</v>
      </c>
      <c r="AM14" s="1192">
        <v>0</v>
      </c>
      <c r="AN14" s="1192">
        <v>0</v>
      </c>
      <c r="AO14" s="755">
        <v>0</v>
      </c>
      <c r="AP14" s="1192">
        <v>0</v>
      </c>
      <c r="AQ14" s="1203">
        <v>0</v>
      </c>
      <c r="AR14" s="1192">
        <v>0</v>
      </c>
      <c r="AS14" s="1192">
        <v>0</v>
      </c>
      <c r="AT14" s="755">
        <v>0.8</v>
      </c>
      <c r="AU14" s="916">
        <v>-5.4089999999999998</v>
      </c>
      <c r="AV14" s="1192">
        <v>0</v>
      </c>
      <c r="AW14" s="1192">
        <v>0</v>
      </c>
      <c r="AX14" s="1192">
        <v>0</v>
      </c>
      <c r="AY14" s="755">
        <v>-2.71</v>
      </c>
      <c r="AZ14" s="1192">
        <v>0</v>
      </c>
      <c r="BA14" s="755">
        <v>0</v>
      </c>
      <c r="BB14" s="1192">
        <v>0</v>
      </c>
      <c r="BC14" s="1192">
        <v>0</v>
      </c>
      <c r="BD14" s="1192">
        <v>0</v>
      </c>
      <c r="BE14" s="1192">
        <v>0</v>
      </c>
      <c r="BF14" s="755">
        <v>0</v>
      </c>
      <c r="BG14" s="755">
        <v>0</v>
      </c>
      <c r="BH14" s="916">
        <v>-5.8319999999999999</v>
      </c>
      <c r="BI14" s="1192">
        <v>-0.11</v>
      </c>
      <c r="BJ14" s="1182">
        <v>0.01</v>
      </c>
    </row>
    <row r="15" spans="1:62" ht="17.25" customHeight="1" x14ac:dyDescent="0.35">
      <c r="A15" s="1170">
        <v>2031</v>
      </c>
      <c r="B15" s="1172">
        <f t="shared" si="1"/>
        <v>0</v>
      </c>
      <c r="C15" s="1172">
        <f t="shared" si="2"/>
        <v>0</v>
      </c>
      <c r="D15" s="1172">
        <f t="shared" si="3"/>
        <v>0</v>
      </c>
      <c r="E15" s="1172">
        <f t="shared" si="4"/>
        <v>1.8230000000000002</v>
      </c>
      <c r="F15" s="1172">
        <f t="shared" si="11"/>
        <v>0</v>
      </c>
      <c r="G15" s="1172">
        <f t="shared" si="5"/>
        <v>-7.7250000000000005</v>
      </c>
      <c r="H15" s="1172">
        <f t="shared" si="6"/>
        <v>-2.4630000000000001</v>
      </c>
      <c r="I15" s="1172">
        <f t="shared" si="7"/>
        <v>0</v>
      </c>
      <c r="J15" s="1172">
        <f t="shared" si="8"/>
        <v>-1.9E-2</v>
      </c>
      <c r="K15" s="1172">
        <f t="shared" si="9"/>
        <v>0</v>
      </c>
      <c r="L15" s="1176"/>
      <c r="M15" s="1172">
        <f t="shared" si="0"/>
        <v>-3.0390000000000001</v>
      </c>
      <c r="N15" s="1172">
        <f t="shared" si="10"/>
        <v>0</v>
      </c>
      <c r="O15" s="1199">
        <v>0.3</v>
      </c>
      <c r="P15" s="1193">
        <v>1.1900000000000002</v>
      </c>
      <c r="Q15" s="1192">
        <v>0</v>
      </c>
      <c r="R15" s="1201">
        <v>0.63300000000000001</v>
      </c>
      <c r="S15" s="1160">
        <v>0</v>
      </c>
      <c r="T15" s="755">
        <v>0</v>
      </c>
      <c r="U15" s="1192">
        <v>0</v>
      </c>
      <c r="V15" s="1192">
        <v>0</v>
      </c>
      <c r="W15" s="755">
        <v>0</v>
      </c>
      <c r="X15" s="755">
        <v>0</v>
      </c>
      <c r="Y15" s="1192">
        <v>0</v>
      </c>
      <c r="Z15" s="1192">
        <v>0</v>
      </c>
      <c r="AA15" s="1192">
        <v>0</v>
      </c>
      <c r="AB15" s="1192">
        <v>0</v>
      </c>
      <c r="AC15" s="916">
        <v>0</v>
      </c>
      <c r="AD15" s="1192">
        <v>0</v>
      </c>
      <c r="AE15" s="916">
        <v>0</v>
      </c>
      <c r="AF15" s="916">
        <v>0</v>
      </c>
      <c r="AG15" s="916">
        <v>-2.5529999999999999</v>
      </c>
      <c r="AH15" s="916">
        <v>0.09</v>
      </c>
      <c r="AI15" s="916">
        <v>0</v>
      </c>
      <c r="AJ15" s="1167">
        <v>0</v>
      </c>
      <c r="AK15" s="1192">
        <v>0</v>
      </c>
      <c r="AL15" s="1192">
        <v>-1.9E-2</v>
      </c>
      <c r="AM15" s="1192">
        <v>0</v>
      </c>
      <c r="AN15" s="1192">
        <v>0</v>
      </c>
      <c r="AO15" s="755">
        <v>0</v>
      </c>
      <c r="AP15" s="1192">
        <v>0</v>
      </c>
      <c r="AQ15" s="1203">
        <v>0</v>
      </c>
      <c r="AR15" s="1192">
        <v>0</v>
      </c>
      <c r="AS15" s="1192">
        <v>0</v>
      </c>
      <c r="AT15" s="755">
        <v>0</v>
      </c>
      <c r="AU15" s="916">
        <v>-0.26900000000000002</v>
      </c>
      <c r="AV15" s="1192">
        <v>0</v>
      </c>
      <c r="AW15" s="1192">
        <v>0</v>
      </c>
      <c r="AX15" s="1192">
        <v>0</v>
      </c>
      <c r="AY15" s="755">
        <v>-2.77</v>
      </c>
      <c r="AZ15" s="1192">
        <v>0</v>
      </c>
      <c r="BA15" s="755">
        <v>0</v>
      </c>
      <c r="BB15" s="1192">
        <v>0</v>
      </c>
      <c r="BC15" s="1192">
        <v>0</v>
      </c>
      <c r="BD15" s="1192">
        <v>0</v>
      </c>
      <c r="BE15" s="1192">
        <v>0</v>
      </c>
      <c r="BF15" s="755">
        <v>0</v>
      </c>
      <c r="BG15" s="755">
        <v>0</v>
      </c>
      <c r="BH15" s="916">
        <v>-5.4350000000000005</v>
      </c>
      <c r="BI15" s="1192">
        <v>-2.29</v>
      </c>
      <c r="BJ15" s="1182">
        <v>0</v>
      </c>
    </row>
    <row r="16" spans="1:62" x14ac:dyDescent="0.35">
      <c r="A16" s="1171" t="s">
        <v>311</v>
      </c>
      <c r="B16" s="1171">
        <f>SUM(B5:B15)</f>
        <v>412.15299999999996</v>
      </c>
      <c r="C16" s="1171">
        <f>SUM(C5:C15)</f>
        <v>205.79999999999998</v>
      </c>
      <c r="D16" s="1171">
        <f>SUM(D5:D15)</f>
        <v>22.711000000000006</v>
      </c>
      <c r="E16" s="1171">
        <f t="shared" ref="E16:H16" si="12">SUM(E5:E15)</f>
        <v>35.466000000000015</v>
      </c>
      <c r="F16" s="1171">
        <f t="shared" si="12"/>
        <v>91.563000000000002</v>
      </c>
      <c r="G16" s="1172">
        <f t="shared" si="5"/>
        <v>174.17</v>
      </c>
      <c r="H16" s="1171">
        <f t="shared" si="12"/>
        <v>21.600999999999996</v>
      </c>
      <c r="I16" s="1176">
        <f t="shared" ref="I16" si="13">SUM(I5:I15)</f>
        <v>362.04999999999995</v>
      </c>
      <c r="J16" s="1176">
        <f t="shared" ref="J16" si="14">SUM(J5:J15)</f>
        <v>169.16899999999998</v>
      </c>
      <c r="K16" s="1172">
        <f t="shared" si="9"/>
        <v>112.72</v>
      </c>
      <c r="L16" s="1176">
        <f>SUM(L5:L15)</f>
        <v>25.75</v>
      </c>
      <c r="M16" s="1172">
        <f t="shared" si="0"/>
        <v>85.197999999999993</v>
      </c>
      <c r="N16" s="1172">
        <f>AK16</f>
        <v>8.5</v>
      </c>
      <c r="O16" s="1200">
        <f t="shared" ref="O16:BI16" si="15">SUM(O5:O15)</f>
        <v>109.3</v>
      </c>
      <c r="P16" s="1192">
        <f t="shared" si="15"/>
        <v>25.819999999999997</v>
      </c>
      <c r="Q16" s="1192">
        <f t="shared" si="15"/>
        <v>412.15299999999996</v>
      </c>
      <c r="R16" s="1192">
        <f t="shared" si="15"/>
        <v>5.774</v>
      </c>
      <c r="S16" s="1192">
        <f t="shared" si="15"/>
        <v>3.8719999999999999</v>
      </c>
      <c r="T16" s="1192">
        <f t="shared" si="15"/>
        <v>22.711000000000006</v>
      </c>
      <c r="U16" s="1192">
        <f t="shared" si="15"/>
        <v>41.599999999999994</v>
      </c>
      <c r="V16" s="1192">
        <f t="shared" si="15"/>
        <v>44.947999999999993</v>
      </c>
      <c r="W16" s="1192">
        <f t="shared" si="15"/>
        <v>5</v>
      </c>
      <c r="X16" s="1192">
        <f t="shared" si="15"/>
        <v>1.4440000000000002</v>
      </c>
      <c r="Y16" s="1192">
        <f t="shared" si="15"/>
        <v>0.2</v>
      </c>
      <c r="Z16" s="1192">
        <f t="shared" si="15"/>
        <v>45.4</v>
      </c>
      <c r="AA16" s="1192">
        <f t="shared" si="15"/>
        <v>35.5</v>
      </c>
      <c r="AB16" s="1192">
        <f t="shared" si="15"/>
        <v>124.7</v>
      </c>
      <c r="AC16" s="1192">
        <f t="shared" si="15"/>
        <v>28</v>
      </c>
      <c r="AD16" s="1192">
        <f t="shared" si="15"/>
        <v>9.100000000000022E-2</v>
      </c>
      <c r="AE16" s="1192">
        <f t="shared" si="15"/>
        <v>22.810000000000002</v>
      </c>
      <c r="AF16" s="1192">
        <f t="shared" si="15"/>
        <v>1.42</v>
      </c>
      <c r="AG16" s="1192">
        <f t="shared" si="15"/>
        <v>20.662999999999997</v>
      </c>
      <c r="AH16" s="1192">
        <f t="shared" si="15"/>
        <v>0.86999999999999988</v>
      </c>
      <c r="AI16" s="1192">
        <f t="shared" si="15"/>
        <v>6.8000000000000005E-2</v>
      </c>
      <c r="AJ16" s="1192">
        <f t="shared" si="15"/>
        <v>362.04999999999995</v>
      </c>
      <c r="AK16" s="1192">
        <f t="shared" ref="AK16:AO16" si="16">SUM(AK5:AK15)</f>
        <v>8.5</v>
      </c>
      <c r="AL16" s="1192">
        <f t="shared" si="16"/>
        <v>169.16899999999998</v>
      </c>
      <c r="AM16" s="1174">
        <f t="shared" si="16"/>
        <v>0.79700000000000004</v>
      </c>
      <c r="AN16" s="1192">
        <f t="shared" si="16"/>
        <v>8.6</v>
      </c>
      <c r="AO16" s="1192">
        <f t="shared" si="16"/>
        <v>3.2000000000000006</v>
      </c>
      <c r="AP16" s="1192">
        <f t="shared" si="15"/>
        <v>2.8000000000000003</v>
      </c>
      <c r="AQ16" s="1177">
        <f>SUM(AQ5:AQ15)</f>
        <v>28</v>
      </c>
      <c r="AR16" s="1192">
        <f>SUM(AR5:AR15)</f>
        <v>14.899999999999999</v>
      </c>
      <c r="AS16" s="1192">
        <f>SUM(AS5:AS15)</f>
        <v>3.8730000000000002</v>
      </c>
      <c r="AT16" s="1192">
        <f t="shared" ref="AT16" si="17">SUM(AT5:AT15)</f>
        <v>50.54999999999999</v>
      </c>
      <c r="AU16" s="1192">
        <f t="shared" si="15"/>
        <v>-5.6779999999999999</v>
      </c>
      <c r="AV16" s="1192">
        <f t="shared" si="15"/>
        <v>8.177999999999999</v>
      </c>
      <c r="AW16" s="1192">
        <f t="shared" si="15"/>
        <v>16.667999999999999</v>
      </c>
      <c r="AX16" s="1192">
        <f t="shared" si="15"/>
        <v>9.9</v>
      </c>
      <c r="AY16" s="1192">
        <f t="shared" si="15"/>
        <v>-25.860000000000003</v>
      </c>
      <c r="AZ16" s="1192">
        <f t="shared" si="15"/>
        <v>81.99</v>
      </c>
      <c r="BA16" s="1192">
        <v>0</v>
      </c>
      <c r="BB16" s="1192">
        <f t="shared" si="15"/>
        <v>24</v>
      </c>
      <c r="BC16" s="1192">
        <f t="shared" si="15"/>
        <v>7.25</v>
      </c>
      <c r="BD16" s="1192">
        <f t="shared" si="15"/>
        <v>49.8</v>
      </c>
      <c r="BE16" s="1192">
        <f t="shared" si="15"/>
        <v>9.02</v>
      </c>
      <c r="BF16" s="1192">
        <f t="shared" si="15"/>
        <v>6.2439999999999998</v>
      </c>
      <c r="BG16" s="1192">
        <f t="shared" si="15"/>
        <v>10.218</v>
      </c>
      <c r="BH16" s="1192">
        <f t="shared" si="15"/>
        <v>50.203999999999979</v>
      </c>
      <c r="BI16" s="1192">
        <f t="shared" si="15"/>
        <v>24.684000000000005</v>
      </c>
      <c r="BJ16" s="1184">
        <f>SUM(BJ5:BJ15)</f>
        <v>9.5399999999999991</v>
      </c>
    </row>
    <row r="17" spans="2:61" x14ac:dyDescent="0.35">
      <c r="R17" s="1201"/>
      <c r="S17" s="1201"/>
      <c r="W17" s="1201"/>
      <c r="X17" s="1201"/>
      <c r="AE17" s="1201"/>
      <c r="AF17" s="1201"/>
      <c r="AV17" s="1201"/>
      <c r="AW17" s="1201"/>
      <c r="AX17" s="1201"/>
      <c r="AY17" s="1201"/>
      <c r="AZ17" s="1201"/>
      <c r="BA17" s="1201"/>
      <c r="BC17" s="1201"/>
      <c r="BE17" s="1201"/>
      <c r="BF17" s="1201"/>
      <c r="BG17" s="1201"/>
    </row>
    <row r="18" spans="2:61" x14ac:dyDescent="0.35">
      <c r="R18" s="1201"/>
      <c r="S18" s="1201"/>
      <c r="W18" s="1201"/>
      <c r="X18" s="1201"/>
      <c r="AE18" s="1201"/>
      <c r="AF18" s="1201"/>
      <c r="AV18" s="1201"/>
      <c r="AW18" s="1201"/>
      <c r="AX18" s="1201"/>
      <c r="AY18" s="1201"/>
      <c r="AZ18" s="1201"/>
      <c r="BA18" s="1201"/>
      <c r="BC18" s="1201" t="s">
        <v>722</v>
      </c>
      <c r="BD18" s="1201" t="s">
        <v>722</v>
      </c>
      <c r="BE18" s="1201"/>
      <c r="BF18" s="1201" t="s">
        <v>722</v>
      </c>
      <c r="BG18" s="1201" t="s">
        <v>722</v>
      </c>
      <c r="BI18" s="1201" t="s">
        <v>722</v>
      </c>
    </row>
    <row r="19" spans="2:61" x14ac:dyDescent="0.35">
      <c r="B19" s="1204"/>
      <c r="C19" s="1204"/>
      <c r="D19" s="1204"/>
      <c r="E19" s="1204"/>
      <c r="F19" s="1204"/>
      <c r="H19" s="1204"/>
      <c r="I19" s="1204"/>
      <c r="J19" s="1204"/>
      <c r="K19" s="1204"/>
      <c r="M19" s="1204"/>
      <c r="N19" s="1204"/>
      <c r="R19" s="1201"/>
      <c r="S19" s="1201"/>
      <c r="W19" s="1201"/>
      <c r="X19" s="1201"/>
      <c r="AE19" s="1201"/>
      <c r="AF19" s="1201"/>
      <c r="AV19" s="1201"/>
      <c r="AW19" s="1201"/>
      <c r="AX19" s="1201"/>
      <c r="AY19" s="1201"/>
      <c r="AZ19" s="1201"/>
      <c r="BA19" s="1201"/>
      <c r="BC19" s="1201"/>
      <c r="BD19" t="s">
        <v>723</v>
      </c>
      <c r="BE19" s="1201"/>
      <c r="BF19" s="1201"/>
      <c r="BG19" s="1201"/>
    </row>
    <row r="20" spans="2:61" x14ac:dyDescent="0.35">
      <c r="R20" s="1201"/>
      <c r="S20" s="1201"/>
      <c r="W20" s="1201"/>
      <c r="X20" s="1201"/>
      <c r="AE20" s="1201"/>
      <c r="AF20" s="1201"/>
      <c r="AV20" s="1201"/>
      <c r="AW20" s="1201"/>
      <c r="AX20" s="1201"/>
      <c r="AY20" s="1201"/>
      <c r="AZ20" s="1201"/>
      <c r="BA20" s="1201"/>
      <c r="BC20" s="1201"/>
      <c r="BE20" s="1201"/>
      <c r="BF20" s="1201"/>
      <c r="BG20" s="1201"/>
    </row>
    <row r="21" spans="2:61" x14ac:dyDescent="0.35">
      <c r="R21" s="1201"/>
      <c r="S21" s="1201"/>
      <c r="W21" s="1201"/>
      <c r="X21" s="1201"/>
      <c r="AE21" s="1201"/>
      <c r="AF21" s="1201"/>
      <c r="AV21" s="1201"/>
      <c r="AW21" s="1201"/>
      <c r="AX21" s="1201"/>
      <c r="AY21" s="1201"/>
      <c r="AZ21" s="1201"/>
      <c r="BA21" s="1201"/>
      <c r="BC21" s="1201"/>
      <c r="BE21" s="1201"/>
      <c r="BF21" s="1201"/>
      <c r="BG21" s="1201"/>
    </row>
    <row r="22" spans="2:61" x14ac:dyDescent="0.35">
      <c r="B22" s="1204"/>
      <c r="R22" s="1201"/>
      <c r="S22" s="1201"/>
      <c r="W22" s="1201"/>
      <c r="X22" s="1201"/>
      <c r="AE22" s="1201"/>
      <c r="AF22" s="1201"/>
      <c r="AV22" s="1201"/>
      <c r="AW22" s="1201"/>
      <c r="AX22" s="1201"/>
      <c r="AY22" s="1201"/>
      <c r="AZ22" s="1201"/>
      <c r="BA22" s="1201"/>
      <c r="BC22" s="1201"/>
      <c r="BE22" s="1201"/>
      <c r="BF22" s="1201"/>
      <c r="BG22" s="1201"/>
    </row>
    <row r="23" spans="2:61" x14ac:dyDescent="0.35">
      <c r="B23" s="1204"/>
      <c r="R23" s="1201"/>
      <c r="S23" s="1201"/>
      <c r="W23" s="1201"/>
      <c r="X23" s="1201"/>
      <c r="AE23" s="1201"/>
      <c r="AF23" s="1201"/>
      <c r="AV23" s="1201"/>
      <c r="AW23" s="1201"/>
      <c r="AX23" s="1201"/>
      <c r="AY23" s="1201"/>
      <c r="AZ23" s="1201"/>
      <c r="BA23" s="1201"/>
      <c r="BC23" s="1201"/>
      <c r="BE23" s="1201"/>
      <c r="BF23" s="1201"/>
      <c r="BG23" s="1201"/>
    </row>
    <row r="24" spans="2:61" x14ac:dyDescent="0.35">
      <c r="B24" s="1204"/>
      <c r="R24" s="1201"/>
      <c r="S24" s="1201"/>
      <c r="W24" s="1201"/>
      <c r="X24" s="1201"/>
      <c r="AE24" s="1201"/>
      <c r="AF24" s="1201"/>
      <c r="AV24" s="1201"/>
      <c r="AW24" s="1201"/>
      <c r="AX24" s="1201"/>
      <c r="AY24" s="1201"/>
      <c r="AZ24" s="1201"/>
      <c r="BA24" s="1201"/>
      <c r="BC24" s="1201"/>
      <c r="BE24" s="1201"/>
      <c r="BF24" s="1201"/>
      <c r="BG24" s="1201"/>
    </row>
    <row r="25" spans="2:61" x14ac:dyDescent="0.35">
      <c r="B25" s="1204"/>
      <c r="R25" s="1201"/>
      <c r="S25" s="1201"/>
      <c r="W25" s="1201"/>
      <c r="X25" s="1201"/>
      <c r="AE25" s="1201"/>
      <c r="AF25" s="1201"/>
      <c r="AV25" s="1201"/>
      <c r="AW25" s="1201"/>
      <c r="AX25" s="1201"/>
      <c r="AY25" s="1201"/>
      <c r="AZ25" s="1201"/>
      <c r="BA25" s="1201"/>
      <c r="BC25" s="1201"/>
      <c r="BE25" s="1201"/>
      <c r="BF25" s="1201"/>
      <c r="BG25" s="1201"/>
    </row>
    <row r="26" spans="2:61" x14ac:dyDescent="0.35">
      <c r="B26" s="1204"/>
      <c r="R26" s="1201"/>
      <c r="S26" s="1201"/>
      <c r="W26" s="1201"/>
      <c r="X26" s="1201"/>
      <c r="AE26" s="1201"/>
      <c r="AF26" s="1201"/>
      <c r="AV26" s="1201"/>
      <c r="AW26" s="1201"/>
      <c r="AX26" s="1201"/>
      <c r="AY26" s="1201"/>
      <c r="AZ26" s="1201"/>
      <c r="BA26" s="1201"/>
      <c r="BC26" s="1201"/>
      <c r="BE26" s="1201"/>
      <c r="BF26" s="1201"/>
      <c r="BG26" s="1201"/>
    </row>
    <row r="27" spans="2:61" x14ac:dyDescent="0.35">
      <c r="B27" s="1204"/>
      <c r="R27" s="1201"/>
      <c r="S27" s="1201"/>
      <c r="W27" s="1201"/>
      <c r="X27" s="1201"/>
      <c r="AE27" s="1201"/>
      <c r="AF27" s="1201"/>
      <c r="AV27" s="1201"/>
      <c r="AW27" s="1201"/>
      <c r="AX27" s="1201"/>
      <c r="AY27" s="1201"/>
      <c r="AZ27" s="1201"/>
      <c r="BA27" s="1201"/>
      <c r="BC27" s="1201"/>
      <c r="BE27" s="1201"/>
      <c r="BF27" s="1201"/>
      <c r="BG27" s="1201"/>
    </row>
    <row r="28" spans="2:61" x14ac:dyDescent="0.35">
      <c r="B28" s="1204"/>
      <c r="R28" s="1201"/>
      <c r="S28" s="1201"/>
      <c r="W28" s="1201"/>
      <c r="X28" s="1201"/>
      <c r="AE28" s="1201"/>
      <c r="AF28" s="1201"/>
      <c r="AV28" s="1201"/>
      <c r="AW28" s="1201"/>
      <c r="AX28" s="1201"/>
      <c r="AY28" s="1201"/>
      <c r="AZ28" s="1201"/>
      <c r="BA28" s="1201"/>
      <c r="BC28" s="1201"/>
      <c r="BE28" s="1201"/>
      <c r="BF28" s="1201"/>
      <c r="BG28" s="1201"/>
    </row>
    <row r="29" spans="2:61" x14ac:dyDescent="0.35">
      <c r="R29" s="1201"/>
      <c r="S29" s="1201"/>
      <c r="W29" s="1201"/>
      <c r="X29" s="1201"/>
      <c r="AE29" s="1201"/>
      <c r="AF29" s="1201"/>
      <c r="AV29" s="1201"/>
      <c r="AW29" s="1201"/>
      <c r="AX29" s="1201"/>
      <c r="AY29" s="1201"/>
      <c r="AZ29" s="1201"/>
      <c r="BA29" s="1201"/>
      <c r="BC29" s="1201"/>
      <c r="BE29" s="1201"/>
      <c r="BF29" s="1201"/>
      <c r="BG29" s="1201"/>
    </row>
    <row r="30" spans="2:61" x14ac:dyDescent="0.35">
      <c r="R30" s="1201"/>
      <c r="S30" s="1201"/>
      <c r="W30" s="1201"/>
      <c r="X30" s="1201"/>
      <c r="AE30" s="1201"/>
      <c r="AF30" s="1201"/>
      <c r="AV30" s="1201"/>
      <c r="AW30" s="1201"/>
      <c r="AX30" s="1201"/>
      <c r="AY30" s="1201"/>
      <c r="AZ30" s="1201"/>
      <c r="BA30" s="1201"/>
      <c r="BC30" s="1201"/>
      <c r="BE30" s="1201"/>
      <c r="BF30" s="1201"/>
      <c r="BG30" s="1201"/>
    </row>
    <row r="31" spans="2:61" x14ac:dyDescent="0.35">
      <c r="R31" s="1201"/>
      <c r="S31" s="1201"/>
      <c r="W31" s="1201"/>
      <c r="X31" s="1201"/>
      <c r="AE31" s="1201"/>
      <c r="AF31" s="1201"/>
      <c r="AV31" s="1201"/>
      <c r="AW31" s="1201"/>
      <c r="AX31" s="1201"/>
      <c r="AY31" s="1201"/>
      <c r="AZ31" s="1201"/>
      <c r="BA31" s="1201"/>
      <c r="BC31" s="1201"/>
      <c r="BE31" s="1201"/>
      <c r="BF31" s="1201"/>
      <c r="BG31" s="1201"/>
    </row>
    <row r="32" spans="2:61" x14ac:dyDescent="0.35">
      <c r="R32" s="1201"/>
      <c r="S32" s="1201"/>
      <c r="W32" s="1201"/>
      <c r="X32" s="1201"/>
      <c r="AE32" s="1201"/>
      <c r="AF32" s="1201"/>
      <c r="AV32" s="1201"/>
      <c r="AW32" s="1201"/>
      <c r="AX32" s="1201"/>
      <c r="AY32" s="1201"/>
      <c r="AZ32" s="1201"/>
      <c r="BA32" s="1201"/>
      <c r="BC32" s="1201"/>
      <c r="BE32" s="1201"/>
      <c r="BF32" s="1201"/>
      <c r="BG32" s="1201"/>
    </row>
    <row r="33" spans="18:59" x14ac:dyDescent="0.35">
      <c r="R33" s="1201"/>
      <c r="S33" s="1201"/>
      <c r="W33" s="1201"/>
      <c r="X33" s="1201"/>
      <c r="AE33" s="1201"/>
      <c r="AF33" s="1201"/>
      <c r="AV33" s="1201"/>
      <c r="AW33" s="1201"/>
      <c r="AX33" s="1201"/>
      <c r="AY33" s="1201"/>
      <c r="AZ33" s="1201"/>
      <c r="BA33" s="1201"/>
      <c r="BC33" s="1201"/>
      <c r="BE33" s="1201"/>
      <c r="BF33" s="1201"/>
      <c r="BG33" s="1201"/>
    </row>
    <row r="34" spans="18:59" x14ac:dyDescent="0.35">
      <c r="R34" s="1201"/>
      <c r="S34" s="1201"/>
      <c r="W34" s="1201"/>
      <c r="X34" s="1201"/>
      <c r="AE34" s="1201"/>
      <c r="AF34" s="1201"/>
      <c r="AV34" s="1201"/>
      <c r="AW34" s="1201"/>
      <c r="AX34" s="1201"/>
      <c r="AY34" s="1201"/>
      <c r="AZ34" s="1201"/>
      <c r="BA34" s="1201"/>
      <c r="BC34" s="1201"/>
      <c r="BE34" s="1201"/>
      <c r="BF34" s="1201"/>
      <c r="BG34" s="1201"/>
    </row>
    <row r="35" spans="18:59" x14ac:dyDescent="0.35">
      <c r="R35" s="1201"/>
      <c r="S35" s="1201"/>
      <c r="W35" s="1201"/>
      <c r="X35" s="1201"/>
      <c r="AE35" s="1201"/>
      <c r="AF35" s="1201"/>
      <c r="AV35" s="1201"/>
      <c r="AW35" s="1201"/>
      <c r="AX35" s="1201"/>
      <c r="AY35" s="1201"/>
      <c r="AZ35" s="1201"/>
      <c r="BA35" s="1201"/>
      <c r="BC35" s="1201"/>
      <c r="BE35" s="1201"/>
      <c r="BF35" s="1201"/>
      <c r="BG35" s="1201"/>
    </row>
    <row r="36" spans="18:59" x14ac:dyDescent="0.35">
      <c r="R36" s="1201"/>
      <c r="S36" s="1201"/>
      <c r="W36" s="1201"/>
      <c r="X36" s="1201"/>
      <c r="AE36" s="1201"/>
      <c r="AF36" s="1201"/>
      <c r="AV36" s="1201"/>
      <c r="AW36" s="1201"/>
      <c r="AX36" s="1201"/>
      <c r="AY36" s="1201"/>
      <c r="AZ36" s="1201"/>
      <c r="BA36" s="1201"/>
      <c r="BC36" s="1201"/>
      <c r="BE36" s="1201"/>
      <c r="BF36" s="1201"/>
      <c r="BG36" s="1201"/>
    </row>
    <row r="37" spans="18:59" x14ac:dyDescent="0.35">
      <c r="R37" s="1201"/>
      <c r="S37" s="1201"/>
      <c r="W37" s="1201"/>
      <c r="X37" s="1201"/>
      <c r="AE37" s="1201"/>
      <c r="AF37" s="1201"/>
      <c r="AV37" s="1201"/>
      <c r="AW37" s="1201"/>
      <c r="AX37" s="1201"/>
      <c r="AY37" s="1201"/>
      <c r="AZ37" s="1201"/>
      <c r="BA37" s="1201"/>
      <c r="BC37" s="1201"/>
      <c r="BE37" s="1201"/>
      <c r="BF37" s="1201"/>
      <c r="BG37" s="1201"/>
    </row>
    <row r="38" spans="18:59" x14ac:dyDescent="0.35">
      <c r="R38" s="1201"/>
      <c r="S38" s="1201"/>
      <c r="W38" s="1201"/>
      <c r="X38" s="1201"/>
      <c r="AE38" s="1201"/>
      <c r="AF38" s="1201"/>
      <c r="AV38" s="1201"/>
      <c r="AW38" s="1201"/>
      <c r="AX38" s="1201"/>
      <c r="AY38" s="1201"/>
      <c r="AZ38" s="1201"/>
      <c r="BA38" s="1201"/>
      <c r="BC38" s="1201"/>
      <c r="BE38" s="1201"/>
      <c r="BF38" s="1201"/>
      <c r="BG38" s="1201"/>
    </row>
    <row r="39" spans="18:59" x14ac:dyDescent="0.35">
      <c r="R39" s="1201"/>
      <c r="S39" s="1201"/>
      <c r="W39" s="1201"/>
      <c r="X39" s="1201"/>
      <c r="AE39" s="1201"/>
      <c r="AF39" s="1201"/>
      <c r="AV39" s="1201"/>
      <c r="AW39" s="1201"/>
      <c r="AX39" s="1201"/>
      <c r="AY39" s="1201"/>
      <c r="AZ39" s="1201"/>
      <c r="BA39" s="1201"/>
      <c r="BC39" s="1201"/>
      <c r="BE39" s="1201"/>
      <c r="BF39" s="1201"/>
      <c r="BG39" s="1201"/>
    </row>
    <row r="40" spans="18:59" x14ac:dyDescent="0.35">
      <c r="R40" s="1201"/>
      <c r="S40" s="1201"/>
      <c r="W40" s="1201"/>
      <c r="X40" s="1201"/>
      <c r="AE40" s="1201"/>
      <c r="AF40" s="1201"/>
      <c r="AV40" s="1201"/>
      <c r="AW40" s="1201"/>
      <c r="AX40" s="1201"/>
      <c r="AY40" s="1201"/>
      <c r="AZ40" s="1201"/>
      <c r="BA40" s="1201"/>
      <c r="BC40" s="1201"/>
      <c r="BE40" s="1201"/>
      <c r="BF40" s="1201"/>
      <c r="BG40" s="1201"/>
    </row>
    <row r="41" spans="18:59" x14ac:dyDescent="0.35">
      <c r="R41" s="1201"/>
      <c r="S41" s="1201"/>
      <c r="W41" s="1201"/>
      <c r="X41" s="1201"/>
      <c r="AE41" s="1201"/>
      <c r="AF41" s="1201"/>
      <c r="AV41" s="1201"/>
      <c r="AW41" s="1201"/>
      <c r="AX41" s="1201"/>
      <c r="AY41" s="1201"/>
      <c r="AZ41" s="1201"/>
      <c r="BA41" s="1201"/>
      <c r="BC41" s="1201"/>
      <c r="BE41" s="1201"/>
      <c r="BF41" s="1201"/>
      <c r="BG41" s="1201"/>
    </row>
    <row r="42" spans="18:59" x14ac:dyDescent="0.35">
      <c r="R42" s="1201"/>
      <c r="S42" s="1201"/>
      <c r="W42" s="1201"/>
      <c r="X42" s="1201"/>
      <c r="AE42" s="1201"/>
      <c r="AF42" s="1201"/>
      <c r="AV42" s="1201"/>
      <c r="AW42" s="1201"/>
      <c r="AX42" s="1201"/>
      <c r="AY42" s="1201"/>
      <c r="AZ42" s="1201"/>
      <c r="BA42" s="1201"/>
      <c r="BC42" s="1201"/>
      <c r="BE42" s="1201"/>
      <c r="BF42" s="1201"/>
      <c r="BG42" s="1201"/>
    </row>
    <row r="43" spans="18:59" x14ac:dyDescent="0.35">
      <c r="R43" s="1201"/>
      <c r="S43" s="1201"/>
      <c r="W43" s="1201"/>
      <c r="X43" s="1201"/>
      <c r="AE43" s="1201"/>
      <c r="AF43" s="1201"/>
      <c r="AV43" s="1201"/>
      <c r="AW43" s="1201"/>
      <c r="AX43" s="1201"/>
      <c r="AY43" s="1201"/>
      <c r="AZ43" s="1201"/>
      <c r="BA43" s="1201"/>
      <c r="BC43" s="1201"/>
      <c r="BE43" s="1201"/>
      <c r="BF43" s="1201"/>
      <c r="BG43" s="1201"/>
    </row>
    <row r="44" spans="18:59" x14ac:dyDescent="0.35">
      <c r="R44" s="1201"/>
      <c r="S44" s="1201"/>
      <c r="W44" s="1201"/>
      <c r="X44" s="1201"/>
      <c r="AE44" s="1201"/>
      <c r="AF44" s="1201"/>
      <c r="AV44" s="1201"/>
      <c r="AW44" s="1201"/>
      <c r="AX44" s="1201"/>
      <c r="AY44" s="1201"/>
      <c r="AZ44" s="1201"/>
      <c r="BA44" s="1201"/>
      <c r="BC44" s="1201"/>
      <c r="BE44" s="1201"/>
      <c r="BF44" s="1201"/>
      <c r="BG44" s="1201"/>
    </row>
    <row r="45" spans="18:59" x14ac:dyDescent="0.35">
      <c r="R45" s="1201"/>
      <c r="S45" s="1201"/>
      <c r="W45" s="1201"/>
      <c r="X45" s="1201"/>
      <c r="AE45" s="1201"/>
      <c r="AF45" s="1201"/>
      <c r="AV45" s="1201"/>
      <c r="AW45" s="1201"/>
      <c r="AX45" s="1201"/>
      <c r="AY45" s="1201"/>
      <c r="AZ45" s="1201"/>
      <c r="BA45" s="1201"/>
      <c r="BC45" s="1201"/>
      <c r="BE45" s="1201"/>
      <c r="BF45" s="1201"/>
      <c r="BG45" s="1201"/>
    </row>
    <row r="46" spans="18:59" x14ac:dyDescent="0.35">
      <c r="R46" s="1201"/>
      <c r="S46" s="1201"/>
      <c r="W46" s="1201"/>
      <c r="X46" s="1201"/>
      <c r="AE46" s="1201"/>
      <c r="AF46" s="1201"/>
      <c r="AV46" s="1201"/>
      <c r="AW46" s="1201"/>
      <c r="AX46" s="1201"/>
      <c r="AY46" s="1201"/>
      <c r="AZ46" s="1201"/>
      <c r="BA46" s="1201"/>
      <c r="BC46" s="1201"/>
      <c r="BE46" s="1201"/>
      <c r="BF46" s="1201"/>
      <c r="BG46" s="1201"/>
    </row>
    <row r="47" spans="18:59" x14ac:dyDescent="0.35">
      <c r="R47" s="1201"/>
      <c r="S47" s="1201"/>
      <c r="W47" s="1201"/>
      <c r="X47" s="1201"/>
      <c r="AE47" s="1201"/>
      <c r="AF47" s="1201"/>
      <c r="AV47" s="1201"/>
      <c r="AW47" s="1201"/>
      <c r="AX47" s="1201"/>
      <c r="AY47" s="1201"/>
      <c r="AZ47" s="1201"/>
      <c r="BA47" s="1201"/>
      <c r="BC47" s="1201"/>
      <c r="BE47" s="1201"/>
      <c r="BF47" s="1201"/>
      <c r="BG47" s="1201"/>
    </row>
    <row r="48" spans="18:59" x14ac:dyDescent="0.35">
      <c r="R48" s="1201"/>
      <c r="S48" s="1201"/>
      <c r="W48" s="1201"/>
      <c r="X48" s="1201"/>
      <c r="AE48" s="1201"/>
      <c r="AF48" s="1201"/>
      <c r="AV48" s="1201"/>
      <c r="AW48" s="1201"/>
      <c r="AX48" s="1201"/>
      <c r="AY48" s="1201"/>
      <c r="AZ48" s="1201"/>
      <c r="BA48" s="1201"/>
      <c r="BC48" s="1201"/>
      <c r="BE48" s="1201"/>
      <c r="BF48" s="1201"/>
      <c r="BG48" s="1201"/>
    </row>
    <row r="49" spans="18:59" x14ac:dyDescent="0.35">
      <c r="R49" s="1201"/>
      <c r="S49" s="1201"/>
      <c r="W49" s="1201"/>
      <c r="X49" s="1201"/>
      <c r="AE49" s="1201"/>
      <c r="AF49" s="1201"/>
      <c r="AV49" s="1201"/>
      <c r="AW49" s="1201"/>
      <c r="AX49" s="1201"/>
      <c r="AY49" s="1201"/>
      <c r="AZ49" s="1201"/>
      <c r="BA49" s="1201"/>
      <c r="BC49" s="1201"/>
      <c r="BE49" s="1201"/>
      <c r="BF49" s="1201"/>
      <c r="BG49" s="1201"/>
    </row>
    <row r="50" spans="18:59" x14ac:dyDescent="0.35">
      <c r="R50" s="1201"/>
      <c r="S50" s="1201"/>
      <c r="W50" s="1201"/>
      <c r="X50" s="1201"/>
      <c r="AE50" s="1201"/>
      <c r="AF50" s="1201"/>
      <c r="AV50" s="1201"/>
      <c r="AW50" s="1201"/>
      <c r="AX50" s="1201"/>
      <c r="AY50" s="1201"/>
      <c r="AZ50" s="1201"/>
      <c r="BA50" s="1201"/>
      <c r="BC50" s="1201"/>
      <c r="BE50" s="1201"/>
      <c r="BF50" s="1201"/>
      <c r="BG50" s="1201"/>
    </row>
    <row r="51" spans="18:59" x14ac:dyDescent="0.35">
      <c r="R51" s="1201"/>
      <c r="S51" s="1201"/>
      <c r="W51" s="1201"/>
      <c r="X51" s="1201"/>
      <c r="AE51" s="1201"/>
      <c r="AF51" s="1201"/>
      <c r="AV51" s="1201"/>
      <c r="AW51" s="1201"/>
      <c r="AX51" s="1201"/>
      <c r="AY51" s="1201"/>
      <c r="AZ51" s="1201"/>
      <c r="BA51" s="1201"/>
      <c r="BC51" s="1201"/>
      <c r="BE51" s="1201"/>
      <c r="BF51" s="1201"/>
      <c r="BG51" s="1201"/>
    </row>
    <row r="52" spans="18:59" x14ac:dyDescent="0.35">
      <c r="R52" s="1201"/>
      <c r="S52" s="1201"/>
      <c r="W52" s="1201"/>
      <c r="X52" s="1201"/>
      <c r="AE52" s="1201"/>
      <c r="AF52" s="1201"/>
      <c r="AV52" s="1201"/>
      <c r="AW52" s="1201"/>
      <c r="AX52" s="1201"/>
      <c r="AY52" s="1201"/>
      <c r="AZ52" s="1201"/>
      <c r="BA52" s="1201"/>
      <c r="BC52" s="1201"/>
      <c r="BE52" s="1201"/>
      <c r="BF52" s="1201"/>
      <c r="BG52" s="1201"/>
    </row>
    <row r="53" spans="18:59" x14ac:dyDescent="0.35">
      <c r="R53" s="1201"/>
      <c r="S53" s="1201"/>
      <c r="W53" s="1201"/>
      <c r="X53" s="1201"/>
      <c r="AE53" s="1201"/>
      <c r="AF53" s="1201"/>
      <c r="AV53" s="1201"/>
      <c r="AW53" s="1201"/>
      <c r="AX53" s="1201"/>
      <c r="AY53" s="1201"/>
      <c r="AZ53" s="1201"/>
      <c r="BA53" s="1201"/>
      <c r="BC53" s="1201"/>
      <c r="BE53" s="1201"/>
      <c r="BF53" s="1201"/>
      <c r="BG53" s="1201"/>
    </row>
    <row r="54" spans="18:59" x14ac:dyDescent="0.35">
      <c r="R54" s="1201"/>
      <c r="S54" s="1201"/>
      <c r="W54" s="1201"/>
      <c r="X54" s="1201"/>
      <c r="AE54" s="1201"/>
      <c r="AF54" s="1201"/>
      <c r="AV54" s="1201"/>
      <c r="AW54" s="1201"/>
      <c r="AX54" s="1201"/>
      <c r="AY54" s="1201"/>
      <c r="AZ54" s="1201"/>
      <c r="BA54" s="1201"/>
      <c r="BC54" s="1201"/>
      <c r="BE54" s="1201"/>
      <c r="BF54" s="1201"/>
      <c r="BG54" s="1201"/>
    </row>
    <row r="55" spans="18:59" x14ac:dyDescent="0.35">
      <c r="R55" s="1201"/>
      <c r="S55" s="1201"/>
      <c r="W55" s="1201"/>
      <c r="X55" s="1201"/>
      <c r="AE55" s="1201"/>
      <c r="AF55" s="1201"/>
      <c r="AV55" s="1201"/>
      <c r="AW55" s="1201"/>
      <c r="AX55" s="1201"/>
      <c r="AY55" s="1201"/>
      <c r="AZ55" s="1201"/>
      <c r="BA55" s="1201"/>
      <c r="BC55" s="1201"/>
      <c r="BE55" s="1201"/>
      <c r="BF55" s="1201"/>
      <c r="BG55" s="1201"/>
    </row>
    <row r="56" spans="18:59" x14ac:dyDescent="0.35">
      <c r="R56" s="1201"/>
      <c r="S56" s="1201"/>
      <c r="W56" s="1201"/>
      <c r="X56" s="1201"/>
      <c r="AE56" s="1201"/>
      <c r="AF56" s="1201"/>
      <c r="AV56" s="1201"/>
      <c r="AW56" s="1201"/>
      <c r="AX56" s="1201"/>
      <c r="AY56" s="1201"/>
      <c r="AZ56" s="1201"/>
      <c r="BA56" s="1201"/>
      <c r="BC56" s="1201"/>
      <c r="BE56" s="1201"/>
      <c r="BF56" s="1201"/>
      <c r="BG56" s="1201"/>
    </row>
    <row r="57" spans="18:59" x14ac:dyDescent="0.35">
      <c r="R57" s="1201"/>
      <c r="S57" s="1201"/>
      <c r="W57" s="1201"/>
      <c r="X57" s="1201"/>
      <c r="AE57" s="1201"/>
      <c r="AF57" s="1201"/>
      <c r="AV57" s="1201"/>
      <c r="AW57" s="1201"/>
      <c r="AX57" s="1201"/>
      <c r="AY57" s="1201"/>
      <c r="AZ57" s="1201"/>
      <c r="BA57" s="1201"/>
      <c r="BC57" s="1201"/>
      <c r="BE57" s="1201"/>
      <c r="BF57" s="1201"/>
      <c r="BG57" s="1201"/>
    </row>
    <row r="58" spans="18:59" x14ac:dyDescent="0.35">
      <c r="R58" s="1201"/>
      <c r="S58" s="1201"/>
      <c r="W58" s="1201"/>
      <c r="X58" s="1201"/>
      <c r="AE58" s="1201"/>
      <c r="AF58" s="1201"/>
      <c r="AV58" s="1201"/>
      <c r="AW58" s="1201"/>
      <c r="AX58" s="1201"/>
      <c r="AY58" s="1201"/>
      <c r="AZ58" s="1201"/>
      <c r="BA58" s="1201"/>
      <c r="BC58" s="1201"/>
      <c r="BE58" s="1201"/>
      <c r="BF58" s="1201"/>
      <c r="BG58" s="1201"/>
    </row>
    <row r="59" spans="18:59" x14ac:dyDescent="0.35">
      <c r="R59" s="1201"/>
      <c r="S59" s="1201"/>
      <c r="W59" s="1201"/>
      <c r="X59" s="1201"/>
      <c r="AE59" s="1201"/>
      <c r="AF59" s="1201"/>
      <c r="AV59" s="1201"/>
      <c r="AW59" s="1201"/>
      <c r="AX59" s="1201"/>
      <c r="AY59" s="1201"/>
      <c r="AZ59" s="1201"/>
      <c r="BA59" s="1201"/>
      <c r="BC59" s="1201"/>
      <c r="BE59" s="1201"/>
      <c r="BF59" s="1201"/>
      <c r="BG59" s="1201"/>
    </row>
    <row r="60" spans="18:59" x14ac:dyDescent="0.35">
      <c r="R60" s="1201"/>
      <c r="S60" s="1201"/>
      <c r="W60" s="1201"/>
      <c r="X60" s="1201"/>
      <c r="AE60" s="1201"/>
      <c r="AF60" s="1201"/>
      <c r="AV60" s="1201"/>
      <c r="AW60" s="1201"/>
      <c r="AX60" s="1201"/>
      <c r="AY60" s="1201"/>
      <c r="AZ60" s="1201"/>
      <c r="BA60" s="1201"/>
      <c r="BC60" s="1201"/>
      <c r="BE60" s="1201"/>
      <c r="BF60" s="1201"/>
      <c r="BG60" s="1201"/>
    </row>
    <row r="61" spans="18:59" x14ac:dyDescent="0.35">
      <c r="R61" s="1201"/>
      <c r="S61" s="1201"/>
      <c r="W61" s="1201"/>
      <c r="X61" s="1201"/>
      <c r="AE61" s="1201"/>
      <c r="AF61" s="1201"/>
      <c r="AV61" s="1201"/>
      <c r="AW61" s="1201"/>
      <c r="AX61" s="1201"/>
      <c r="AY61" s="1201"/>
      <c r="AZ61" s="1201"/>
      <c r="BA61" s="1201"/>
      <c r="BC61" s="1201"/>
      <c r="BE61" s="1201"/>
      <c r="BF61" s="1201"/>
      <c r="BG61" s="1201"/>
    </row>
    <row r="62" spans="18:59" x14ac:dyDescent="0.35">
      <c r="R62" s="1201"/>
      <c r="S62" s="1201"/>
      <c r="W62" s="1201"/>
      <c r="X62" s="1201"/>
      <c r="AE62" s="1201"/>
      <c r="AF62" s="1201"/>
      <c r="AV62" s="1201"/>
      <c r="AW62" s="1201"/>
      <c r="AX62" s="1201"/>
      <c r="AY62" s="1201"/>
      <c r="AZ62" s="1201"/>
      <c r="BA62" s="1201"/>
      <c r="BC62" s="1201"/>
      <c r="BE62" s="1201"/>
      <c r="BF62" s="1201"/>
      <c r="BG62" s="1201"/>
    </row>
    <row r="63" spans="18:59" x14ac:dyDescent="0.35">
      <c r="R63" s="1201"/>
      <c r="S63" s="1201"/>
      <c r="W63" s="1201"/>
      <c r="X63" s="1201"/>
      <c r="AE63" s="1201"/>
      <c r="AF63" s="1201"/>
      <c r="AV63" s="1201"/>
      <c r="AW63" s="1201"/>
      <c r="AX63" s="1201"/>
      <c r="AY63" s="1201"/>
      <c r="AZ63" s="1201"/>
      <c r="BA63" s="1201"/>
      <c r="BC63" s="1201"/>
      <c r="BE63" s="1201"/>
      <c r="BF63" s="1201"/>
      <c r="BG63" s="1201"/>
    </row>
    <row r="64" spans="18:59" x14ac:dyDescent="0.35">
      <c r="R64" s="1201"/>
      <c r="S64" s="1201"/>
      <c r="W64" s="1201"/>
      <c r="X64" s="1201"/>
      <c r="AE64" s="1201"/>
      <c r="AF64" s="1201"/>
      <c r="AV64" s="1201"/>
      <c r="AW64" s="1201"/>
      <c r="AX64" s="1201"/>
      <c r="AY64" s="1201"/>
      <c r="AZ64" s="1201"/>
      <c r="BA64" s="1201"/>
      <c r="BC64" s="1201"/>
      <c r="BE64" s="1201"/>
      <c r="BF64" s="1201"/>
      <c r="BG64" s="1201"/>
    </row>
    <row r="65" spans="18:59" x14ac:dyDescent="0.35">
      <c r="R65" s="1201"/>
      <c r="S65" s="1201"/>
      <c r="W65" s="1201"/>
      <c r="X65" s="1201"/>
      <c r="AE65" s="1201"/>
      <c r="AF65" s="1201"/>
      <c r="AV65" s="1201"/>
      <c r="AW65" s="1201"/>
      <c r="AX65" s="1201"/>
      <c r="AY65" s="1201"/>
      <c r="AZ65" s="1201"/>
      <c r="BA65" s="1201"/>
      <c r="BC65" s="1201"/>
      <c r="BE65" s="1201"/>
      <c r="BF65" s="1201"/>
      <c r="BG65" s="1201"/>
    </row>
    <row r="66" spans="18:59" x14ac:dyDescent="0.35">
      <c r="R66" s="1201"/>
      <c r="S66" s="1201"/>
      <c r="W66" s="1201"/>
      <c r="X66" s="1201"/>
      <c r="AE66" s="1201"/>
      <c r="AF66" s="1201"/>
      <c r="AV66" s="1201"/>
      <c r="AW66" s="1201"/>
      <c r="AX66" s="1201"/>
      <c r="AY66" s="1201"/>
      <c r="AZ66" s="1201"/>
      <c r="BA66" s="1201"/>
      <c r="BC66" s="1201"/>
      <c r="BE66" s="1201"/>
      <c r="BF66" s="1201"/>
      <c r="BG66" s="1201"/>
    </row>
    <row r="67" spans="18:59" x14ac:dyDescent="0.35">
      <c r="R67" s="1201"/>
      <c r="S67" s="1201"/>
      <c r="W67" s="1201"/>
      <c r="X67" s="1201"/>
      <c r="AE67" s="1201"/>
      <c r="AF67" s="1201"/>
      <c r="AV67" s="1201"/>
      <c r="AW67" s="1201"/>
      <c r="AX67" s="1201"/>
      <c r="AY67" s="1201"/>
      <c r="AZ67" s="1201"/>
      <c r="BA67" s="1201"/>
      <c r="BC67" s="1201"/>
      <c r="BE67" s="1201"/>
      <c r="BF67" s="1201"/>
      <c r="BG67" s="1201"/>
    </row>
    <row r="68" spans="18:59" x14ac:dyDescent="0.35">
      <c r="R68" s="1201"/>
      <c r="S68" s="1201"/>
      <c r="W68" s="1201"/>
      <c r="X68" s="1201"/>
      <c r="AE68" s="1201"/>
      <c r="AF68" s="1201"/>
      <c r="AV68" s="1201"/>
      <c r="AW68" s="1201"/>
      <c r="AX68" s="1201"/>
      <c r="AY68" s="1201"/>
      <c r="AZ68" s="1201"/>
      <c r="BA68" s="1201"/>
      <c r="BC68" s="1201"/>
      <c r="BE68" s="1201"/>
      <c r="BF68" s="1201"/>
      <c r="BG68" s="1201"/>
    </row>
    <row r="69" spans="18:59" x14ac:dyDescent="0.35">
      <c r="R69" s="1201"/>
      <c r="S69" s="1201"/>
      <c r="W69" s="1201"/>
      <c r="X69" s="1201"/>
      <c r="AE69" s="1201"/>
      <c r="AF69" s="1201"/>
      <c r="AV69" s="1201"/>
      <c r="AW69" s="1201"/>
      <c r="AX69" s="1201"/>
      <c r="AY69" s="1201"/>
      <c r="AZ69" s="1201"/>
      <c r="BA69" s="1201"/>
      <c r="BC69" s="1201"/>
      <c r="BE69" s="1201"/>
      <c r="BF69" s="1201"/>
      <c r="BG69" s="1201"/>
    </row>
    <row r="70" spans="18:59" x14ac:dyDescent="0.35">
      <c r="R70" s="1201"/>
      <c r="S70" s="1201"/>
      <c r="W70" s="1201"/>
      <c r="X70" s="1201"/>
      <c r="AE70" s="1201"/>
      <c r="AF70" s="1201"/>
      <c r="AV70" s="1201"/>
      <c r="AW70" s="1201"/>
      <c r="AX70" s="1201"/>
      <c r="AY70" s="1201"/>
      <c r="AZ70" s="1201"/>
      <c r="BA70" s="1201"/>
      <c r="BC70" s="1201"/>
      <c r="BE70" s="1201"/>
      <c r="BF70" s="1201"/>
      <c r="BG70" s="1201"/>
    </row>
    <row r="71" spans="18:59" x14ac:dyDescent="0.35">
      <c r="R71" s="1201"/>
      <c r="S71" s="1201"/>
      <c r="W71" s="1201"/>
      <c r="X71" s="1201"/>
      <c r="AE71" s="1201"/>
      <c r="AF71" s="1201"/>
      <c r="AV71" s="1201"/>
      <c r="AW71" s="1201"/>
      <c r="AX71" s="1201"/>
      <c r="AY71" s="1201"/>
      <c r="AZ71" s="1201"/>
      <c r="BA71" s="1201"/>
      <c r="BC71" s="1201"/>
      <c r="BE71" s="1201"/>
      <c r="BF71" s="1201"/>
      <c r="BG71" s="1201"/>
    </row>
    <row r="72" spans="18:59" x14ac:dyDescent="0.35">
      <c r="R72" s="1201"/>
      <c r="S72" s="1201"/>
      <c r="W72" s="1201"/>
      <c r="X72" s="1201"/>
      <c r="AE72" s="1201"/>
      <c r="AF72" s="1201"/>
      <c r="AV72" s="1201"/>
      <c r="AW72" s="1201"/>
      <c r="AX72" s="1201"/>
      <c r="AY72" s="1201"/>
      <c r="AZ72" s="1201"/>
      <c r="BA72" s="1201"/>
      <c r="BC72" s="1201"/>
      <c r="BE72" s="1201"/>
      <c r="BF72" s="1201"/>
      <c r="BG72" s="1201"/>
    </row>
    <row r="73" spans="18:59" x14ac:dyDescent="0.35">
      <c r="R73" s="1201"/>
      <c r="S73" s="1201"/>
      <c r="W73" s="1201"/>
      <c r="X73" s="1201"/>
      <c r="AE73" s="1201"/>
      <c r="AF73" s="1201"/>
      <c r="AV73" s="1201"/>
      <c r="AW73" s="1201"/>
      <c r="AX73" s="1201"/>
      <c r="AY73" s="1201"/>
      <c r="AZ73" s="1201"/>
      <c r="BA73" s="1201"/>
      <c r="BC73" s="1201"/>
      <c r="BE73" s="1201"/>
      <c r="BF73" s="1201"/>
      <c r="BG73" s="1201"/>
    </row>
    <row r="74" spans="18:59" x14ac:dyDescent="0.35">
      <c r="R74" s="1201"/>
      <c r="S74" s="1201"/>
      <c r="W74" s="1201"/>
      <c r="X74" s="1201"/>
      <c r="AE74" s="1201"/>
      <c r="AF74" s="1201"/>
      <c r="AV74" s="1201"/>
      <c r="AW74" s="1201"/>
      <c r="AX74" s="1201"/>
      <c r="AY74" s="1201"/>
      <c r="AZ74" s="1201"/>
      <c r="BA74" s="1201"/>
      <c r="BC74" s="1201"/>
      <c r="BE74" s="1201"/>
      <c r="BF74" s="1201"/>
      <c r="BG74" s="1201"/>
    </row>
    <row r="75" spans="18:59" x14ac:dyDescent="0.35">
      <c r="R75" s="1201"/>
      <c r="S75" s="1201"/>
      <c r="W75" s="1201"/>
      <c r="X75" s="1201"/>
      <c r="AE75" s="1201"/>
      <c r="AF75" s="1201"/>
      <c r="AV75" s="1201"/>
      <c r="AW75" s="1201"/>
      <c r="AX75" s="1201"/>
      <c r="AY75" s="1201"/>
      <c r="AZ75" s="1201"/>
      <c r="BA75" s="1201"/>
      <c r="BC75" s="1201"/>
      <c r="BE75" s="1201"/>
      <c r="BF75" s="1201"/>
      <c r="BG75" s="1201"/>
    </row>
    <row r="76" spans="18:59" x14ac:dyDescent="0.35">
      <c r="R76" s="1201"/>
      <c r="S76" s="1201"/>
      <c r="W76" s="1201"/>
      <c r="X76" s="1201"/>
      <c r="AE76" s="1201"/>
      <c r="AF76" s="1201"/>
      <c r="AV76" s="1201"/>
      <c r="AW76" s="1201"/>
      <c r="AX76" s="1201"/>
      <c r="AY76" s="1201"/>
      <c r="AZ76" s="1201"/>
      <c r="BA76" s="1201"/>
      <c r="BC76" s="1201"/>
      <c r="BE76" s="1201"/>
      <c r="BF76" s="1201"/>
      <c r="BG76" s="1201"/>
    </row>
    <row r="77" spans="18:59" x14ac:dyDescent="0.35">
      <c r="R77" s="1201"/>
      <c r="S77" s="1201"/>
      <c r="W77" s="1201"/>
      <c r="X77" s="1201"/>
      <c r="AE77" s="1201"/>
      <c r="AF77" s="1201"/>
      <c r="AV77" s="1201"/>
      <c r="AW77" s="1201"/>
      <c r="AX77" s="1201"/>
      <c r="AY77" s="1201"/>
      <c r="AZ77" s="1201"/>
      <c r="BA77" s="1201"/>
      <c r="BC77" s="1201"/>
      <c r="BE77" s="1201"/>
      <c r="BF77" s="1201"/>
      <c r="BG77" s="1201"/>
    </row>
    <row r="78" spans="18:59" x14ac:dyDescent="0.35">
      <c r="R78" s="1201"/>
      <c r="S78" s="1201"/>
      <c r="W78" s="1201"/>
      <c r="X78" s="1201"/>
      <c r="AE78" s="1201"/>
      <c r="AF78" s="1201"/>
      <c r="AV78" s="1201"/>
      <c r="AW78" s="1201"/>
      <c r="AX78" s="1201"/>
      <c r="AY78" s="1201"/>
      <c r="AZ78" s="1201"/>
      <c r="BA78" s="1201"/>
      <c r="BC78" s="1201"/>
      <c r="BE78" s="1201"/>
      <c r="BF78" s="1201"/>
      <c r="BG78" s="1201"/>
    </row>
    <row r="79" spans="18:59" x14ac:dyDescent="0.35">
      <c r="R79" s="1201"/>
      <c r="S79" s="1201"/>
      <c r="W79" s="1201"/>
      <c r="X79" s="1201"/>
      <c r="AE79" s="1201"/>
      <c r="AF79" s="1201"/>
      <c r="AV79" s="1201"/>
      <c r="AW79" s="1201"/>
      <c r="AX79" s="1201"/>
      <c r="AY79" s="1201"/>
      <c r="AZ79" s="1201"/>
      <c r="BA79" s="1201"/>
      <c r="BC79" s="1201"/>
      <c r="BE79" s="1201"/>
      <c r="BF79" s="1201"/>
      <c r="BG79" s="1201"/>
    </row>
    <row r="80" spans="18:59" x14ac:dyDescent="0.35">
      <c r="R80" s="1201"/>
      <c r="S80" s="1201"/>
      <c r="W80" s="1201"/>
      <c r="X80" s="1201"/>
      <c r="AE80" s="1201"/>
      <c r="AF80" s="1201"/>
      <c r="AV80" s="1201"/>
      <c r="AW80" s="1201"/>
      <c r="AX80" s="1201"/>
      <c r="AY80" s="1201"/>
      <c r="AZ80" s="1201"/>
      <c r="BA80" s="1201"/>
      <c r="BC80" s="1201"/>
      <c r="BE80" s="1201"/>
      <c r="BF80" s="1201"/>
      <c r="BG80" s="1201"/>
    </row>
    <row r="81" spans="18:59" x14ac:dyDescent="0.35">
      <c r="R81" s="1201"/>
      <c r="S81" s="1201"/>
      <c r="W81" s="1201"/>
      <c r="X81" s="1201"/>
      <c r="AE81" s="1201"/>
      <c r="AF81" s="1201"/>
      <c r="AV81" s="1201"/>
      <c r="AW81" s="1201"/>
      <c r="AX81" s="1201"/>
      <c r="AY81" s="1201"/>
      <c r="AZ81" s="1201"/>
      <c r="BA81" s="1201"/>
      <c r="BC81" s="1201"/>
      <c r="BE81" s="1201"/>
      <c r="BF81" s="1201"/>
      <c r="BG81" s="1201"/>
    </row>
    <row r="82" spans="18:59" x14ac:dyDescent="0.35">
      <c r="R82" s="1201"/>
      <c r="S82" s="1201"/>
      <c r="W82" s="1201"/>
      <c r="X82" s="1201"/>
      <c r="AE82" s="1201"/>
      <c r="AF82" s="1201"/>
      <c r="AV82" s="1201"/>
      <c r="AW82" s="1201"/>
      <c r="AX82" s="1201"/>
      <c r="AY82" s="1201"/>
      <c r="AZ82" s="1201"/>
      <c r="BA82" s="1201"/>
      <c r="BC82" s="1201"/>
      <c r="BE82" s="1201"/>
      <c r="BF82" s="1201"/>
      <c r="BG82" s="1201"/>
    </row>
    <row r="83" spans="18:59" x14ac:dyDescent="0.35">
      <c r="R83" s="1201"/>
      <c r="S83" s="1201"/>
      <c r="W83" s="1201"/>
      <c r="X83" s="1201"/>
      <c r="AE83" s="1201"/>
      <c r="AF83" s="1201"/>
      <c r="AV83" s="1201"/>
      <c r="AW83" s="1201"/>
      <c r="AX83" s="1201"/>
      <c r="AY83" s="1201"/>
      <c r="AZ83" s="1201"/>
      <c r="BA83" s="1201"/>
      <c r="BC83" s="1201"/>
      <c r="BE83" s="1201"/>
      <c r="BF83" s="1201"/>
      <c r="BG83" s="1201"/>
    </row>
    <row r="84" spans="18:59" x14ac:dyDescent="0.35">
      <c r="R84" s="1201"/>
      <c r="S84" s="1201"/>
      <c r="W84" s="1201"/>
      <c r="X84" s="1201"/>
      <c r="AE84" s="1201"/>
      <c r="AF84" s="1201"/>
      <c r="AV84" s="1201"/>
      <c r="AW84" s="1201"/>
      <c r="AX84" s="1201"/>
      <c r="AY84" s="1201"/>
      <c r="AZ84" s="1201"/>
      <c r="BA84" s="1201"/>
      <c r="BC84" s="1201"/>
      <c r="BE84" s="1201"/>
      <c r="BF84" s="1201"/>
      <c r="BG84" s="1201"/>
    </row>
    <row r="85" spans="18:59" x14ac:dyDescent="0.35">
      <c r="R85" s="1201"/>
      <c r="S85" s="1201"/>
      <c r="W85" s="1201"/>
      <c r="X85" s="1201"/>
      <c r="AE85" s="1201"/>
      <c r="AF85" s="1201"/>
      <c r="AV85" s="1201"/>
      <c r="AW85" s="1201"/>
      <c r="AX85" s="1201"/>
      <c r="AY85" s="1201"/>
      <c r="AZ85" s="1201"/>
      <c r="BA85" s="1201"/>
      <c r="BC85" s="1201"/>
      <c r="BE85" s="1201"/>
      <c r="BF85" s="1201"/>
      <c r="BG85" s="1201"/>
    </row>
    <row r="86" spans="18:59" x14ac:dyDescent="0.35">
      <c r="R86" s="1201"/>
      <c r="S86" s="1201"/>
      <c r="W86" s="1201"/>
      <c r="X86" s="1201"/>
      <c r="AE86" s="1201"/>
      <c r="AF86" s="1201"/>
      <c r="AV86" s="1201"/>
      <c r="AW86" s="1201"/>
      <c r="AX86" s="1201"/>
      <c r="AY86" s="1201"/>
      <c r="AZ86" s="1201"/>
      <c r="BA86" s="1201"/>
      <c r="BC86" s="1201"/>
      <c r="BE86" s="1201"/>
      <c r="BF86" s="1201"/>
      <c r="BG86" s="1201"/>
    </row>
    <row r="87" spans="18:59" x14ac:dyDescent="0.35">
      <c r="R87" s="1201"/>
      <c r="S87" s="1201"/>
      <c r="W87" s="1201"/>
      <c r="X87" s="1201"/>
      <c r="AE87" s="1201"/>
      <c r="AF87" s="1201"/>
      <c r="AV87" s="1201"/>
      <c r="AW87" s="1201"/>
      <c r="AX87" s="1201"/>
      <c r="AY87" s="1201"/>
      <c r="AZ87" s="1201"/>
      <c r="BA87" s="1201"/>
      <c r="BC87" s="1201"/>
      <c r="BE87" s="1201"/>
      <c r="BF87" s="1201"/>
      <c r="BG87" s="1201"/>
    </row>
    <row r="88" spans="18:59" x14ac:dyDescent="0.35">
      <c r="R88" s="1201"/>
      <c r="S88" s="1201"/>
      <c r="W88" s="1201"/>
      <c r="X88" s="1201"/>
      <c r="AE88" s="1201"/>
      <c r="AF88" s="1201"/>
      <c r="AV88" s="1201"/>
      <c r="AW88" s="1201"/>
      <c r="AX88" s="1201"/>
      <c r="AY88" s="1201"/>
      <c r="AZ88" s="1201"/>
      <c r="BA88" s="1201"/>
      <c r="BC88" s="1201"/>
      <c r="BE88" s="1201"/>
      <c r="BF88" s="1201"/>
      <c r="BG88" s="1201"/>
    </row>
    <row r="89" spans="18:59" x14ac:dyDescent="0.35">
      <c r="R89" s="1201"/>
      <c r="S89" s="1201"/>
      <c r="W89" s="1201"/>
      <c r="X89" s="1201"/>
      <c r="AE89" s="1201"/>
      <c r="AF89" s="1201"/>
      <c r="AV89" s="1201"/>
      <c r="AW89" s="1201"/>
      <c r="AX89" s="1201"/>
      <c r="AY89" s="1201"/>
      <c r="AZ89" s="1201"/>
      <c r="BA89" s="1201"/>
      <c r="BC89" s="1201"/>
      <c r="BE89" s="1201"/>
      <c r="BF89" s="1201"/>
      <c r="BG89" s="1201"/>
    </row>
    <row r="90" spans="18:59" x14ac:dyDescent="0.35">
      <c r="R90" s="1201"/>
      <c r="S90" s="1201"/>
      <c r="W90" s="1201"/>
      <c r="X90" s="1201"/>
      <c r="AE90" s="1201"/>
      <c r="AF90" s="1201"/>
      <c r="AV90" s="1201"/>
      <c r="AW90" s="1201"/>
      <c r="AX90" s="1201"/>
      <c r="AY90" s="1201"/>
      <c r="AZ90" s="1201"/>
      <c r="BA90" s="1201"/>
      <c r="BC90" s="1201"/>
      <c r="BE90" s="1201"/>
      <c r="BF90" s="1201"/>
      <c r="BG90" s="1201"/>
    </row>
    <row r="91" spans="18:59" x14ac:dyDescent="0.35">
      <c r="R91" s="1201"/>
      <c r="S91" s="1201"/>
      <c r="W91" s="1201"/>
      <c r="X91" s="1201"/>
      <c r="AE91" s="1201"/>
      <c r="AF91" s="1201"/>
      <c r="AV91" s="1201"/>
      <c r="AW91" s="1201"/>
      <c r="AX91" s="1201"/>
      <c r="AY91" s="1201"/>
      <c r="AZ91" s="1201"/>
      <c r="BA91" s="1201"/>
      <c r="BC91" s="1201"/>
      <c r="BE91" s="1201"/>
      <c r="BF91" s="1201"/>
      <c r="BG91" s="1201"/>
    </row>
    <row r="92" spans="18:59" x14ac:dyDescent="0.35">
      <c r="R92" s="1201"/>
      <c r="S92" s="1201"/>
      <c r="W92" s="1201"/>
      <c r="X92" s="1201"/>
      <c r="AE92" s="1201"/>
      <c r="AF92" s="1201"/>
      <c r="AV92" s="1201"/>
      <c r="AW92" s="1201"/>
      <c r="AX92" s="1201"/>
      <c r="AY92" s="1201"/>
      <c r="AZ92" s="1201"/>
      <c r="BA92" s="1201"/>
      <c r="BC92" s="1201"/>
      <c r="BE92" s="1201"/>
      <c r="BF92" s="1201"/>
      <c r="BG92" s="1201"/>
    </row>
    <row r="93" spans="18:59" x14ac:dyDescent="0.35">
      <c r="R93" s="1201"/>
      <c r="S93" s="1201"/>
      <c r="W93" s="1201"/>
      <c r="X93" s="1201"/>
      <c r="AE93" s="1201"/>
      <c r="AF93" s="1201"/>
      <c r="AV93" s="1201"/>
      <c r="AW93" s="1201"/>
      <c r="AX93" s="1201"/>
      <c r="AY93" s="1201"/>
      <c r="AZ93" s="1201"/>
      <c r="BA93" s="1201"/>
      <c r="BC93" s="1201"/>
      <c r="BE93" s="1201"/>
      <c r="BF93" s="1201"/>
      <c r="BG93" s="1201"/>
    </row>
    <row r="94" spans="18:59" x14ac:dyDescent="0.35">
      <c r="R94" s="1201"/>
      <c r="S94" s="1201"/>
      <c r="W94" s="1201"/>
      <c r="X94" s="1201"/>
      <c r="AE94" s="1201"/>
      <c r="AF94" s="1201"/>
      <c r="AV94" s="1201"/>
      <c r="AW94" s="1201"/>
      <c r="AX94" s="1201"/>
      <c r="AY94" s="1201"/>
      <c r="AZ94" s="1201"/>
      <c r="BA94" s="1201"/>
      <c r="BC94" s="1201"/>
      <c r="BE94" s="1201"/>
      <c r="BF94" s="1201"/>
      <c r="BG94" s="1201"/>
    </row>
    <row r="95" spans="18:59" x14ac:dyDescent="0.35">
      <c r="R95" s="1201"/>
      <c r="S95" s="1201"/>
      <c r="W95" s="1201"/>
      <c r="X95" s="1201"/>
      <c r="AE95" s="1201"/>
      <c r="AF95" s="1201"/>
      <c r="AV95" s="1201"/>
      <c r="AW95" s="1201"/>
      <c r="AX95" s="1201"/>
      <c r="AY95" s="1201"/>
      <c r="AZ95" s="1201"/>
      <c r="BA95" s="1201"/>
      <c r="BC95" s="1201"/>
      <c r="BE95" s="1201"/>
      <c r="BF95" s="1201"/>
      <c r="BG95" s="1201"/>
    </row>
    <row r="96" spans="18:59" x14ac:dyDescent="0.35">
      <c r="R96" s="1201"/>
      <c r="S96" s="1201"/>
      <c r="W96" s="1201"/>
      <c r="X96" s="1201"/>
      <c r="AE96" s="1201"/>
      <c r="AF96" s="1201"/>
      <c r="AV96" s="1201"/>
      <c r="AW96" s="1201"/>
      <c r="AX96" s="1201"/>
      <c r="AY96" s="1201"/>
      <c r="AZ96" s="1201"/>
      <c r="BA96" s="1201"/>
      <c r="BC96" s="1201"/>
      <c r="BE96" s="1201"/>
      <c r="BF96" s="1201"/>
      <c r="BG96" s="1201"/>
    </row>
    <row r="97" spans="18:59" x14ac:dyDescent="0.35">
      <c r="R97" s="1201"/>
      <c r="S97" s="1201"/>
      <c r="W97" s="1201"/>
      <c r="X97" s="1201"/>
      <c r="AE97" s="1201"/>
      <c r="AF97" s="1201"/>
      <c r="AV97" s="1201"/>
      <c r="AW97" s="1201"/>
      <c r="AX97" s="1201"/>
      <c r="AY97" s="1201"/>
      <c r="AZ97" s="1201"/>
      <c r="BA97" s="1201"/>
      <c r="BC97" s="1201"/>
      <c r="BE97" s="1201"/>
      <c r="BF97" s="1201"/>
      <c r="BG97" s="1201"/>
    </row>
    <row r="98" spans="18:59" x14ac:dyDescent="0.35">
      <c r="R98" s="1201"/>
      <c r="S98" s="1201"/>
      <c r="W98" s="1201"/>
      <c r="X98" s="1201"/>
      <c r="AE98" s="1201"/>
      <c r="AF98" s="1201"/>
      <c r="AV98" s="1201"/>
      <c r="AW98" s="1201"/>
      <c r="AX98" s="1201"/>
      <c r="AY98" s="1201"/>
      <c r="AZ98" s="1201"/>
      <c r="BA98" s="1201"/>
      <c r="BC98" s="1201"/>
      <c r="BE98" s="1201"/>
      <c r="BF98" s="1201"/>
      <c r="BG98" s="1201"/>
    </row>
    <row r="99" spans="18:59" x14ac:dyDescent="0.35">
      <c r="R99" s="1201"/>
      <c r="S99" s="1201"/>
      <c r="W99" s="1201"/>
      <c r="X99" s="1201"/>
      <c r="AE99" s="1201"/>
      <c r="AF99" s="1201"/>
      <c r="AV99" s="1201"/>
      <c r="AW99" s="1201"/>
      <c r="AX99" s="1201"/>
      <c r="AY99" s="1201"/>
      <c r="AZ99" s="1201"/>
      <c r="BA99" s="1201"/>
      <c r="BC99" s="1201"/>
      <c r="BE99" s="1201"/>
      <c r="BF99" s="1201"/>
      <c r="BG99" s="1201"/>
    </row>
    <row r="100" spans="18:59" x14ac:dyDescent="0.35">
      <c r="R100" s="1201"/>
      <c r="S100" s="1201"/>
      <c r="W100" s="1201"/>
      <c r="X100" s="1201"/>
      <c r="AE100" s="1201"/>
      <c r="AF100" s="1201"/>
      <c r="AV100" s="1201"/>
      <c r="AW100" s="1201"/>
      <c r="AX100" s="1201"/>
      <c r="AY100" s="1201"/>
      <c r="AZ100" s="1201"/>
      <c r="BA100" s="1201"/>
      <c r="BC100" s="1201"/>
      <c r="BE100" s="1201"/>
      <c r="BF100" s="1201"/>
      <c r="BG100" s="1201"/>
    </row>
    <row r="101" spans="18:59" x14ac:dyDescent="0.35">
      <c r="R101" s="1201"/>
      <c r="S101" s="1201"/>
      <c r="W101" s="1201"/>
      <c r="X101" s="1201"/>
      <c r="AE101" s="1201"/>
      <c r="AF101" s="1201"/>
      <c r="AV101" s="1201"/>
      <c r="AW101" s="1201"/>
      <c r="AX101" s="1201"/>
      <c r="AY101" s="1201"/>
      <c r="AZ101" s="1201"/>
      <c r="BA101" s="1201"/>
      <c r="BC101" s="1201"/>
      <c r="BE101" s="1201"/>
      <c r="BF101" s="1201"/>
      <c r="BG101" s="1201"/>
    </row>
    <row r="102" spans="18:59" x14ac:dyDescent="0.35">
      <c r="R102" s="1201"/>
      <c r="S102" s="1201"/>
      <c r="W102" s="1201"/>
      <c r="X102" s="1201"/>
      <c r="AE102" s="1201"/>
      <c r="AF102" s="1201"/>
      <c r="AV102" s="1201"/>
      <c r="AW102" s="1201"/>
      <c r="AX102" s="1201"/>
      <c r="AY102" s="1201"/>
      <c r="AZ102" s="1201"/>
      <c r="BA102" s="1201"/>
      <c r="BC102" s="1201"/>
      <c r="BE102" s="1201"/>
      <c r="BF102" s="1201"/>
      <c r="BG102" s="1201"/>
    </row>
    <row r="103" spans="18:59" x14ac:dyDescent="0.35">
      <c r="R103" s="1201"/>
      <c r="S103" s="1201"/>
      <c r="W103" s="1201"/>
      <c r="X103" s="1201"/>
      <c r="AE103" s="1201"/>
      <c r="AF103" s="1201"/>
      <c r="AV103" s="1201"/>
      <c r="AW103" s="1201"/>
      <c r="AX103" s="1201"/>
      <c r="AY103" s="1201"/>
      <c r="AZ103" s="1201"/>
      <c r="BA103" s="1201"/>
      <c r="BC103" s="1201"/>
      <c r="BE103" s="1201"/>
      <c r="BF103" s="1201"/>
      <c r="BG103" s="1201"/>
    </row>
    <row r="104" spans="18:59" x14ac:dyDescent="0.35">
      <c r="R104" s="1201"/>
      <c r="S104" s="1201"/>
      <c r="W104" s="1201"/>
      <c r="X104" s="1201"/>
      <c r="AE104" s="1201"/>
      <c r="AF104" s="1201"/>
      <c r="AV104" s="1201"/>
      <c r="AW104" s="1201"/>
      <c r="AX104" s="1201"/>
      <c r="AY104" s="1201"/>
      <c r="AZ104" s="1201"/>
      <c r="BA104" s="1201"/>
      <c r="BC104" s="1201"/>
      <c r="BE104" s="1201"/>
      <c r="BF104" s="1201"/>
      <c r="BG104" s="1201"/>
    </row>
    <row r="105" spans="18:59" x14ac:dyDescent="0.35">
      <c r="R105" s="1201"/>
      <c r="S105" s="1201"/>
      <c r="W105" s="1201"/>
      <c r="X105" s="1201"/>
      <c r="AE105" s="1201"/>
      <c r="AF105" s="1201"/>
      <c r="AV105" s="1201"/>
      <c r="AW105" s="1201"/>
      <c r="AX105" s="1201"/>
      <c r="AY105" s="1201"/>
      <c r="AZ105" s="1201"/>
      <c r="BA105" s="1201"/>
      <c r="BC105" s="1201"/>
      <c r="BE105" s="1201"/>
      <c r="BF105" s="1201"/>
      <c r="BG105" s="1201"/>
    </row>
    <row r="106" spans="18:59" x14ac:dyDescent="0.35">
      <c r="R106" s="1201"/>
      <c r="S106" s="1201"/>
      <c r="W106" s="1201"/>
      <c r="X106" s="1201"/>
      <c r="AE106" s="1201"/>
      <c r="AF106" s="1201"/>
      <c r="AV106" s="1201"/>
      <c r="AW106" s="1201"/>
      <c r="AX106" s="1201"/>
      <c r="AY106" s="1201"/>
      <c r="AZ106" s="1201"/>
      <c r="BA106" s="1201"/>
      <c r="BC106" s="1201"/>
      <c r="BE106" s="1201"/>
      <c r="BF106" s="1201"/>
      <c r="BG106" s="1201"/>
    </row>
    <row r="107" spans="18:59" x14ac:dyDescent="0.35">
      <c r="R107" s="1201"/>
      <c r="S107" s="1201"/>
      <c r="W107" s="1201"/>
      <c r="X107" s="1201"/>
      <c r="AE107" s="1201"/>
      <c r="AF107" s="1201"/>
      <c r="AV107" s="1201"/>
      <c r="AW107" s="1201"/>
      <c r="AX107" s="1201"/>
      <c r="AY107" s="1201"/>
      <c r="AZ107" s="1201"/>
      <c r="BA107" s="1201"/>
      <c r="BC107" s="1201"/>
      <c r="BE107" s="1201"/>
      <c r="BF107" s="1201"/>
      <c r="BG107" s="1201"/>
    </row>
    <row r="108" spans="18:59" x14ac:dyDescent="0.35">
      <c r="R108" s="1201"/>
      <c r="S108" s="1201"/>
      <c r="W108" s="1201"/>
      <c r="X108" s="1201"/>
      <c r="AE108" s="1201"/>
      <c r="AF108" s="1201"/>
      <c r="AV108" s="1201"/>
      <c r="AW108" s="1201"/>
      <c r="AX108" s="1201"/>
      <c r="AY108" s="1201"/>
      <c r="AZ108" s="1201"/>
      <c r="BA108" s="1201"/>
      <c r="BC108" s="1201"/>
      <c r="BE108" s="1201"/>
      <c r="BF108" s="1201"/>
      <c r="BG108" s="1201"/>
    </row>
    <row r="109" spans="18:59" x14ac:dyDescent="0.35">
      <c r="R109" s="1201"/>
      <c r="S109" s="1201"/>
      <c r="W109" s="1201"/>
      <c r="X109" s="1201"/>
      <c r="AE109" s="1201"/>
      <c r="AF109" s="1201"/>
      <c r="AV109" s="1201"/>
      <c r="AW109" s="1201"/>
      <c r="AX109" s="1201"/>
      <c r="AY109" s="1201"/>
      <c r="AZ109" s="1201"/>
      <c r="BA109" s="1201"/>
      <c r="BC109" s="1201"/>
      <c r="BE109" s="1201"/>
      <c r="BF109" s="1201"/>
      <c r="BG109" s="1201"/>
    </row>
    <row r="110" spans="18:59" x14ac:dyDescent="0.35">
      <c r="R110" s="1201"/>
      <c r="S110" s="1201"/>
      <c r="W110" s="1201"/>
      <c r="X110" s="1201"/>
      <c r="AE110" s="1201"/>
      <c r="AF110" s="1201"/>
      <c r="AV110" s="1201"/>
      <c r="AW110" s="1201"/>
      <c r="AX110" s="1201"/>
      <c r="AY110" s="1201"/>
      <c r="AZ110" s="1201"/>
      <c r="BA110" s="1201"/>
      <c r="BC110" s="1201"/>
      <c r="BE110" s="1201"/>
      <c r="BF110" s="1201"/>
      <c r="BG110" s="1201"/>
    </row>
    <row r="111" spans="18:59" x14ac:dyDescent="0.35">
      <c r="R111" s="1201"/>
      <c r="S111" s="1201"/>
      <c r="W111" s="1201"/>
      <c r="X111" s="1201"/>
      <c r="AE111" s="1201"/>
      <c r="AF111" s="1201"/>
      <c r="AV111" s="1201"/>
      <c r="AW111" s="1201"/>
      <c r="AX111" s="1201"/>
      <c r="AY111" s="1201"/>
      <c r="AZ111" s="1201"/>
      <c r="BA111" s="1201"/>
      <c r="BC111" s="1201"/>
      <c r="BE111" s="1201"/>
      <c r="BF111" s="1201"/>
      <c r="BG111" s="1201"/>
    </row>
    <row r="112" spans="18:59" x14ac:dyDescent="0.35">
      <c r="R112" s="1201"/>
      <c r="S112" s="1201"/>
      <c r="W112" s="1201"/>
      <c r="X112" s="1201"/>
      <c r="AE112" s="1201"/>
      <c r="AF112" s="1201"/>
      <c r="AV112" s="1201"/>
      <c r="AW112" s="1201"/>
      <c r="AX112" s="1201"/>
      <c r="AY112" s="1201"/>
      <c r="AZ112" s="1201"/>
      <c r="BA112" s="1201"/>
      <c r="BC112" s="1201"/>
      <c r="BE112" s="1201"/>
      <c r="BF112" s="1201"/>
      <c r="BG112" s="1201"/>
    </row>
    <row r="113" spans="18:59" x14ac:dyDescent="0.35">
      <c r="R113" s="1201"/>
      <c r="S113" s="1201"/>
      <c r="W113" s="1201"/>
      <c r="X113" s="1201"/>
      <c r="AE113" s="1201"/>
      <c r="AF113" s="1201"/>
      <c r="AV113" s="1201"/>
      <c r="AW113" s="1201"/>
      <c r="AX113" s="1201"/>
      <c r="AY113" s="1201"/>
      <c r="AZ113" s="1201"/>
      <c r="BA113" s="1201"/>
      <c r="BC113" s="1201"/>
      <c r="BE113" s="1201"/>
      <c r="BF113" s="1201"/>
      <c r="BG113" s="1201"/>
    </row>
    <row r="114" spans="18:59" x14ac:dyDescent="0.35">
      <c r="R114" s="1201"/>
      <c r="S114" s="1201"/>
      <c r="W114" s="1201"/>
      <c r="X114" s="1201"/>
      <c r="AE114" s="1201"/>
      <c r="AF114" s="1201"/>
      <c r="AV114" s="1201"/>
      <c r="AW114" s="1201"/>
      <c r="AX114" s="1201"/>
      <c r="AY114" s="1201"/>
      <c r="AZ114" s="1201"/>
      <c r="BA114" s="1201"/>
      <c r="BC114" s="1201"/>
      <c r="BE114" s="1201"/>
      <c r="BF114" s="1201"/>
      <c r="BG114" s="1201"/>
    </row>
    <row r="115" spans="18:59" x14ac:dyDescent="0.35">
      <c r="R115" s="1201"/>
      <c r="S115" s="1201"/>
      <c r="W115" s="1201"/>
      <c r="X115" s="1201"/>
      <c r="AE115" s="1201"/>
      <c r="AF115" s="1201"/>
      <c r="AV115" s="1201"/>
      <c r="AW115" s="1201"/>
      <c r="AX115" s="1201"/>
      <c r="AY115" s="1201"/>
      <c r="AZ115" s="1201"/>
      <c r="BA115" s="1201"/>
      <c r="BC115" s="1201"/>
      <c r="BE115" s="1201"/>
      <c r="BF115" s="1201"/>
      <c r="BG115" s="1201"/>
    </row>
    <row r="116" spans="18:59" x14ac:dyDescent="0.35">
      <c r="R116" s="1201"/>
      <c r="S116" s="1201"/>
      <c r="W116" s="1201"/>
      <c r="X116" s="1201"/>
      <c r="AE116" s="1201"/>
      <c r="AF116" s="1201"/>
      <c r="AV116" s="1201"/>
      <c r="AW116" s="1201"/>
      <c r="AX116" s="1201"/>
      <c r="AY116" s="1201"/>
      <c r="AZ116" s="1201"/>
      <c r="BA116" s="1201"/>
      <c r="BC116" s="1201"/>
      <c r="BE116" s="1201"/>
      <c r="BF116" s="1201"/>
      <c r="BG116" s="1201"/>
    </row>
    <row r="117" spans="18:59" x14ac:dyDescent="0.35">
      <c r="R117" s="1201"/>
      <c r="S117" s="1201"/>
      <c r="W117" s="1201"/>
      <c r="X117" s="1201"/>
      <c r="AE117" s="1201"/>
      <c r="AF117" s="1201"/>
      <c r="AV117" s="1201"/>
      <c r="AW117" s="1201"/>
      <c r="AX117" s="1201"/>
      <c r="AY117" s="1201"/>
      <c r="AZ117" s="1201"/>
      <c r="BA117" s="1201"/>
      <c r="BC117" s="1201"/>
      <c r="BE117" s="1201"/>
      <c r="BF117" s="1201"/>
      <c r="BG117" s="1201"/>
    </row>
    <row r="118" spans="18:59" x14ac:dyDescent="0.35">
      <c r="R118" s="1201"/>
      <c r="S118" s="1201"/>
      <c r="W118" s="1201"/>
      <c r="X118" s="1201"/>
      <c r="AE118" s="1201"/>
      <c r="AF118" s="1201"/>
      <c r="AV118" s="1201"/>
      <c r="AW118" s="1201"/>
      <c r="AX118" s="1201"/>
      <c r="AY118" s="1201"/>
      <c r="AZ118" s="1201"/>
      <c r="BA118" s="1201"/>
      <c r="BC118" s="1201"/>
      <c r="BE118" s="1201"/>
      <c r="BF118" s="1201"/>
      <c r="BG118" s="1201"/>
    </row>
    <row r="119" spans="18:59" x14ac:dyDescent="0.35">
      <c r="R119" s="1201"/>
      <c r="S119" s="1201"/>
      <c r="W119" s="1201"/>
      <c r="X119" s="1201"/>
      <c r="AE119" s="1201"/>
      <c r="AF119" s="1201"/>
      <c r="AV119" s="1201"/>
      <c r="AW119" s="1201"/>
      <c r="AX119" s="1201"/>
      <c r="AY119" s="1201"/>
      <c r="AZ119" s="1201"/>
      <c r="BA119" s="1201"/>
      <c r="BC119" s="1201"/>
      <c r="BE119" s="1201"/>
      <c r="BF119" s="1201"/>
      <c r="BG119" s="1201"/>
    </row>
    <row r="120" spans="18:59" x14ac:dyDescent="0.35">
      <c r="R120" s="1201"/>
      <c r="S120" s="1201"/>
      <c r="W120" s="1201"/>
      <c r="X120" s="1201"/>
      <c r="AE120" s="1201"/>
      <c r="AF120" s="1201"/>
      <c r="AV120" s="1201"/>
      <c r="AW120" s="1201"/>
      <c r="AX120" s="1201"/>
      <c r="AY120" s="1201"/>
      <c r="AZ120" s="1201"/>
      <c r="BA120" s="1201"/>
      <c r="BC120" s="1201"/>
      <c r="BE120" s="1201"/>
      <c r="BF120" s="1201"/>
      <c r="BG120" s="1201"/>
    </row>
    <row r="121" spans="18:59" x14ac:dyDescent="0.35">
      <c r="R121" s="1201"/>
      <c r="S121" s="1201"/>
      <c r="W121" s="1201"/>
      <c r="X121" s="1201"/>
      <c r="AE121" s="1201"/>
      <c r="AF121" s="1201"/>
      <c r="AV121" s="1201"/>
      <c r="AW121" s="1201"/>
      <c r="AX121" s="1201"/>
      <c r="AY121" s="1201"/>
      <c r="AZ121" s="1201"/>
      <c r="BA121" s="1201"/>
      <c r="BC121" s="1201"/>
      <c r="BE121" s="1201"/>
      <c r="BF121" s="1201"/>
      <c r="BG121" s="1201"/>
    </row>
    <row r="122" spans="18:59" x14ac:dyDescent="0.35">
      <c r="R122" s="1201"/>
      <c r="S122" s="1201"/>
      <c r="W122" s="1201"/>
      <c r="X122" s="1201"/>
      <c r="AE122" s="1201"/>
      <c r="AF122" s="1201"/>
      <c r="AV122" s="1201"/>
      <c r="AW122" s="1201"/>
      <c r="AX122" s="1201"/>
      <c r="AY122" s="1201"/>
      <c r="AZ122" s="1201"/>
      <c r="BA122" s="1201"/>
      <c r="BC122" s="1201"/>
      <c r="BE122" s="1201"/>
      <c r="BF122" s="1201"/>
      <c r="BG122" s="1201"/>
    </row>
    <row r="123" spans="18:59" x14ac:dyDescent="0.35">
      <c r="R123" s="1201"/>
      <c r="S123" s="1201"/>
      <c r="W123" s="1201"/>
      <c r="X123" s="1201"/>
      <c r="AE123" s="1201"/>
      <c r="AF123" s="1201"/>
      <c r="AV123" s="1201"/>
      <c r="AW123" s="1201"/>
      <c r="AX123" s="1201"/>
      <c r="AY123" s="1201"/>
      <c r="AZ123" s="1201"/>
      <c r="BA123" s="1201"/>
      <c r="BC123" s="1201"/>
      <c r="BE123" s="1201"/>
      <c r="BF123" s="1201"/>
      <c r="BG123" s="1201"/>
    </row>
    <row r="124" spans="18:59" x14ac:dyDescent="0.35">
      <c r="R124" s="1201"/>
      <c r="S124" s="1201"/>
      <c r="W124" s="1201"/>
      <c r="X124" s="1201"/>
      <c r="AE124" s="1201"/>
      <c r="AF124" s="1201"/>
      <c r="AV124" s="1201"/>
      <c r="AW124" s="1201"/>
      <c r="AX124" s="1201"/>
      <c r="AY124" s="1201"/>
      <c r="AZ124" s="1201"/>
      <c r="BA124" s="1201"/>
      <c r="BC124" s="1201"/>
      <c r="BE124" s="1201"/>
      <c r="BF124" s="1201"/>
      <c r="BG124" s="1201"/>
    </row>
    <row r="125" spans="18:59" x14ac:dyDescent="0.35">
      <c r="R125" s="1201"/>
      <c r="S125" s="1201"/>
      <c r="W125" s="1201"/>
      <c r="X125" s="1201"/>
      <c r="AE125" s="1201"/>
      <c r="AF125" s="1201"/>
      <c r="AV125" s="1201"/>
      <c r="AW125" s="1201"/>
      <c r="AX125" s="1201"/>
      <c r="AY125" s="1201"/>
      <c r="AZ125" s="1201"/>
      <c r="BA125" s="1201"/>
      <c r="BC125" s="1201"/>
      <c r="BE125" s="1201"/>
      <c r="BF125" s="1201"/>
      <c r="BG125" s="1201"/>
    </row>
    <row r="126" spans="18:59" x14ac:dyDescent="0.35">
      <c r="R126" s="1201"/>
      <c r="S126" s="1201"/>
      <c r="W126" s="1201"/>
      <c r="X126" s="1201"/>
      <c r="AE126" s="1201"/>
      <c r="AF126" s="1201"/>
      <c r="AV126" s="1201"/>
      <c r="AW126" s="1201"/>
      <c r="AX126" s="1201"/>
      <c r="AY126" s="1201"/>
      <c r="AZ126" s="1201"/>
      <c r="BA126" s="1201"/>
      <c r="BC126" s="1201"/>
      <c r="BE126" s="1201"/>
      <c r="BF126" s="1201"/>
      <c r="BG126" s="1201"/>
    </row>
    <row r="127" spans="18:59" x14ac:dyDescent="0.35">
      <c r="R127" s="1201"/>
      <c r="S127" s="1201"/>
      <c r="W127" s="1201"/>
      <c r="X127" s="1201"/>
      <c r="AE127" s="1201"/>
      <c r="AF127" s="1201"/>
      <c r="AV127" s="1201"/>
      <c r="AW127" s="1201"/>
      <c r="AX127" s="1201"/>
      <c r="AY127" s="1201"/>
      <c r="AZ127" s="1201"/>
      <c r="BA127" s="1201"/>
      <c r="BC127" s="1201"/>
      <c r="BE127" s="1201"/>
      <c r="BF127" s="1201"/>
      <c r="BG127" s="1201"/>
    </row>
    <row r="128" spans="18:59" x14ac:dyDescent="0.35">
      <c r="R128" s="1201"/>
      <c r="S128" s="1201"/>
      <c r="W128" s="1201"/>
      <c r="X128" s="1201"/>
      <c r="AE128" s="1201"/>
      <c r="AF128" s="1201"/>
      <c r="AV128" s="1201"/>
      <c r="AW128" s="1201"/>
      <c r="AX128" s="1201"/>
      <c r="AY128" s="1201"/>
      <c r="AZ128" s="1201"/>
      <c r="BA128" s="1201"/>
      <c r="BC128" s="1201"/>
      <c r="BE128" s="1201"/>
      <c r="BF128" s="1201"/>
      <c r="BG128" s="1201"/>
    </row>
    <row r="129" spans="18:59" x14ac:dyDescent="0.35">
      <c r="R129" s="1201"/>
      <c r="S129" s="1201"/>
      <c r="W129" s="1201"/>
      <c r="X129" s="1201"/>
      <c r="AE129" s="1201"/>
      <c r="AF129" s="1201"/>
      <c r="AV129" s="1201"/>
      <c r="AW129" s="1201"/>
      <c r="AX129" s="1201"/>
      <c r="AY129" s="1201"/>
      <c r="AZ129" s="1201"/>
      <c r="BA129" s="1201"/>
      <c r="BC129" s="1201"/>
      <c r="BE129" s="1201"/>
      <c r="BF129" s="1201"/>
      <c r="BG129" s="1201"/>
    </row>
    <row r="130" spans="18:59" x14ac:dyDescent="0.35">
      <c r="R130" s="1201"/>
      <c r="S130" s="1201"/>
      <c r="W130" s="1201"/>
      <c r="X130" s="1201"/>
      <c r="AE130" s="1201"/>
      <c r="AF130" s="1201"/>
      <c r="AV130" s="1201"/>
      <c r="AW130" s="1201"/>
      <c r="AX130" s="1201"/>
      <c r="AY130" s="1201"/>
      <c r="AZ130" s="1201"/>
      <c r="BA130" s="1201"/>
      <c r="BC130" s="1201"/>
      <c r="BE130" s="1201"/>
      <c r="BF130" s="1201"/>
      <c r="BG130" s="1201"/>
    </row>
    <row r="131" spans="18:59" x14ac:dyDescent="0.35">
      <c r="R131" s="1201"/>
      <c r="S131" s="1201"/>
      <c r="W131" s="1201"/>
      <c r="X131" s="1201"/>
      <c r="AE131" s="1201"/>
      <c r="AF131" s="1201"/>
      <c r="AV131" s="1201"/>
      <c r="AW131" s="1201"/>
      <c r="AX131" s="1201"/>
      <c r="AY131" s="1201"/>
      <c r="AZ131" s="1201"/>
      <c r="BA131" s="1201"/>
      <c r="BC131" s="1201"/>
      <c r="BE131" s="1201"/>
      <c r="BF131" s="1201"/>
      <c r="BG131" s="1201"/>
    </row>
    <row r="132" spans="18:59" x14ac:dyDescent="0.35">
      <c r="R132" s="1201"/>
      <c r="S132" s="1201"/>
      <c r="W132" s="1201"/>
      <c r="X132" s="1201"/>
      <c r="AE132" s="1201"/>
      <c r="AF132" s="1201"/>
      <c r="AV132" s="1201"/>
      <c r="AW132" s="1201"/>
      <c r="AX132" s="1201"/>
      <c r="AY132" s="1201"/>
      <c r="AZ132" s="1201"/>
      <c r="BA132" s="1201"/>
      <c r="BC132" s="1201"/>
      <c r="BE132" s="1201"/>
      <c r="BF132" s="1201"/>
      <c r="BG132" s="1201"/>
    </row>
    <row r="133" spans="18:59" x14ac:dyDescent="0.35">
      <c r="R133" s="1201"/>
      <c r="S133" s="1201"/>
      <c r="W133" s="1201"/>
      <c r="X133" s="1201"/>
      <c r="AE133" s="1201"/>
      <c r="AF133" s="1201"/>
      <c r="AV133" s="1201"/>
      <c r="AW133" s="1201"/>
      <c r="AX133" s="1201"/>
      <c r="AY133" s="1201"/>
      <c r="AZ133" s="1201"/>
      <c r="BA133" s="1201"/>
      <c r="BC133" s="1201"/>
      <c r="BE133" s="1201"/>
      <c r="BF133" s="1201"/>
      <c r="BG133" s="1201"/>
    </row>
    <row r="134" spans="18:59" x14ac:dyDescent="0.35">
      <c r="R134" s="1201"/>
      <c r="S134" s="1201"/>
      <c r="W134" s="1201"/>
      <c r="X134" s="1201"/>
      <c r="AE134" s="1201"/>
      <c r="AF134" s="1201"/>
      <c r="AV134" s="1201"/>
      <c r="AW134" s="1201"/>
      <c r="AX134" s="1201"/>
      <c r="AY134" s="1201"/>
      <c r="AZ134" s="1201"/>
      <c r="BA134" s="1201"/>
      <c r="BC134" s="1201"/>
      <c r="BE134" s="1201"/>
      <c r="BF134" s="1201"/>
      <c r="BG134" s="1201"/>
    </row>
    <row r="135" spans="18:59" x14ac:dyDescent="0.35">
      <c r="R135" s="1201"/>
      <c r="S135" s="1201"/>
      <c r="W135" s="1201"/>
      <c r="X135" s="1201"/>
      <c r="AE135" s="1201"/>
      <c r="AF135" s="1201"/>
      <c r="AV135" s="1201"/>
      <c r="AW135" s="1201"/>
      <c r="AX135" s="1201"/>
      <c r="AY135" s="1201"/>
      <c r="AZ135" s="1201"/>
      <c r="BA135" s="1201"/>
      <c r="BC135" s="1201"/>
      <c r="BE135" s="1201"/>
      <c r="BF135" s="1201"/>
      <c r="BG135" s="1201"/>
    </row>
    <row r="136" spans="18:59" x14ac:dyDescent="0.35">
      <c r="R136" s="1201"/>
      <c r="S136" s="1201"/>
      <c r="W136" s="1201"/>
      <c r="X136" s="1201"/>
      <c r="AE136" s="1201"/>
      <c r="AF136" s="1201"/>
      <c r="AV136" s="1201"/>
      <c r="AW136" s="1201"/>
      <c r="AX136" s="1201"/>
      <c r="AY136" s="1201"/>
      <c r="AZ136" s="1201"/>
      <c r="BA136" s="1201"/>
      <c r="BC136" s="1201"/>
      <c r="BE136" s="1201"/>
      <c r="BF136" s="1201"/>
      <c r="BG136" s="1201"/>
    </row>
    <row r="137" spans="18:59" x14ac:dyDescent="0.35">
      <c r="R137" s="1201"/>
      <c r="S137" s="1201"/>
      <c r="W137" s="1201"/>
      <c r="X137" s="1201"/>
      <c r="AE137" s="1201"/>
      <c r="AF137" s="1201"/>
      <c r="AV137" s="1201"/>
      <c r="AW137" s="1201"/>
      <c r="AX137" s="1201"/>
      <c r="AY137" s="1201"/>
      <c r="AZ137" s="1201"/>
      <c r="BA137" s="1201"/>
      <c r="BC137" s="1201"/>
      <c r="BE137" s="1201"/>
      <c r="BF137" s="1201"/>
      <c r="BG137" s="1201"/>
    </row>
    <row r="138" spans="18:59" x14ac:dyDescent="0.35">
      <c r="R138" s="1201"/>
      <c r="S138" s="1201"/>
      <c r="W138" s="1201"/>
      <c r="X138" s="1201"/>
      <c r="AE138" s="1201"/>
      <c r="AF138" s="1201"/>
      <c r="AV138" s="1201"/>
      <c r="AW138" s="1201"/>
      <c r="AX138" s="1201"/>
      <c r="AY138" s="1201"/>
      <c r="AZ138" s="1201"/>
      <c r="BA138" s="1201"/>
      <c r="BC138" s="1201"/>
      <c r="BE138" s="1201"/>
      <c r="BF138" s="1201"/>
      <c r="BG138" s="1201"/>
    </row>
    <row r="139" spans="18:59" x14ac:dyDescent="0.35">
      <c r="R139" s="1201"/>
      <c r="S139" s="1201"/>
      <c r="W139" s="1201"/>
      <c r="X139" s="1201"/>
      <c r="AE139" s="1201"/>
      <c r="AF139" s="1201"/>
      <c r="AV139" s="1201"/>
      <c r="AW139" s="1201"/>
      <c r="AX139" s="1201"/>
      <c r="AY139" s="1201"/>
      <c r="AZ139" s="1201"/>
      <c r="BA139" s="1201"/>
      <c r="BC139" s="1201"/>
      <c r="BE139" s="1201"/>
      <c r="BF139" s="1201"/>
      <c r="BG139" s="1201"/>
    </row>
    <row r="140" spans="18:59" x14ac:dyDescent="0.35">
      <c r="R140" s="1201"/>
      <c r="S140" s="1201"/>
      <c r="W140" s="1201"/>
      <c r="X140" s="1201"/>
      <c r="AE140" s="1201"/>
      <c r="AF140" s="1201"/>
      <c r="AV140" s="1201"/>
      <c r="AW140" s="1201"/>
      <c r="AX140" s="1201"/>
      <c r="AY140" s="1201"/>
      <c r="AZ140" s="1201"/>
      <c r="BA140" s="1201"/>
      <c r="BC140" s="1201"/>
      <c r="BE140" s="1201"/>
      <c r="BF140" s="1201"/>
      <c r="BG140" s="1201"/>
    </row>
    <row r="141" spans="18:59" x14ac:dyDescent="0.35">
      <c r="R141" s="1201"/>
      <c r="S141" s="1201"/>
      <c r="W141" s="1201"/>
      <c r="X141" s="1201"/>
      <c r="AE141" s="1201"/>
      <c r="AF141" s="1201"/>
      <c r="AV141" s="1201"/>
      <c r="AW141" s="1201"/>
      <c r="AX141" s="1201"/>
      <c r="AY141" s="1201"/>
      <c r="AZ141" s="1201"/>
      <c r="BA141" s="1201"/>
      <c r="BC141" s="1201"/>
      <c r="BE141" s="1201"/>
      <c r="BF141" s="1201"/>
      <c r="BG141" s="1201"/>
    </row>
    <row r="142" spans="18:59" x14ac:dyDescent="0.35">
      <c r="R142" s="1201"/>
      <c r="S142" s="1201"/>
      <c r="W142" s="1201"/>
      <c r="X142" s="1201"/>
      <c r="AE142" s="1201"/>
      <c r="AF142" s="1201"/>
      <c r="AV142" s="1201"/>
      <c r="AW142" s="1201"/>
      <c r="AX142" s="1201"/>
      <c r="AY142" s="1201"/>
      <c r="AZ142" s="1201"/>
      <c r="BA142" s="1201"/>
      <c r="BC142" s="1201"/>
      <c r="BE142" s="1201"/>
      <c r="BF142" s="1201"/>
      <c r="BG142" s="1201"/>
    </row>
    <row r="143" spans="18:59" x14ac:dyDescent="0.35">
      <c r="R143" s="1201"/>
      <c r="S143" s="1201"/>
      <c r="W143" s="1201"/>
      <c r="X143" s="1201"/>
      <c r="AE143" s="1201"/>
      <c r="AF143" s="1201"/>
      <c r="AV143" s="1201"/>
      <c r="AW143" s="1201"/>
      <c r="AX143" s="1201"/>
      <c r="AY143" s="1201"/>
      <c r="AZ143" s="1201"/>
      <c r="BA143" s="1201"/>
      <c r="BC143" s="1201"/>
      <c r="BE143" s="1201"/>
      <c r="BF143" s="1201"/>
      <c r="BG143" s="1201"/>
    </row>
    <row r="144" spans="18:59" x14ac:dyDescent="0.35">
      <c r="R144" s="1201"/>
      <c r="S144" s="1201"/>
      <c r="W144" s="1201"/>
      <c r="X144" s="1201"/>
      <c r="AE144" s="1201"/>
      <c r="AF144" s="1201"/>
      <c r="AV144" s="1201"/>
      <c r="AW144" s="1201"/>
      <c r="AX144" s="1201"/>
      <c r="AY144" s="1201"/>
      <c r="AZ144" s="1201"/>
      <c r="BA144" s="1201"/>
      <c r="BC144" s="1201"/>
      <c r="BE144" s="1201"/>
      <c r="BF144" s="1201"/>
      <c r="BG144" s="1201"/>
    </row>
    <row r="145" spans="18:59" x14ac:dyDescent="0.35">
      <c r="R145" s="1201"/>
      <c r="S145" s="1201"/>
      <c r="W145" s="1201"/>
      <c r="X145" s="1201"/>
      <c r="AE145" s="1201"/>
      <c r="AF145" s="1201"/>
      <c r="AV145" s="1201"/>
      <c r="AW145" s="1201"/>
      <c r="AX145" s="1201"/>
      <c r="AY145" s="1201"/>
      <c r="AZ145" s="1201"/>
      <c r="BA145" s="1201"/>
      <c r="BC145" s="1201"/>
      <c r="BE145" s="1201"/>
      <c r="BF145" s="1201"/>
      <c r="BG145" s="1201"/>
    </row>
    <row r="146" spans="18:59" x14ac:dyDescent="0.35">
      <c r="R146" s="1201"/>
      <c r="S146" s="1201"/>
      <c r="W146" s="1201"/>
      <c r="X146" s="1201"/>
      <c r="AE146" s="1201"/>
      <c r="AF146" s="1201"/>
      <c r="AV146" s="1201"/>
      <c r="AW146" s="1201"/>
      <c r="AX146" s="1201"/>
      <c r="AY146" s="1201"/>
      <c r="AZ146" s="1201"/>
      <c r="BA146" s="1201"/>
      <c r="BC146" s="1201"/>
      <c r="BE146" s="1201"/>
      <c r="BF146" s="1201"/>
      <c r="BG146" s="1201"/>
    </row>
    <row r="147" spans="18:59" x14ac:dyDescent="0.35">
      <c r="R147" s="1201"/>
      <c r="S147" s="1201"/>
      <c r="W147" s="1201"/>
      <c r="X147" s="1201"/>
      <c r="AE147" s="1201"/>
      <c r="AF147" s="1201"/>
      <c r="AV147" s="1201"/>
      <c r="AW147" s="1201"/>
      <c r="AX147" s="1201"/>
      <c r="AY147" s="1201"/>
      <c r="AZ147" s="1201"/>
      <c r="BA147" s="1201"/>
      <c r="BC147" s="1201"/>
      <c r="BE147" s="1201"/>
      <c r="BF147" s="1201"/>
      <c r="BG147" s="1201"/>
    </row>
    <row r="148" spans="18:59" x14ac:dyDescent="0.35">
      <c r="R148" s="1201"/>
      <c r="S148" s="1201"/>
      <c r="W148" s="1201"/>
      <c r="X148" s="1201"/>
      <c r="AE148" s="1201"/>
      <c r="AF148" s="1201"/>
      <c r="AV148" s="1201"/>
      <c r="AW148" s="1201"/>
      <c r="AX148" s="1201"/>
      <c r="AY148" s="1201"/>
      <c r="AZ148" s="1201"/>
      <c r="BA148" s="1201"/>
      <c r="BC148" s="1201"/>
      <c r="BE148" s="1201"/>
      <c r="BF148" s="1201"/>
      <c r="BG148" s="1201"/>
    </row>
    <row r="149" spans="18:59" x14ac:dyDescent="0.35">
      <c r="R149" s="1201"/>
      <c r="S149" s="1201"/>
      <c r="W149" s="1201"/>
      <c r="X149" s="1201"/>
      <c r="AE149" s="1201"/>
      <c r="AF149" s="1201"/>
      <c r="AV149" s="1201"/>
      <c r="AW149" s="1201"/>
      <c r="AX149" s="1201"/>
      <c r="AY149" s="1201"/>
      <c r="AZ149" s="1201"/>
      <c r="BA149" s="1201"/>
      <c r="BC149" s="1201"/>
      <c r="BE149" s="1201"/>
      <c r="BF149" s="1201"/>
      <c r="BG149" s="1201"/>
    </row>
    <row r="150" spans="18:59" x14ac:dyDescent="0.35">
      <c r="R150" s="1201"/>
      <c r="S150" s="1201"/>
      <c r="W150" s="1201"/>
      <c r="X150" s="1201"/>
      <c r="AE150" s="1201"/>
      <c r="AF150" s="1201"/>
      <c r="AV150" s="1201"/>
      <c r="AW150" s="1201"/>
      <c r="AX150" s="1201"/>
      <c r="AY150" s="1201"/>
      <c r="AZ150" s="1201"/>
      <c r="BA150" s="1201"/>
      <c r="BC150" s="1201"/>
      <c r="BE150" s="1201"/>
      <c r="BF150" s="1201"/>
      <c r="BG150" s="1201"/>
    </row>
    <row r="151" spans="18:59" x14ac:dyDescent="0.35">
      <c r="R151" s="1201"/>
      <c r="S151" s="1201"/>
      <c r="W151" s="1201"/>
      <c r="X151" s="1201"/>
      <c r="AE151" s="1201"/>
      <c r="AF151" s="1201"/>
      <c r="AV151" s="1201"/>
      <c r="AW151" s="1201"/>
      <c r="AX151" s="1201"/>
      <c r="AY151" s="1201"/>
      <c r="AZ151" s="1201"/>
      <c r="BA151" s="1201"/>
      <c r="BC151" s="1201"/>
      <c r="BE151" s="1201"/>
      <c r="BF151" s="1201"/>
      <c r="BG151" s="1201"/>
    </row>
    <row r="152" spans="18:59" x14ac:dyDescent="0.35">
      <c r="R152" s="1201"/>
      <c r="S152" s="1201"/>
      <c r="W152" s="1201"/>
      <c r="X152" s="1201"/>
      <c r="AE152" s="1201"/>
      <c r="AF152" s="1201"/>
      <c r="AV152" s="1201"/>
      <c r="AW152" s="1201"/>
      <c r="AX152" s="1201"/>
      <c r="AY152" s="1201"/>
      <c r="AZ152" s="1201"/>
      <c r="BA152" s="1201"/>
      <c r="BC152" s="1201"/>
      <c r="BE152" s="1201"/>
      <c r="BF152" s="1201"/>
      <c r="BG152" s="1201"/>
    </row>
    <row r="153" spans="18:59" x14ac:dyDescent="0.35">
      <c r="R153" s="1201"/>
      <c r="S153" s="1201"/>
      <c r="W153" s="1201"/>
      <c r="X153" s="1201"/>
      <c r="AE153" s="1201"/>
      <c r="AF153" s="1201"/>
      <c r="AV153" s="1201"/>
      <c r="AW153" s="1201"/>
      <c r="AX153" s="1201"/>
      <c r="AY153" s="1201"/>
      <c r="AZ153" s="1201"/>
      <c r="BA153" s="1201"/>
      <c r="BC153" s="1201"/>
      <c r="BE153" s="1201"/>
      <c r="BF153" s="1201"/>
      <c r="BG153" s="1201"/>
    </row>
    <row r="154" spans="18:59" x14ac:dyDescent="0.35">
      <c r="R154" s="1201"/>
      <c r="S154" s="1201"/>
      <c r="W154" s="1201"/>
      <c r="X154" s="1201"/>
      <c r="AE154" s="1201"/>
      <c r="AF154" s="1201"/>
      <c r="AV154" s="1201"/>
      <c r="AW154" s="1201"/>
      <c r="AX154" s="1201"/>
      <c r="AY154" s="1201"/>
      <c r="AZ154" s="1201"/>
      <c r="BA154" s="1201"/>
      <c r="BC154" s="1201"/>
      <c r="BE154" s="1201"/>
      <c r="BF154" s="1201"/>
      <c r="BG154" s="1201"/>
    </row>
    <row r="155" spans="18:59" x14ac:dyDescent="0.35">
      <c r="R155" s="1201"/>
      <c r="S155" s="1201"/>
      <c r="W155" s="1201"/>
      <c r="X155" s="1201"/>
      <c r="AE155" s="1201"/>
      <c r="AF155" s="1201"/>
      <c r="AV155" s="1201"/>
      <c r="AW155" s="1201"/>
      <c r="AX155" s="1201"/>
      <c r="AY155" s="1201"/>
      <c r="AZ155" s="1201"/>
      <c r="BA155" s="1201"/>
      <c r="BC155" s="1201"/>
      <c r="BE155" s="1201"/>
      <c r="BF155" s="1201"/>
      <c r="BG155" s="1201"/>
    </row>
    <row r="156" spans="18:59" x14ac:dyDescent="0.35">
      <c r="R156" s="1201"/>
      <c r="S156" s="1201"/>
      <c r="W156" s="1201"/>
      <c r="X156" s="1201"/>
      <c r="AE156" s="1201"/>
      <c r="AF156" s="1201"/>
      <c r="AV156" s="1201"/>
      <c r="AW156" s="1201"/>
      <c r="AX156" s="1201"/>
      <c r="AY156" s="1201"/>
      <c r="AZ156" s="1201"/>
      <c r="BA156" s="1201"/>
      <c r="BC156" s="1201"/>
      <c r="BE156" s="1201"/>
      <c r="BF156" s="1201"/>
      <c r="BG156" s="1201"/>
    </row>
    <row r="157" spans="18:59" x14ac:dyDescent="0.35">
      <c r="R157" s="1201"/>
      <c r="S157" s="1201"/>
      <c r="W157" s="1201"/>
      <c r="X157" s="1201"/>
      <c r="AE157" s="1201"/>
      <c r="AF157" s="1201"/>
      <c r="AV157" s="1201"/>
      <c r="AW157" s="1201"/>
      <c r="AX157" s="1201"/>
      <c r="AY157" s="1201"/>
      <c r="AZ157" s="1201"/>
      <c r="BA157" s="1201"/>
      <c r="BC157" s="1201"/>
      <c r="BE157" s="1201"/>
      <c r="BF157" s="1201"/>
      <c r="BG157" s="1201"/>
    </row>
    <row r="158" spans="18:59" x14ac:dyDescent="0.35">
      <c r="R158" s="1201"/>
      <c r="S158" s="1201"/>
      <c r="W158" s="1201"/>
      <c r="X158" s="1201"/>
      <c r="AE158" s="1201"/>
      <c r="AF158" s="1201"/>
      <c r="AV158" s="1201"/>
      <c r="AW158" s="1201"/>
      <c r="AX158" s="1201"/>
      <c r="AY158" s="1201"/>
      <c r="AZ158" s="1201"/>
      <c r="BA158" s="1201"/>
      <c r="BC158" s="1201"/>
      <c r="BE158" s="1201"/>
      <c r="BF158" s="1201"/>
      <c r="BG158" s="1201"/>
    </row>
    <row r="159" spans="18:59" x14ac:dyDescent="0.35">
      <c r="R159" s="1201"/>
      <c r="S159" s="1201"/>
      <c r="W159" s="1201"/>
      <c r="X159" s="1201"/>
      <c r="AE159" s="1201"/>
      <c r="AF159" s="1201"/>
      <c r="AV159" s="1201"/>
      <c r="AW159" s="1201"/>
      <c r="AX159" s="1201"/>
      <c r="AY159" s="1201"/>
      <c r="AZ159" s="1201"/>
      <c r="BA159" s="1201"/>
      <c r="BC159" s="1201"/>
      <c r="BE159" s="1201"/>
      <c r="BF159" s="1201"/>
      <c r="BG159" s="1201"/>
    </row>
    <row r="160" spans="18:59" x14ac:dyDescent="0.35">
      <c r="R160" s="1201"/>
      <c r="S160" s="1201"/>
      <c r="W160" s="1201"/>
      <c r="X160" s="1201"/>
      <c r="AE160" s="1201"/>
      <c r="AF160" s="1201"/>
      <c r="AV160" s="1201"/>
      <c r="AW160" s="1201"/>
      <c r="AX160" s="1201"/>
      <c r="AY160" s="1201"/>
      <c r="AZ160" s="1201"/>
      <c r="BA160" s="1201"/>
      <c r="BC160" s="1201"/>
      <c r="BE160" s="1201"/>
      <c r="BF160" s="1201"/>
      <c r="BG160" s="1201"/>
    </row>
    <row r="161" spans="18:59" x14ac:dyDescent="0.35">
      <c r="R161" s="1201"/>
      <c r="S161" s="1201"/>
      <c r="W161" s="1201"/>
      <c r="X161" s="1201"/>
      <c r="AE161" s="1201"/>
      <c r="AF161" s="1201"/>
      <c r="AV161" s="1201"/>
      <c r="AW161" s="1201"/>
      <c r="AX161" s="1201"/>
      <c r="AY161" s="1201"/>
      <c r="AZ161" s="1201"/>
      <c r="BA161" s="1201"/>
      <c r="BC161" s="1201"/>
      <c r="BE161" s="1201"/>
      <c r="BF161" s="1201"/>
      <c r="BG161" s="1201"/>
    </row>
    <row r="162" spans="18:59" x14ac:dyDescent="0.35">
      <c r="R162" s="1201"/>
      <c r="S162" s="1201"/>
      <c r="W162" s="1201"/>
      <c r="X162" s="1201"/>
      <c r="AE162" s="1201"/>
      <c r="AF162" s="1201"/>
      <c r="AV162" s="1201"/>
      <c r="AW162" s="1201"/>
      <c r="AX162" s="1201"/>
      <c r="AY162" s="1201"/>
      <c r="AZ162" s="1201"/>
      <c r="BA162" s="1201"/>
      <c r="BC162" s="1201"/>
      <c r="BE162" s="1201"/>
      <c r="BF162" s="1201"/>
      <c r="BG162" s="1201"/>
    </row>
    <row r="163" spans="18:59" x14ac:dyDescent="0.35">
      <c r="R163" s="1201"/>
      <c r="S163" s="1201"/>
      <c r="W163" s="1201"/>
      <c r="X163" s="1201"/>
      <c r="AE163" s="1201"/>
      <c r="AF163" s="1201"/>
      <c r="AV163" s="1201"/>
      <c r="AW163" s="1201"/>
      <c r="AX163" s="1201"/>
      <c r="AY163" s="1201"/>
      <c r="AZ163" s="1201"/>
      <c r="BA163" s="1201"/>
      <c r="BC163" s="1201"/>
      <c r="BE163" s="1201"/>
      <c r="BF163" s="1201"/>
      <c r="BG163" s="1201"/>
    </row>
    <row r="164" spans="18:59" x14ac:dyDescent="0.35">
      <c r="R164" s="1201"/>
      <c r="S164" s="1201"/>
      <c r="W164" s="1201"/>
      <c r="X164" s="1201"/>
      <c r="AE164" s="1201"/>
      <c r="AF164" s="1201"/>
      <c r="AV164" s="1201"/>
      <c r="AW164" s="1201"/>
      <c r="AX164" s="1201"/>
      <c r="AY164" s="1201"/>
      <c r="AZ164" s="1201"/>
      <c r="BA164" s="1201"/>
      <c r="BC164" s="1201"/>
      <c r="BE164" s="1201"/>
      <c r="BF164" s="1201"/>
      <c r="BG164" s="1201"/>
    </row>
    <row r="165" spans="18:59" x14ac:dyDescent="0.35">
      <c r="R165" s="1201"/>
      <c r="S165" s="1201"/>
      <c r="W165" s="1201"/>
      <c r="X165" s="1201"/>
      <c r="AE165" s="1201"/>
      <c r="AF165" s="1201"/>
      <c r="AV165" s="1201"/>
      <c r="AW165" s="1201"/>
      <c r="AX165" s="1201"/>
      <c r="AY165" s="1201"/>
      <c r="AZ165" s="1201"/>
      <c r="BA165" s="1201"/>
      <c r="BC165" s="1201"/>
      <c r="BE165" s="1201"/>
      <c r="BF165" s="1201"/>
      <c r="BG165" s="1201"/>
    </row>
    <row r="166" spans="18:59" x14ac:dyDescent="0.35">
      <c r="R166" s="1201"/>
      <c r="S166" s="1201"/>
      <c r="W166" s="1201"/>
      <c r="X166" s="1201"/>
      <c r="AE166" s="1201"/>
      <c r="AF166" s="1201"/>
      <c r="AV166" s="1201"/>
      <c r="AW166" s="1201"/>
      <c r="AX166" s="1201"/>
      <c r="AY166" s="1201"/>
      <c r="AZ166" s="1201"/>
      <c r="BA166" s="1201"/>
      <c r="BC166" s="1201"/>
      <c r="BE166" s="1201"/>
      <c r="BF166" s="1201"/>
      <c r="BG166" s="1201"/>
    </row>
    <row r="167" spans="18:59" x14ac:dyDescent="0.35">
      <c r="R167" s="1201"/>
      <c r="S167" s="1201"/>
      <c r="W167" s="1201"/>
      <c r="X167" s="1201"/>
      <c r="AE167" s="1201"/>
      <c r="AF167" s="1201"/>
      <c r="AV167" s="1201"/>
      <c r="AW167" s="1201"/>
      <c r="AX167" s="1201"/>
      <c r="AY167" s="1201"/>
      <c r="AZ167" s="1201"/>
      <c r="BA167" s="1201"/>
      <c r="BC167" s="1201"/>
      <c r="BE167" s="1201"/>
      <c r="BF167" s="1201"/>
      <c r="BG167" s="1201"/>
    </row>
    <row r="168" spans="18:59" x14ac:dyDescent="0.35">
      <c r="R168" s="1201"/>
      <c r="S168" s="1201"/>
      <c r="W168" s="1201"/>
      <c r="X168" s="1201"/>
      <c r="AE168" s="1201"/>
      <c r="AF168" s="1201"/>
      <c r="AV168" s="1201"/>
      <c r="AW168" s="1201"/>
      <c r="AX168" s="1201"/>
      <c r="AY168" s="1201"/>
      <c r="AZ168" s="1201"/>
      <c r="BA168" s="1201"/>
      <c r="BC168" s="1201"/>
      <c r="BE168" s="1201"/>
      <c r="BF168" s="1201"/>
      <c r="BG168" s="1201"/>
    </row>
    <row r="169" spans="18:59" x14ac:dyDescent="0.35">
      <c r="R169" s="1201"/>
      <c r="S169" s="1201"/>
      <c r="W169" s="1201"/>
      <c r="X169" s="1201"/>
      <c r="AE169" s="1201"/>
      <c r="AF169" s="1201"/>
      <c r="AV169" s="1201"/>
      <c r="AW169" s="1201"/>
      <c r="AX169" s="1201"/>
      <c r="AY169" s="1201"/>
      <c r="AZ169" s="1201"/>
      <c r="BA169" s="1201"/>
      <c r="BC169" s="1201"/>
      <c r="BE169" s="1201"/>
      <c r="BF169" s="1201"/>
      <c r="BG169" s="1201"/>
    </row>
    <row r="170" spans="18:59" x14ac:dyDescent="0.35">
      <c r="R170" s="1201"/>
      <c r="S170" s="1201"/>
      <c r="W170" s="1201"/>
      <c r="X170" s="1201"/>
      <c r="AE170" s="1201"/>
      <c r="AF170" s="1201"/>
      <c r="AV170" s="1201"/>
      <c r="AW170" s="1201"/>
      <c r="AX170" s="1201"/>
      <c r="AY170" s="1201"/>
      <c r="AZ170" s="1201"/>
      <c r="BA170" s="1201"/>
      <c r="BC170" s="1201"/>
      <c r="BE170" s="1201"/>
      <c r="BF170" s="1201"/>
      <c r="BG170" s="1201"/>
    </row>
    <row r="171" spans="18:59" x14ac:dyDescent="0.35">
      <c r="R171" s="1201"/>
      <c r="S171" s="1201"/>
      <c r="W171" s="1201"/>
      <c r="X171" s="1201"/>
      <c r="AE171" s="1201"/>
      <c r="AF171" s="1201"/>
      <c r="AV171" s="1201"/>
      <c r="AW171" s="1201"/>
      <c r="AX171" s="1201"/>
      <c r="AY171" s="1201"/>
      <c r="AZ171" s="1201"/>
      <c r="BA171" s="1201"/>
      <c r="BC171" s="1201"/>
      <c r="BE171" s="1201"/>
      <c r="BF171" s="1201"/>
      <c r="BG171" s="1201"/>
    </row>
    <row r="172" spans="18:59" x14ac:dyDescent="0.35">
      <c r="R172" s="1201"/>
      <c r="S172" s="1201"/>
      <c r="W172" s="1201"/>
      <c r="X172" s="1201"/>
      <c r="AE172" s="1201"/>
      <c r="AF172" s="1201"/>
      <c r="AV172" s="1201"/>
      <c r="AW172" s="1201"/>
      <c r="AX172" s="1201"/>
      <c r="AY172" s="1201"/>
      <c r="AZ172" s="1201"/>
      <c r="BA172" s="1201"/>
      <c r="BC172" s="1201"/>
      <c r="BE172" s="1201"/>
      <c r="BF172" s="1201"/>
      <c r="BG172" s="1201"/>
    </row>
    <row r="173" spans="18:59" x14ac:dyDescent="0.35">
      <c r="R173" s="1201"/>
      <c r="S173" s="1201"/>
      <c r="W173" s="1201"/>
      <c r="X173" s="1201"/>
      <c r="AE173" s="1201"/>
      <c r="AF173" s="1201"/>
      <c r="AV173" s="1201"/>
      <c r="AW173" s="1201"/>
      <c r="AX173" s="1201"/>
      <c r="AY173" s="1201"/>
      <c r="AZ173" s="1201"/>
      <c r="BA173" s="1201"/>
      <c r="BC173" s="1201"/>
      <c r="BE173" s="1201"/>
      <c r="BF173" s="1201"/>
      <c r="BG173" s="1201"/>
    </row>
    <row r="174" spans="18:59" x14ac:dyDescent="0.35">
      <c r="R174" s="1201"/>
      <c r="S174" s="1201"/>
      <c r="W174" s="1201"/>
      <c r="X174" s="1201"/>
      <c r="AE174" s="1201"/>
      <c r="AF174" s="1201"/>
      <c r="AV174" s="1201"/>
      <c r="AW174" s="1201"/>
      <c r="AX174" s="1201"/>
      <c r="AY174" s="1201"/>
      <c r="AZ174" s="1201"/>
      <c r="BA174" s="1201"/>
      <c r="BC174" s="1201"/>
      <c r="BE174" s="1201"/>
      <c r="BF174" s="1201"/>
      <c r="BG174" s="1201"/>
    </row>
    <row r="175" spans="18:59" x14ac:dyDescent="0.35">
      <c r="R175" s="1201"/>
      <c r="S175" s="1201"/>
      <c r="W175" s="1201"/>
      <c r="X175" s="1201"/>
      <c r="AE175" s="1201"/>
      <c r="AF175" s="1201"/>
      <c r="AV175" s="1201"/>
      <c r="AW175" s="1201"/>
      <c r="AX175" s="1201"/>
      <c r="AY175" s="1201"/>
      <c r="AZ175" s="1201"/>
      <c r="BA175" s="1201"/>
      <c r="BC175" s="1201"/>
      <c r="BE175" s="1201"/>
      <c r="BF175" s="1201"/>
      <c r="BG175" s="1201"/>
    </row>
    <row r="176" spans="18:59" x14ac:dyDescent="0.35">
      <c r="R176" s="1201"/>
      <c r="S176" s="1201"/>
      <c r="W176" s="1201"/>
      <c r="X176" s="1201"/>
      <c r="AE176" s="1201"/>
      <c r="AF176" s="1201"/>
      <c r="AV176" s="1201"/>
      <c r="AW176" s="1201"/>
      <c r="AX176" s="1201"/>
      <c r="AY176" s="1201"/>
      <c r="AZ176" s="1201"/>
      <c r="BA176" s="1201"/>
      <c r="BC176" s="1201"/>
      <c r="BE176" s="1201"/>
      <c r="BF176" s="1201"/>
      <c r="BG176" s="1201"/>
    </row>
    <row r="177" spans="18:59" x14ac:dyDescent="0.35">
      <c r="R177" s="1201"/>
      <c r="S177" s="1201"/>
      <c r="W177" s="1201"/>
      <c r="X177" s="1201"/>
      <c r="AE177" s="1201"/>
      <c r="AF177" s="1201"/>
      <c r="AV177" s="1201"/>
      <c r="AW177" s="1201"/>
      <c r="AX177" s="1201"/>
      <c r="AY177" s="1201"/>
      <c r="AZ177" s="1201"/>
      <c r="BA177" s="1201"/>
      <c r="BC177" s="1201"/>
      <c r="BE177" s="1201"/>
      <c r="BF177" s="1201"/>
      <c r="BG177" s="1201"/>
    </row>
    <row r="178" spans="18:59" x14ac:dyDescent="0.35">
      <c r="R178" s="1201"/>
      <c r="S178" s="1201"/>
      <c r="W178" s="1201"/>
      <c r="X178" s="1201"/>
      <c r="AE178" s="1201"/>
      <c r="AF178" s="1201"/>
      <c r="AV178" s="1201"/>
      <c r="AW178" s="1201"/>
      <c r="AX178" s="1201"/>
      <c r="AY178" s="1201"/>
      <c r="AZ178" s="1201"/>
      <c r="BA178" s="1201"/>
      <c r="BC178" s="1201"/>
      <c r="BE178" s="1201"/>
      <c r="BF178" s="1201"/>
      <c r="BG178" s="1201"/>
    </row>
    <row r="179" spans="18:59" x14ac:dyDescent="0.35">
      <c r="R179" s="1201"/>
      <c r="S179" s="1201"/>
      <c r="W179" s="1201"/>
      <c r="X179" s="1201"/>
      <c r="AE179" s="1201"/>
      <c r="AF179" s="1201"/>
      <c r="AV179" s="1201"/>
      <c r="AW179" s="1201"/>
      <c r="AX179" s="1201"/>
      <c r="AY179" s="1201"/>
      <c r="AZ179" s="1201"/>
      <c r="BA179" s="1201"/>
      <c r="BC179" s="1201"/>
      <c r="BE179" s="1201"/>
      <c r="BF179" s="1201"/>
      <c r="BG179" s="1201"/>
    </row>
    <row r="180" spans="18:59" x14ac:dyDescent="0.35">
      <c r="R180" s="1201"/>
      <c r="S180" s="1201"/>
      <c r="W180" s="1201"/>
      <c r="X180" s="1201"/>
      <c r="AE180" s="1201"/>
      <c r="AF180" s="1201"/>
      <c r="AV180" s="1201"/>
      <c r="AW180" s="1201"/>
      <c r="AX180" s="1201"/>
      <c r="AY180" s="1201"/>
      <c r="AZ180" s="1201"/>
      <c r="BA180" s="1201"/>
      <c r="BC180" s="1201"/>
      <c r="BE180" s="1201"/>
      <c r="BF180" s="1201"/>
      <c r="BG180" s="1201"/>
    </row>
    <row r="181" spans="18:59" x14ac:dyDescent="0.35">
      <c r="R181" s="1201"/>
      <c r="S181" s="1201"/>
      <c r="W181" s="1201"/>
      <c r="X181" s="1201"/>
      <c r="AE181" s="1201"/>
      <c r="AF181" s="1201"/>
      <c r="AV181" s="1201"/>
      <c r="AW181" s="1201"/>
      <c r="AX181" s="1201"/>
      <c r="AY181" s="1201"/>
      <c r="AZ181" s="1201"/>
      <c r="BA181" s="1201"/>
      <c r="BC181" s="1201"/>
      <c r="BE181" s="1201"/>
      <c r="BF181" s="1201"/>
      <c r="BG181" s="1201"/>
    </row>
    <row r="182" spans="18:59" x14ac:dyDescent="0.35">
      <c r="R182" s="1201"/>
      <c r="S182" s="1201"/>
      <c r="W182" s="1201"/>
      <c r="X182" s="1201"/>
      <c r="AE182" s="1201"/>
      <c r="AF182" s="1201"/>
      <c r="AV182" s="1201"/>
      <c r="AW182" s="1201"/>
      <c r="AX182" s="1201"/>
      <c r="AY182" s="1201"/>
      <c r="AZ182" s="1201"/>
      <c r="BA182" s="1201"/>
      <c r="BC182" s="1201"/>
      <c r="BE182" s="1201"/>
      <c r="BF182" s="1201"/>
      <c r="BG182" s="1201"/>
    </row>
    <row r="183" spans="18:59" x14ac:dyDescent="0.35">
      <c r="R183" s="1201"/>
      <c r="S183" s="1201"/>
      <c r="W183" s="1201"/>
      <c r="X183" s="1201"/>
      <c r="AE183" s="1201"/>
      <c r="AF183" s="1201"/>
      <c r="AV183" s="1201"/>
      <c r="AW183" s="1201"/>
      <c r="AX183" s="1201"/>
      <c r="AY183" s="1201"/>
      <c r="AZ183" s="1201"/>
      <c r="BA183" s="1201"/>
      <c r="BC183" s="1201"/>
      <c r="BE183" s="1201"/>
      <c r="BF183" s="1201"/>
      <c r="BG183" s="1201"/>
    </row>
    <row r="184" spans="18:59" x14ac:dyDescent="0.35">
      <c r="R184" s="1201"/>
      <c r="S184" s="1201"/>
      <c r="W184" s="1201"/>
      <c r="X184" s="1201"/>
      <c r="AE184" s="1201"/>
      <c r="AF184" s="1201"/>
      <c r="AV184" s="1201"/>
      <c r="AW184" s="1201"/>
      <c r="AX184" s="1201"/>
      <c r="AY184" s="1201"/>
      <c r="AZ184" s="1201"/>
      <c r="BA184" s="1201"/>
      <c r="BC184" s="1201"/>
      <c r="BE184" s="1201"/>
      <c r="BF184" s="1201"/>
      <c r="BG184" s="1201"/>
    </row>
    <row r="185" spans="18:59" x14ac:dyDescent="0.35">
      <c r="R185" s="1201"/>
      <c r="S185" s="1201"/>
      <c r="W185" s="1201"/>
      <c r="X185" s="1201"/>
      <c r="AE185" s="1201"/>
      <c r="AF185" s="1201"/>
      <c r="AV185" s="1201"/>
      <c r="AW185" s="1201"/>
      <c r="AX185" s="1201"/>
      <c r="AY185" s="1201"/>
      <c r="AZ185" s="1201"/>
      <c r="BA185" s="1201"/>
      <c r="BC185" s="1201"/>
      <c r="BE185" s="1201"/>
      <c r="BF185" s="1201"/>
      <c r="BG185" s="1201"/>
    </row>
    <row r="186" spans="18:59" x14ac:dyDescent="0.35">
      <c r="R186" s="1201"/>
      <c r="S186" s="1201"/>
      <c r="W186" s="1201"/>
      <c r="X186" s="1201"/>
      <c r="AE186" s="1201"/>
      <c r="AF186" s="1201"/>
      <c r="AV186" s="1201"/>
      <c r="AW186" s="1201"/>
      <c r="AX186" s="1201"/>
      <c r="AY186" s="1201"/>
      <c r="AZ186" s="1201"/>
      <c r="BA186" s="1201"/>
      <c r="BC186" s="1201"/>
      <c r="BE186" s="1201"/>
      <c r="BF186" s="1201"/>
      <c r="BG186" s="1201"/>
    </row>
    <row r="187" spans="18:59" x14ac:dyDescent="0.35">
      <c r="R187" s="1201"/>
      <c r="S187" s="1201"/>
      <c r="W187" s="1201"/>
      <c r="X187" s="1201"/>
      <c r="AE187" s="1201"/>
      <c r="AF187" s="1201"/>
      <c r="AV187" s="1201"/>
      <c r="AW187" s="1201"/>
      <c r="AX187" s="1201"/>
      <c r="AY187" s="1201"/>
      <c r="AZ187" s="1201"/>
      <c r="BA187" s="1201"/>
      <c r="BC187" s="1201"/>
      <c r="BE187" s="1201"/>
      <c r="BF187" s="1201"/>
      <c r="BG187" s="1201"/>
    </row>
    <row r="188" spans="18:59" x14ac:dyDescent="0.35">
      <c r="R188" s="1201"/>
      <c r="S188" s="1201"/>
      <c r="W188" s="1201"/>
      <c r="X188" s="1201"/>
      <c r="AE188" s="1201"/>
      <c r="AF188" s="1201"/>
      <c r="AV188" s="1201"/>
      <c r="AW188" s="1201"/>
      <c r="AX188" s="1201"/>
      <c r="AY188" s="1201"/>
      <c r="AZ188" s="1201"/>
      <c r="BA188" s="1201"/>
      <c r="BC188" s="1201"/>
      <c r="BE188" s="1201"/>
      <c r="BF188" s="1201"/>
      <c r="BG188" s="1201"/>
    </row>
    <row r="189" spans="18:59" x14ac:dyDescent="0.35">
      <c r="R189" s="1201"/>
      <c r="S189" s="1201"/>
      <c r="W189" s="1201"/>
      <c r="X189" s="1201"/>
      <c r="AE189" s="1201"/>
      <c r="AF189" s="1201"/>
      <c r="AV189" s="1201"/>
      <c r="AW189" s="1201"/>
      <c r="AX189" s="1201"/>
      <c r="AY189" s="1201"/>
      <c r="AZ189" s="1201"/>
      <c r="BA189" s="1201"/>
      <c r="BC189" s="1201"/>
      <c r="BE189" s="1201"/>
      <c r="BF189" s="1201"/>
      <c r="BG189" s="1201"/>
    </row>
    <row r="190" spans="18:59" x14ac:dyDescent="0.35">
      <c r="R190" s="1201"/>
      <c r="S190" s="1201"/>
      <c r="W190" s="1201"/>
      <c r="X190" s="1201"/>
      <c r="AE190" s="1201"/>
      <c r="AF190" s="1201"/>
      <c r="AV190" s="1201"/>
      <c r="AW190" s="1201"/>
      <c r="AX190" s="1201"/>
      <c r="AY190" s="1201"/>
      <c r="AZ190" s="1201"/>
      <c r="BA190" s="1201"/>
      <c r="BC190" s="1201"/>
      <c r="BE190" s="1201"/>
      <c r="BF190" s="1201"/>
      <c r="BG190" s="1201"/>
    </row>
    <row r="191" spans="18:59" x14ac:dyDescent="0.35">
      <c r="R191" s="1201"/>
      <c r="S191" s="1201"/>
      <c r="W191" s="1201"/>
      <c r="X191" s="1201"/>
      <c r="AE191" s="1201"/>
      <c r="AF191" s="1201"/>
      <c r="AV191" s="1201"/>
      <c r="AW191" s="1201"/>
      <c r="AX191" s="1201"/>
      <c r="AY191" s="1201"/>
      <c r="AZ191" s="1201"/>
      <c r="BA191" s="1201"/>
      <c r="BC191" s="1201"/>
      <c r="BE191" s="1201"/>
      <c r="BF191" s="1201"/>
      <c r="BG191" s="1201"/>
    </row>
    <row r="192" spans="18:59" x14ac:dyDescent="0.35">
      <c r="R192" s="1201"/>
      <c r="S192" s="1201"/>
      <c r="W192" s="1201"/>
      <c r="X192" s="1201"/>
      <c r="AE192" s="1201"/>
      <c r="AF192" s="1201"/>
      <c r="AV192" s="1201"/>
      <c r="AW192" s="1201"/>
      <c r="AX192" s="1201"/>
      <c r="AY192" s="1201"/>
      <c r="AZ192" s="1201"/>
      <c r="BA192" s="1201"/>
      <c r="BC192" s="1201"/>
      <c r="BE192" s="1201"/>
      <c r="BF192" s="1201"/>
      <c r="BG192" s="1201"/>
    </row>
    <row r="193" spans="18:59" x14ac:dyDescent="0.35">
      <c r="R193" s="1201"/>
      <c r="S193" s="1201"/>
      <c r="W193" s="1201"/>
      <c r="X193" s="1201"/>
      <c r="AE193" s="1201"/>
      <c r="AF193" s="1201"/>
      <c r="AV193" s="1201"/>
      <c r="AW193" s="1201"/>
      <c r="AX193" s="1201"/>
      <c r="AY193" s="1201"/>
      <c r="AZ193" s="1201"/>
      <c r="BA193" s="1201"/>
      <c r="BC193" s="1201"/>
      <c r="BE193" s="1201"/>
      <c r="BF193" s="1201"/>
      <c r="BG193" s="1201"/>
    </row>
    <row r="194" spans="18:59" x14ac:dyDescent="0.35">
      <c r="R194" s="1201"/>
      <c r="S194" s="1201"/>
      <c r="W194" s="1201"/>
      <c r="X194" s="1201"/>
      <c r="AE194" s="1201"/>
      <c r="AF194" s="1201"/>
      <c r="AV194" s="1201"/>
      <c r="AW194" s="1201"/>
      <c r="AX194" s="1201"/>
      <c r="AY194" s="1201"/>
      <c r="AZ194" s="1201"/>
      <c r="BA194" s="1201"/>
      <c r="BC194" s="1201"/>
      <c r="BE194" s="1201"/>
      <c r="BF194" s="1201"/>
      <c r="BG194" s="1201"/>
    </row>
    <row r="195" spans="18:59" x14ac:dyDescent="0.35">
      <c r="R195" s="1201"/>
      <c r="S195" s="1201"/>
      <c r="W195" s="1201"/>
      <c r="X195" s="1201"/>
      <c r="AE195" s="1201"/>
      <c r="AF195" s="1201"/>
      <c r="AV195" s="1201"/>
      <c r="AW195" s="1201"/>
      <c r="AX195" s="1201"/>
      <c r="AY195" s="1201"/>
      <c r="AZ195" s="1201"/>
      <c r="BA195" s="1201"/>
      <c r="BC195" s="1201"/>
      <c r="BE195" s="1201"/>
      <c r="BF195" s="1201"/>
      <c r="BG195" s="1201"/>
    </row>
    <row r="196" spans="18:59" x14ac:dyDescent="0.35">
      <c r="R196" s="1201"/>
      <c r="S196" s="1201"/>
      <c r="W196" s="1201"/>
      <c r="X196" s="1201"/>
      <c r="AE196" s="1201"/>
      <c r="AF196" s="1201"/>
      <c r="AV196" s="1201"/>
      <c r="AW196" s="1201"/>
      <c r="AX196" s="1201"/>
      <c r="AY196" s="1201"/>
      <c r="AZ196" s="1201"/>
      <c r="BA196" s="1201"/>
      <c r="BC196" s="1201"/>
      <c r="BE196" s="1201"/>
      <c r="BF196" s="1201"/>
      <c r="BG196" s="1201"/>
    </row>
    <row r="197" spans="18:59" x14ac:dyDescent="0.35">
      <c r="R197" s="1201"/>
      <c r="S197" s="1201"/>
      <c r="W197" s="1201"/>
      <c r="X197" s="1201"/>
      <c r="AE197" s="1201"/>
      <c r="AF197" s="1201"/>
      <c r="AV197" s="1201"/>
      <c r="AW197" s="1201"/>
      <c r="AX197" s="1201"/>
      <c r="AY197" s="1201"/>
      <c r="AZ197" s="1201"/>
      <c r="BA197" s="1201"/>
      <c r="BC197" s="1201"/>
      <c r="BE197" s="1201"/>
      <c r="BF197" s="1201"/>
      <c r="BG197" s="1201"/>
    </row>
    <row r="198" spans="18:59" x14ac:dyDescent="0.35">
      <c r="R198" s="1201"/>
      <c r="S198" s="1201"/>
      <c r="W198" s="1201"/>
      <c r="X198" s="1201"/>
      <c r="AE198" s="1201"/>
      <c r="AF198" s="1201"/>
      <c r="AV198" s="1201"/>
      <c r="AW198" s="1201"/>
      <c r="AX198" s="1201"/>
      <c r="AY198" s="1201"/>
      <c r="AZ198" s="1201"/>
      <c r="BA198" s="1201"/>
      <c r="BC198" s="1201"/>
      <c r="BE198" s="1201"/>
      <c r="BF198" s="1201"/>
      <c r="BG198" s="1201"/>
    </row>
    <row r="199" spans="18:59" x14ac:dyDescent="0.35">
      <c r="R199" s="1201"/>
      <c r="S199" s="1201"/>
      <c r="W199" s="1201"/>
      <c r="X199" s="1201"/>
      <c r="AE199" s="1201"/>
      <c r="AF199" s="1201"/>
      <c r="AV199" s="1201"/>
      <c r="AW199" s="1201"/>
      <c r="AX199" s="1201"/>
      <c r="AY199" s="1201"/>
      <c r="AZ199" s="1201"/>
      <c r="BA199" s="1201"/>
      <c r="BC199" s="1201"/>
      <c r="BE199" s="1201"/>
      <c r="BF199" s="1201"/>
      <c r="BG199" s="1201"/>
    </row>
    <row r="200" spans="18:59" x14ac:dyDescent="0.35">
      <c r="R200" s="1201"/>
      <c r="S200" s="1201"/>
      <c r="W200" s="1201"/>
      <c r="X200" s="1201"/>
      <c r="AE200" s="1201"/>
      <c r="AF200" s="1201"/>
      <c r="AV200" s="1201"/>
      <c r="AW200" s="1201"/>
      <c r="AX200" s="1201"/>
      <c r="AY200" s="1201"/>
      <c r="AZ200" s="1201"/>
      <c r="BA200" s="1201"/>
      <c r="BC200" s="1201"/>
      <c r="BE200" s="1201"/>
      <c r="BF200" s="1201"/>
      <c r="BG200" s="1201"/>
    </row>
    <row r="201" spans="18:59" x14ac:dyDescent="0.35">
      <c r="R201" s="1201"/>
      <c r="S201" s="1201"/>
      <c r="W201" s="1201"/>
      <c r="X201" s="1201"/>
      <c r="AE201" s="1201"/>
      <c r="AF201" s="1201"/>
      <c r="AV201" s="1201"/>
      <c r="AW201" s="1201"/>
      <c r="AX201" s="1201"/>
      <c r="AY201" s="1201"/>
      <c r="AZ201" s="1201"/>
      <c r="BA201" s="1201"/>
      <c r="BC201" s="1201"/>
      <c r="BE201" s="1201"/>
      <c r="BF201" s="1201"/>
      <c r="BG201" s="1201"/>
    </row>
    <row r="202" spans="18:59" x14ac:dyDescent="0.35">
      <c r="R202" s="1201"/>
      <c r="S202" s="1201"/>
      <c r="W202" s="1201"/>
      <c r="X202" s="1201"/>
      <c r="AE202" s="1201"/>
      <c r="AF202" s="1201"/>
      <c r="AV202" s="1201"/>
      <c r="AW202" s="1201"/>
      <c r="AX202" s="1201"/>
      <c r="AY202" s="1201"/>
      <c r="AZ202" s="1201"/>
      <c r="BA202" s="1201"/>
      <c r="BC202" s="1201"/>
      <c r="BE202" s="1201"/>
      <c r="BF202" s="1201"/>
      <c r="BG202" s="1201"/>
    </row>
    <row r="203" spans="18:59" x14ac:dyDescent="0.35">
      <c r="R203" s="1201"/>
      <c r="S203" s="1201"/>
      <c r="W203" s="1201"/>
      <c r="X203" s="1201"/>
      <c r="AE203" s="1201"/>
      <c r="AF203" s="1201"/>
      <c r="AV203" s="1201"/>
      <c r="AW203" s="1201"/>
      <c r="AX203" s="1201"/>
      <c r="AY203" s="1201"/>
      <c r="AZ203" s="1201"/>
      <c r="BA203" s="1201"/>
      <c r="BC203" s="1201"/>
      <c r="BE203" s="1201"/>
      <c r="BF203" s="1201"/>
      <c r="BG203" s="1201"/>
    </row>
    <row r="204" spans="18:59" x14ac:dyDescent="0.35">
      <c r="R204" s="1201"/>
      <c r="S204" s="1201"/>
      <c r="W204" s="1201"/>
      <c r="X204" s="1201"/>
      <c r="AE204" s="1201"/>
      <c r="AF204" s="1201"/>
      <c r="AV204" s="1201"/>
      <c r="AW204" s="1201"/>
      <c r="AX204" s="1201"/>
      <c r="AY204" s="1201"/>
      <c r="AZ204" s="1201"/>
      <c r="BA204" s="1201"/>
      <c r="BC204" s="1201"/>
      <c r="BE204" s="1201"/>
      <c r="BF204" s="1201"/>
      <c r="BG204" s="1201"/>
    </row>
    <row r="205" spans="18:59" x14ac:dyDescent="0.35">
      <c r="R205" s="1201"/>
      <c r="S205" s="1201"/>
      <c r="W205" s="1201"/>
      <c r="X205" s="1201"/>
      <c r="AE205" s="1201"/>
      <c r="AF205" s="1201"/>
      <c r="AV205" s="1201"/>
      <c r="AW205" s="1201"/>
      <c r="AX205" s="1201"/>
      <c r="AY205" s="1201"/>
      <c r="AZ205" s="1201"/>
      <c r="BA205" s="1201"/>
      <c r="BC205" s="1201"/>
      <c r="BE205" s="1201"/>
      <c r="BF205" s="1201"/>
      <c r="BG205" s="1201"/>
    </row>
    <row r="206" spans="18:59" x14ac:dyDescent="0.35">
      <c r="R206" s="1201"/>
      <c r="S206" s="1201"/>
      <c r="W206" s="1201"/>
      <c r="X206" s="1201"/>
      <c r="AE206" s="1201"/>
      <c r="AF206" s="1201"/>
      <c r="AV206" s="1201"/>
      <c r="AW206" s="1201"/>
      <c r="AX206" s="1201"/>
      <c r="AY206" s="1201"/>
      <c r="AZ206" s="1201"/>
      <c r="BA206" s="1201"/>
      <c r="BC206" s="1201"/>
      <c r="BE206" s="1201"/>
      <c r="BF206" s="1201"/>
      <c r="BG206" s="1201"/>
    </row>
    <row r="207" spans="18:59" x14ac:dyDescent="0.35">
      <c r="R207" s="1201"/>
      <c r="S207" s="1201"/>
      <c r="W207" s="1201"/>
      <c r="X207" s="1201"/>
      <c r="AE207" s="1201"/>
      <c r="AF207" s="1201"/>
      <c r="AV207" s="1201"/>
      <c r="AW207" s="1201"/>
      <c r="AX207" s="1201"/>
      <c r="AY207" s="1201"/>
      <c r="AZ207" s="1201"/>
      <c r="BA207" s="1201"/>
      <c r="BC207" s="1201"/>
      <c r="BE207" s="1201"/>
      <c r="BF207" s="1201"/>
      <c r="BG207" s="1201"/>
    </row>
    <row r="208" spans="18:59" x14ac:dyDescent="0.35">
      <c r="R208" s="1201"/>
      <c r="S208" s="1201"/>
      <c r="W208" s="1201"/>
      <c r="X208" s="1201"/>
      <c r="AE208" s="1201"/>
      <c r="AF208" s="1201"/>
      <c r="AV208" s="1201"/>
      <c r="AW208" s="1201"/>
      <c r="AX208" s="1201"/>
      <c r="AY208" s="1201"/>
      <c r="AZ208" s="1201"/>
      <c r="BA208" s="1201"/>
      <c r="BC208" s="1201"/>
      <c r="BE208" s="1201"/>
      <c r="BF208" s="1201"/>
      <c r="BG208" s="1201"/>
    </row>
    <row r="209" spans="18:59" x14ac:dyDescent="0.35">
      <c r="R209" s="1201"/>
      <c r="S209" s="1201"/>
      <c r="W209" s="1201"/>
      <c r="X209" s="1201"/>
      <c r="AE209" s="1201"/>
      <c r="AF209" s="1201"/>
      <c r="AV209" s="1201"/>
      <c r="AW209" s="1201"/>
      <c r="AX209" s="1201"/>
      <c r="AY209" s="1201"/>
      <c r="AZ209" s="1201"/>
      <c r="BA209" s="1201"/>
      <c r="BC209" s="1201"/>
      <c r="BE209" s="1201"/>
      <c r="BF209" s="1201"/>
      <c r="BG209" s="1201"/>
    </row>
    <row r="210" spans="18:59" x14ac:dyDescent="0.35">
      <c r="R210" s="1201"/>
      <c r="S210" s="1201"/>
      <c r="W210" s="1201"/>
      <c r="X210" s="1201"/>
      <c r="AE210" s="1201"/>
      <c r="AF210" s="1201"/>
      <c r="AV210" s="1201"/>
      <c r="AW210" s="1201"/>
      <c r="AX210" s="1201"/>
      <c r="AY210" s="1201"/>
      <c r="AZ210" s="1201"/>
      <c r="BA210" s="1201"/>
      <c r="BC210" s="1201"/>
      <c r="BE210" s="1201"/>
      <c r="BF210" s="1201"/>
      <c r="BG210" s="1201"/>
    </row>
    <row r="211" spans="18:59" x14ac:dyDescent="0.35">
      <c r="R211" s="1201"/>
      <c r="S211" s="1201"/>
      <c r="W211" s="1201"/>
      <c r="X211" s="1201"/>
      <c r="AE211" s="1201"/>
      <c r="AF211" s="1201"/>
      <c r="AV211" s="1201"/>
      <c r="AW211" s="1201"/>
      <c r="AX211" s="1201"/>
      <c r="AY211" s="1201"/>
      <c r="AZ211" s="1201"/>
      <c r="BA211" s="1201"/>
      <c r="BC211" s="1201"/>
      <c r="BE211" s="1201"/>
      <c r="BF211" s="1201"/>
      <c r="BG211" s="1201"/>
    </row>
    <row r="212" spans="18:59" x14ac:dyDescent="0.35">
      <c r="R212" s="1201"/>
      <c r="S212" s="1201"/>
      <c r="W212" s="1201"/>
      <c r="X212" s="1201"/>
      <c r="AE212" s="1201"/>
      <c r="AF212" s="1201"/>
      <c r="AV212" s="1201"/>
      <c r="AW212" s="1201"/>
      <c r="AX212" s="1201"/>
      <c r="AY212" s="1201"/>
      <c r="AZ212" s="1201"/>
      <c r="BA212" s="1201"/>
      <c r="BC212" s="1201"/>
      <c r="BE212" s="1201"/>
      <c r="BF212" s="1201"/>
      <c r="BG212" s="1201"/>
    </row>
    <row r="213" spans="18:59" x14ac:dyDescent="0.35">
      <c r="R213" s="1201"/>
      <c r="S213" s="1201"/>
      <c r="W213" s="1201"/>
      <c r="X213" s="1201"/>
      <c r="AE213" s="1201"/>
      <c r="AF213" s="1201"/>
      <c r="AV213" s="1201"/>
      <c r="AW213" s="1201"/>
      <c r="AX213" s="1201"/>
      <c r="AY213" s="1201"/>
      <c r="AZ213" s="1201"/>
      <c r="BA213" s="1201"/>
      <c r="BC213" s="1201"/>
      <c r="BE213" s="1201"/>
      <c r="BF213" s="1201"/>
      <c r="BG213" s="1201"/>
    </row>
    <row r="214" spans="18:59" x14ac:dyDescent="0.35">
      <c r="R214" s="1201"/>
      <c r="S214" s="1201"/>
      <c r="W214" s="1201"/>
      <c r="X214" s="1201"/>
      <c r="AE214" s="1201"/>
      <c r="AF214" s="1201"/>
      <c r="AV214" s="1201"/>
      <c r="AW214" s="1201"/>
      <c r="AX214" s="1201"/>
      <c r="AY214" s="1201"/>
      <c r="AZ214" s="1201"/>
      <c r="BA214" s="1201"/>
      <c r="BC214" s="1201"/>
      <c r="BE214" s="1201"/>
      <c r="BF214" s="1201"/>
      <c r="BG214" s="1201"/>
    </row>
    <row r="215" spans="18:59" x14ac:dyDescent="0.35">
      <c r="R215" s="1201"/>
      <c r="S215" s="1201"/>
      <c r="W215" s="1201"/>
      <c r="X215" s="1201"/>
      <c r="AE215" s="1201"/>
      <c r="AF215" s="1201"/>
      <c r="AV215" s="1201"/>
      <c r="AW215" s="1201"/>
      <c r="AX215" s="1201"/>
      <c r="AY215" s="1201"/>
      <c r="AZ215" s="1201"/>
      <c r="BA215" s="1201"/>
      <c r="BC215" s="1201"/>
      <c r="BE215" s="1201"/>
      <c r="BF215" s="1201"/>
      <c r="BG215" s="1201"/>
    </row>
    <row r="216" spans="18:59" x14ac:dyDescent="0.35">
      <c r="R216" s="1201"/>
      <c r="S216" s="1201"/>
      <c r="W216" s="1201"/>
      <c r="X216" s="1201"/>
      <c r="AE216" s="1201"/>
      <c r="AF216" s="1201"/>
      <c r="AV216" s="1201"/>
      <c r="AW216" s="1201"/>
      <c r="AX216" s="1201"/>
      <c r="AY216" s="1201"/>
      <c r="AZ216" s="1201"/>
      <c r="BA216" s="1201"/>
      <c r="BC216" s="1201"/>
      <c r="BE216" s="1201"/>
      <c r="BF216" s="1201"/>
      <c r="BG216" s="1201"/>
    </row>
    <row r="217" spans="18:59" x14ac:dyDescent="0.35">
      <c r="R217" s="1201"/>
      <c r="S217" s="1201"/>
      <c r="W217" s="1201"/>
      <c r="X217" s="1201"/>
      <c r="AE217" s="1201"/>
      <c r="AF217" s="1201"/>
      <c r="AV217" s="1201"/>
      <c r="AW217" s="1201"/>
      <c r="AX217" s="1201"/>
      <c r="AY217" s="1201"/>
      <c r="AZ217" s="1201"/>
      <c r="BA217" s="1201"/>
      <c r="BC217" s="1201"/>
      <c r="BE217" s="1201"/>
      <c r="BF217" s="1201"/>
      <c r="BG217" s="1201"/>
    </row>
    <row r="218" spans="18:59" x14ac:dyDescent="0.35">
      <c r="R218" s="1201"/>
      <c r="S218" s="1201"/>
      <c r="W218" s="1201"/>
      <c r="X218" s="1201"/>
      <c r="AE218" s="1201"/>
      <c r="AF218" s="1201"/>
      <c r="AV218" s="1201"/>
      <c r="AW218" s="1201"/>
      <c r="AX218" s="1201"/>
      <c r="AY218" s="1201"/>
      <c r="AZ218" s="1201"/>
      <c r="BA218" s="1201"/>
      <c r="BC218" s="1201"/>
      <c r="BE218" s="1201"/>
      <c r="BF218" s="1201"/>
      <c r="BG218" s="1201"/>
    </row>
    <row r="219" spans="18:59" x14ac:dyDescent="0.35">
      <c r="R219" s="1201"/>
      <c r="S219" s="1201"/>
      <c r="W219" s="1201"/>
      <c r="X219" s="1201"/>
      <c r="AE219" s="1201"/>
      <c r="AF219" s="1201"/>
      <c r="AV219" s="1201"/>
      <c r="AW219" s="1201"/>
      <c r="AX219" s="1201"/>
      <c r="AY219" s="1201"/>
      <c r="AZ219" s="1201"/>
      <c r="BA219" s="1201"/>
      <c r="BC219" s="1201"/>
      <c r="BE219" s="1201"/>
      <c r="BF219" s="1201"/>
      <c r="BG219" s="1201"/>
    </row>
    <row r="220" spans="18:59" x14ac:dyDescent="0.35">
      <c r="R220" s="1201"/>
      <c r="S220" s="1201"/>
      <c r="W220" s="1201"/>
      <c r="X220" s="1201"/>
      <c r="AE220" s="1201"/>
      <c r="AF220" s="1201"/>
      <c r="AV220" s="1201"/>
      <c r="AW220" s="1201"/>
      <c r="AX220" s="1201"/>
      <c r="AY220" s="1201"/>
      <c r="AZ220" s="1201"/>
      <c r="BA220" s="1201"/>
      <c r="BC220" s="1201"/>
      <c r="BE220" s="1201"/>
      <c r="BF220" s="1201"/>
      <c r="BG220" s="1201"/>
    </row>
    <row r="221" spans="18:59" x14ac:dyDescent="0.35">
      <c r="R221" s="1201"/>
      <c r="S221" s="1201"/>
      <c r="W221" s="1201"/>
      <c r="X221" s="1201"/>
      <c r="AE221" s="1201"/>
      <c r="AF221" s="1201"/>
      <c r="AV221" s="1201"/>
      <c r="AW221" s="1201"/>
      <c r="AX221" s="1201"/>
      <c r="AY221" s="1201"/>
      <c r="AZ221" s="1201"/>
      <c r="BA221" s="1201"/>
      <c r="BC221" s="1201"/>
      <c r="BE221" s="1201"/>
      <c r="BF221" s="1201"/>
      <c r="BG221" s="1201"/>
    </row>
    <row r="222" spans="18:59" x14ac:dyDescent="0.35">
      <c r="R222" s="1201"/>
      <c r="S222" s="1201"/>
      <c r="W222" s="1201"/>
      <c r="X222" s="1201"/>
      <c r="AE222" s="1201"/>
      <c r="AF222" s="1201"/>
      <c r="AV222" s="1201"/>
      <c r="AW222" s="1201"/>
      <c r="AX222" s="1201"/>
      <c r="AY222" s="1201"/>
      <c r="AZ222" s="1201"/>
      <c r="BA222" s="1201"/>
      <c r="BC222" s="1201"/>
      <c r="BE222" s="1201"/>
      <c r="BF222" s="1201"/>
      <c r="BG222" s="1201"/>
    </row>
    <row r="223" spans="18:59" x14ac:dyDescent="0.35">
      <c r="R223" s="1201"/>
      <c r="S223" s="1201"/>
      <c r="W223" s="1201"/>
      <c r="X223" s="1201"/>
      <c r="AE223" s="1201"/>
      <c r="AF223" s="1201"/>
      <c r="AV223" s="1201"/>
      <c r="AW223" s="1201"/>
      <c r="AX223" s="1201"/>
      <c r="AY223" s="1201"/>
      <c r="AZ223" s="1201"/>
      <c r="BA223" s="1201"/>
      <c r="BC223" s="1201"/>
      <c r="BE223" s="1201"/>
      <c r="BF223" s="1201"/>
      <c r="BG223" s="1201"/>
    </row>
    <row r="224" spans="18:59" x14ac:dyDescent="0.35">
      <c r="R224" s="1201"/>
      <c r="S224" s="1201"/>
      <c r="W224" s="1201"/>
      <c r="X224" s="1201"/>
      <c r="AE224" s="1201"/>
      <c r="AF224" s="1201"/>
      <c r="AV224" s="1201"/>
      <c r="AW224" s="1201"/>
      <c r="AX224" s="1201"/>
      <c r="AY224" s="1201"/>
      <c r="AZ224" s="1201"/>
      <c r="BA224" s="1201"/>
      <c r="BC224" s="1201"/>
      <c r="BE224" s="1201"/>
      <c r="BF224" s="1201"/>
      <c r="BG224" s="1201"/>
    </row>
    <row r="225" spans="18:59" x14ac:dyDescent="0.35">
      <c r="R225" s="1201"/>
      <c r="S225" s="1201"/>
      <c r="W225" s="1201"/>
      <c r="X225" s="1201"/>
      <c r="AE225" s="1201"/>
      <c r="AF225" s="1201"/>
      <c r="AV225" s="1201"/>
      <c r="AW225" s="1201"/>
      <c r="AX225" s="1201"/>
      <c r="AY225" s="1201"/>
      <c r="AZ225" s="1201"/>
      <c r="BA225" s="1201"/>
      <c r="BC225" s="1201"/>
      <c r="BE225" s="1201"/>
      <c r="BF225" s="1201"/>
      <c r="BG225" s="1201"/>
    </row>
    <row r="226" spans="18:59" x14ac:dyDescent="0.35">
      <c r="R226" s="1201"/>
      <c r="S226" s="1201"/>
      <c r="W226" s="1201"/>
      <c r="X226" s="1201"/>
      <c r="AE226" s="1201"/>
      <c r="AF226" s="1201"/>
      <c r="AV226" s="1201"/>
      <c r="AW226" s="1201"/>
      <c r="AX226" s="1201"/>
      <c r="AY226" s="1201"/>
      <c r="AZ226" s="1201"/>
      <c r="BA226" s="1201"/>
      <c r="BC226" s="1201"/>
      <c r="BE226" s="1201"/>
      <c r="BF226" s="1201"/>
      <c r="BG226" s="1201"/>
    </row>
    <row r="227" spans="18:59" x14ac:dyDescent="0.35">
      <c r="R227" s="1201"/>
      <c r="S227" s="1201"/>
      <c r="W227" s="1201"/>
      <c r="X227" s="1201"/>
      <c r="AE227" s="1201"/>
      <c r="AF227" s="1201"/>
      <c r="AV227" s="1201"/>
      <c r="AW227" s="1201"/>
      <c r="AX227" s="1201"/>
      <c r="AY227" s="1201"/>
      <c r="AZ227" s="1201"/>
      <c r="BA227" s="1201"/>
      <c r="BC227" s="1201"/>
      <c r="BE227" s="1201"/>
      <c r="BF227" s="1201"/>
      <c r="BG227" s="1201"/>
    </row>
    <row r="228" spans="18:59" x14ac:dyDescent="0.35">
      <c r="R228" s="1201"/>
      <c r="S228" s="1201"/>
      <c r="W228" s="1201"/>
      <c r="X228" s="1201"/>
      <c r="AE228" s="1201"/>
      <c r="AF228" s="1201"/>
      <c r="AV228" s="1201"/>
      <c r="AW228" s="1201"/>
      <c r="AX228" s="1201"/>
      <c r="AY228" s="1201"/>
      <c r="AZ228" s="1201"/>
      <c r="BA228" s="1201"/>
      <c r="BC228" s="1201"/>
      <c r="BE228" s="1201"/>
      <c r="BF228" s="1201"/>
      <c r="BG228" s="1201"/>
    </row>
    <row r="229" spans="18:59" x14ac:dyDescent="0.35">
      <c r="R229" s="1201"/>
      <c r="S229" s="1201"/>
      <c r="W229" s="1201"/>
      <c r="X229" s="1201"/>
      <c r="AE229" s="1201"/>
      <c r="AF229" s="1201"/>
      <c r="AV229" s="1201"/>
      <c r="AW229" s="1201"/>
      <c r="AX229" s="1201"/>
      <c r="AY229" s="1201"/>
      <c r="AZ229" s="1201"/>
      <c r="BA229" s="1201"/>
      <c r="BC229" s="1201"/>
      <c r="BE229" s="1201"/>
      <c r="BF229" s="1201"/>
      <c r="BG229" s="1201"/>
    </row>
    <row r="230" spans="18:59" x14ac:dyDescent="0.35">
      <c r="R230" s="1201"/>
      <c r="S230" s="1201"/>
      <c r="W230" s="1201"/>
      <c r="X230" s="1201"/>
      <c r="AE230" s="1201"/>
      <c r="AF230" s="1201"/>
      <c r="AV230" s="1201"/>
      <c r="AW230" s="1201"/>
      <c r="AX230" s="1201"/>
      <c r="AY230" s="1201"/>
      <c r="AZ230" s="1201"/>
      <c r="BA230" s="1201"/>
      <c r="BC230" s="1201"/>
      <c r="BE230" s="1201"/>
      <c r="BF230" s="1201"/>
      <c r="BG230" s="1201"/>
    </row>
    <row r="231" spans="18:59" x14ac:dyDescent="0.35">
      <c r="R231" s="1201"/>
      <c r="S231" s="1201"/>
      <c r="W231" s="1201"/>
      <c r="X231" s="1201"/>
      <c r="AE231" s="1201"/>
      <c r="AF231" s="1201"/>
      <c r="AV231" s="1201"/>
      <c r="AW231" s="1201"/>
      <c r="AX231" s="1201"/>
      <c r="AY231" s="1201"/>
      <c r="AZ231" s="1201"/>
      <c r="BA231" s="1201"/>
      <c r="BC231" s="1201"/>
      <c r="BE231" s="1201"/>
      <c r="BF231" s="1201"/>
      <c r="BG231" s="1201"/>
    </row>
    <row r="232" spans="18:59" x14ac:dyDescent="0.35">
      <c r="R232" s="1201"/>
      <c r="S232" s="1201"/>
      <c r="W232" s="1201"/>
      <c r="X232" s="1201"/>
      <c r="AE232" s="1201"/>
      <c r="AF232" s="1201"/>
      <c r="AV232" s="1201"/>
      <c r="AW232" s="1201"/>
      <c r="AX232" s="1201"/>
      <c r="AY232" s="1201"/>
      <c r="AZ232" s="1201"/>
      <c r="BA232" s="1201"/>
      <c r="BC232" s="1201"/>
      <c r="BE232" s="1201"/>
      <c r="BF232" s="1201"/>
      <c r="BG232" s="1201"/>
    </row>
    <row r="233" spans="18:59" x14ac:dyDescent="0.35">
      <c r="R233" s="1201"/>
      <c r="S233" s="1201"/>
      <c r="W233" s="1201"/>
      <c r="X233" s="1201"/>
      <c r="AE233" s="1201"/>
      <c r="AF233" s="1201"/>
      <c r="AV233" s="1201"/>
      <c r="AW233" s="1201"/>
      <c r="AX233" s="1201"/>
      <c r="AY233" s="1201"/>
      <c r="AZ233" s="1201"/>
      <c r="BA233" s="1201"/>
      <c r="BC233" s="1201"/>
      <c r="BE233" s="1201"/>
      <c r="BF233" s="1201"/>
      <c r="BG233" s="1201"/>
    </row>
    <row r="234" spans="18:59" x14ac:dyDescent="0.35">
      <c r="R234" s="1201"/>
      <c r="S234" s="1201"/>
      <c r="W234" s="1201"/>
      <c r="X234" s="1201"/>
      <c r="AE234" s="1201"/>
      <c r="AF234" s="1201"/>
      <c r="AV234" s="1201"/>
      <c r="AW234" s="1201"/>
      <c r="AX234" s="1201"/>
      <c r="AY234" s="1201"/>
      <c r="AZ234" s="1201"/>
      <c r="BA234" s="1201"/>
      <c r="BC234" s="1201"/>
      <c r="BE234" s="1201"/>
      <c r="BF234" s="1201"/>
      <c r="BG234" s="1201"/>
    </row>
    <row r="235" spans="18:59" x14ac:dyDescent="0.35">
      <c r="R235" s="1201"/>
      <c r="S235" s="1201"/>
      <c r="W235" s="1201"/>
      <c r="X235" s="1201"/>
      <c r="AE235" s="1201"/>
      <c r="AF235" s="1201"/>
      <c r="AV235" s="1201"/>
      <c r="AW235" s="1201"/>
      <c r="AX235" s="1201"/>
      <c r="AY235" s="1201"/>
      <c r="AZ235" s="1201"/>
      <c r="BA235" s="1201"/>
      <c r="BC235" s="1201"/>
      <c r="BE235" s="1201"/>
      <c r="BF235" s="1201"/>
      <c r="BG235" s="1201"/>
    </row>
    <row r="236" spans="18:59" x14ac:dyDescent="0.35">
      <c r="R236" s="1201"/>
      <c r="S236" s="1201"/>
      <c r="W236" s="1201"/>
      <c r="X236" s="1201"/>
      <c r="AE236" s="1201"/>
      <c r="AF236" s="1201"/>
      <c r="AV236" s="1201"/>
      <c r="AW236" s="1201"/>
      <c r="AX236" s="1201"/>
      <c r="AY236" s="1201"/>
      <c r="AZ236" s="1201"/>
      <c r="BA236" s="1201"/>
      <c r="BC236" s="1201"/>
      <c r="BE236" s="1201"/>
      <c r="BF236" s="1201"/>
      <c r="BG236" s="1201"/>
    </row>
    <row r="237" spans="18:59" x14ac:dyDescent="0.35">
      <c r="R237" s="1201"/>
      <c r="S237" s="1201"/>
      <c r="W237" s="1201"/>
      <c r="X237" s="1201"/>
      <c r="AE237" s="1201"/>
      <c r="AF237" s="1201"/>
      <c r="AV237" s="1201"/>
      <c r="AW237" s="1201"/>
      <c r="AX237" s="1201"/>
      <c r="AY237" s="1201"/>
      <c r="AZ237" s="1201"/>
      <c r="BA237" s="1201"/>
      <c r="BC237" s="1201"/>
      <c r="BE237" s="1201"/>
      <c r="BF237" s="1201"/>
      <c r="BG237" s="1201"/>
    </row>
    <row r="238" spans="18:59" x14ac:dyDescent="0.35">
      <c r="R238" s="1201"/>
      <c r="S238" s="1201"/>
      <c r="W238" s="1201"/>
      <c r="X238" s="1201"/>
      <c r="AE238" s="1201"/>
      <c r="AF238" s="1201"/>
      <c r="AV238" s="1201"/>
      <c r="AW238" s="1201"/>
      <c r="AX238" s="1201"/>
      <c r="AY238" s="1201"/>
      <c r="AZ238" s="1201"/>
      <c r="BA238" s="1201"/>
      <c r="BC238" s="1201"/>
      <c r="BE238" s="1201"/>
      <c r="BF238" s="1201"/>
      <c r="BG238" s="1201"/>
    </row>
    <row r="239" spans="18:59" x14ac:dyDescent="0.35">
      <c r="R239" s="1201"/>
      <c r="S239" s="1201"/>
      <c r="W239" s="1201"/>
      <c r="X239" s="1201"/>
      <c r="AE239" s="1201"/>
      <c r="AF239" s="1201"/>
      <c r="AV239" s="1201"/>
      <c r="AW239" s="1201"/>
      <c r="AX239" s="1201"/>
      <c r="AY239" s="1201"/>
      <c r="AZ239" s="1201"/>
      <c r="BA239" s="1201"/>
      <c r="BC239" s="1201"/>
      <c r="BE239" s="1201"/>
      <c r="BF239" s="1201"/>
      <c r="BG239" s="1201"/>
    </row>
    <row r="240" spans="18:59" x14ac:dyDescent="0.35">
      <c r="R240" s="1201"/>
      <c r="S240" s="1201"/>
      <c r="W240" s="1201"/>
      <c r="X240" s="1201"/>
      <c r="AE240" s="1201"/>
      <c r="AF240" s="1201"/>
      <c r="AV240" s="1201"/>
      <c r="AW240" s="1201"/>
      <c r="AX240" s="1201"/>
      <c r="AY240" s="1201"/>
      <c r="AZ240" s="1201"/>
      <c r="BA240" s="1201"/>
      <c r="BC240" s="1201"/>
      <c r="BE240" s="1201"/>
      <c r="BF240" s="1201"/>
      <c r="BG240" s="1201"/>
    </row>
    <row r="241" spans="18:59" x14ac:dyDescent="0.35">
      <c r="R241" s="1201"/>
      <c r="S241" s="1201"/>
      <c r="W241" s="1201"/>
      <c r="X241" s="1201"/>
      <c r="AE241" s="1201"/>
      <c r="AF241" s="1201"/>
      <c r="AV241" s="1201"/>
      <c r="AW241" s="1201"/>
      <c r="AX241" s="1201"/>
      <c r="AY241" s="1201"/>
      <c r="AZ241" s="1201"/>
      <c r="BA241" s="1201"/>
      <c r="BC241" s="1201"/>
      <c r="BE241" s="1201"/>
      <c r="BF241" s="1201"/>
      <c r="BG241" s="1201"/>
    </row>
    <row r="242" spans="18:59" x14ac:dyDescent="0.35">
      <c r="R242" s="1201"/>
      <c r="S242" s="1201"/>
      <c r="W242" s="1201"/>
      <c r="X242" s="1201"/>
      <c r="AE242" s="1201"/>
      <c r="AF242" s="1201"/>
      <c r="AV242" s="1201"/>
      <c r="AW242" s="1201"/>
      <c r="AX242" s="1201"/>
      <c r="AY242" s="1201"/>
      <c r="AZ242" s="1201"/>
      <c r="BA242" s="1201"/>
      <c r="BC242" s="1201"/>
      <c r="BE242" s="1201"/>
      <c r="BF242" s="1201"/>
      <c r="BG242" s="1201"/>
    </row>
    <row r="243" spans="18:59" x14ac:dyDescent="0.35">
      <c r="R243" s="1201"/>
      <c r="S243" s="1201"/>
      <c r="W243" s="1201"/>
      <c r="X243" s="1201"/>
      <c r="AE243" s="1201"/>
      <c r="AF243" s="1201"/>
      <c r="AV243" s="1201"/>
      <c r="AW243" s="1201"/>
      <c r="AX243" s="1201"/>
      <c r="AY243" s="1201"/>
      <c r="AZ243" s="1201"/>
      <c r="BA243" s="1201"/>
      <c r="BC243" s="1201"/>
      <c r="BE243" s="1201"/>
      <c r="BF243" s="1201"/>
      <c r="BG243" s="1201"/>
    </row>
    <row r="244" spans="18:59" x14ac:dyDescent="0.35">
      <c r="R244" s="1201"/>
      <c r="S244" s="1201"/>
      <c r="W244" s="1201"/>
      <c r="X244" s="1201"/>
      <c r="AE244" s="1201"/>
      <c r="AF244" s="1201"/>
      <c r="AV244" s="1201"/>
      <c r="AW244" s="1201"/>
      <c r="AX244" s="1201"/>
      <c r="AY244" s="1201"/>
      <c r="AZ244" s="1201"/>
      <c r="BA244" s="1201"/>
      <c r="BC244" s="1201"/>
      <c r="BE244" s="1201"/>
      <c r="BF244" s="1201"/>
      <c r="BG244" s="1201"/>
    </row>
    <row r="245" spans="18:59" x14ac:dyDescent="0.35">
      <c r="R245" s="1201"/>
      <c r="S245" s="1201"/>
      <c r="W245" s="1201"/>
      <c r="X245" s="1201"/>
      <c r="AE245" s="1201"/>
      <c r="AF245" s="1201"/>
      <c r="AV245" s="1201"/>
      <c r="AW245" s="1201"/>
      <c r="AX245" s="1201"/>
      <c r="AY245" s="1201"/>
      <c r="AZ245" s="1201"/>
      <c r="BA245" s="1201"/>
      <c r="BC245" s="1201"/>
      <c r="BE245" s="1201"/>
      <c r="BF245" s="1201"/>
      <c r="BG245" s="1201"/>
    </row>
    <row r="246" spans="18:59" x14ac:dyDescent="0.35">
      <c r="R246" s="1201"/>
      <c r="S246" s="1201"/>
      <c r="W246" s="1201"/>
      <c r="X246" s="1201"/>
      <c r="AE246" s="1201"/>
      <c r="AF246" s="1201"/>
      <c r="AV246" s="1201"/>
      <c r="AW246" s="1201"/>
      <c r="AX246" s="1201"/>
      <c r="AY246" s="1201"/>
      <c r="AZ246" s="1201"/>
      <c r="BA246" s="1201"/>
      <c r="BC246" s="1201"/>
      <c r="BE246" s="1201"/>
      <c r="BF246" s="1201"/>
      <c r="BG246" s="1201"/>
    </row>
    <row r="247" spans="18:59" x14ac:dyDescent="0.35">
      <c r="R247" s="1201"/>
      <c r="S247" s="1201"/>
      <c r="W247" s="1201"/>
      <c r="X247" s="1201"/>
      <c r="AE247" s="1201"/>
      <c r="AF247" s="1201"/>
      <c r="AV247" s="1201"/>
      <c r="AW247" s="1201"/>
      <c r="AX247" s="1201"/>
      <c r="AY247" s="1201"/>
      <c r="AZ247" s="1201"/>
      <c r="BA247" s="1201"/>
      <c r="BC247" s="1201"/>
      <c r="BE247" s="1201"/>
      <c r="BF247" s="1201"/>
      <c r="BG247" s="1201"/>
    </row>
    <row r="248" spans="18:59" x14ac:dyDescent="0.35">
      <c r="R248" s="1201"/>
      <c r="S248" s="1201"/>
      <c r="W248" s="1201"/>
      <c r="X248" s="1201"/>
      <c r="AE248" s="1201"/>
      <c r="AF248" s="1201"/>
      <c r="AV248" s="1201"/>
      <c r="AW248" s="1201"/>
      <c r="AX248" s="1201"/>
      <c r="AY248" s="1201"/>
      <c r="AZ248" s="1201"/>
      <c r="BA248" s="1201"/>
      <c r="BC248" s="1201"/>
      <c r="BE248" s="1201"/>
      <c r="BF248" s="1201"/>
      <c r="BG248" s="1201"/>
    </row>
    <row r="249" spans="18:59" x14ac:dyDescent="0.35">
      <c r="R249" s="1201"/>
      <c r="S249" s="1201"/>
      <c r="W249" s="1201"/>
      <c r="X249" s="1201"/>
      <c r="AE249" s="1201"/>
      <c r="AF249" s="1201"/>
      <c r="AV249" s="1201"/>
      <c r="AW249" s="1201"/>
      <c r="AX249" s="1201"/>
      <c r="AY249" s="1201"/>
      <c r="AZ249" s="1201"/>
      <c r="BA249" s="1201"/>
      <c r="BC249" s="1201"/>
      <c r="BE249" s="1201"/>
      <c r="BF249" s="1201"/>
      <c r="BG249" s="1201"/>
    </row>
    <row r="250" spans="18:59" x14ac:dyDescent="0.35">
      <c r="R250" s="1201"/>
      <c r="S250" s="1201"/>
      <c r="W250" s="1201"/>
      <c r="X250" s="1201"/>
      <c r="AE250" s="1201"/>
      <c r="AF250" s="1201"/>
      <c r="AV250" s="1201"/>
      <c r="AW250" s="1201"/>
      <c r="AX250" s="1201"/>
      <c r="AY250" s="1201"/>
      <c r="AZ250" s="1201"/>
      <c r="BA250" s="1201"/>
      <c r="BC250" s="1201"/>
      <c r="BE250" s="1201"/>
      <c r="BF250" s="1201"/>
      <c r="BG250" s="1201"/>
    </row>
    <row r="251" spans="18:59" x14ac:dyDescent="0.35">
      <c r="R251" s="1201"/>
      <c r="S251" s="1201"/>
      <c r="W251" s="1201"/>
      <c r="X251" s="1201"/>
      <c r="AE251" s="1201"/>
      <c r="AF251" s="1201"/>
      <c r="AV251" s="1201"/>
      <c r="AW251" s="1201"/>
      <c r="AX251" s="1201"/>
      <c r="AY251" s="1201"/>
      <c r="AZ251" s="1201"/>
      <c r="BA251" s="1201"/>
      <c r="BC251" s="1201"/>
      <c r="BE251" s="1201"/>
      <c r="BF251" s="1201"/>
      <c r="BG251" s="1201"/>
    </row>
    <row r="252" spans="18:59" x14ac:dyDescent="0.35">
      <c r="R252" s="1201"/>
      <c r="S252" s="1201"/>
      <c r="W252" s="1201"/>
      <c r="X252" s="1201"/>
      <c r="AE252" s="1201"/>
      <c r="AF252" s="1201"/>
      <c r="AV252" s="1201"/>
      <c r="AW252" s="1201"/>
      <c r="AX252" s="1201"/>
      <c r="AY252" s="1201"/>
      <c r="AZ252" s="1201"/>
      <c r="BA252" s="1201"/>
      <c r="BC252" s="1201"/>
      <c r="BE252" s="1201"/>
      <c r="BF252" s="1201"/>
      <c r="BG252" s="1201"/>
    </row>
    <row r="253" spans="18:59" x14ac:dyDescent="0.35">
      <c r="R253" s="1201"/>
      <c r="S253" s="1201"/>
      <c r="W253" s="1201"/>
      <c r="X253" s="1201"/>
      <c r="AE253" s="1201"/>
      <c r="AF253" s="1201"/>
      <c r="AV253" s="1201"/>
      <c r="AW253" s="1201"/>
      <c r="AX253" s="1201"/>
      <c r="AY253" s="1201"/>
      <c r="AZ253" s="1201"/>
      <c r="BA253" s="1201"/>
      <c r="BC253" s="1201"/>
      <c r="BE253" s="1201"/>
      <c r="BF253" s="1201"/>
      <c r="BG253" s="1201"/>
    </row>
    <row r="254" spans="18:59" x14ac:dyDescent="0.35">
      <c r="R254" s="1201"/>
      <c r="S254" s="1201"/>
      <c r="W254" s="1201"/>
      <c r="X254" s="1201"/>
      <c r="AE254" s="1201"/>
      <c r="AF254" s="1201"/>
      <c r="AV254" s="1201"/>
      <c r="AW254" s="1201"/>
      <c r="AX254" s="1201"/>
      <c r="AY254" s="1201"/>
      <c r="AZ254" s="1201"/>
      <c r="BA254" s="1201"/>
      <c r="BC254" s="1201"/>
      <c r="BE254" s="1201"/>
      <c r="BF254" s="1201"/>
      <c r="BG254" s="1201"/>
    </row>
    <row r="255" spans="18:59" x14ac:dyDescent="0.35">
      <c r="R255" s="1201"/>
      <c r="S255" s="1201"/>
      <c r="W255" s="1201"/>
      <c r="X255" s="1201"/>
      <c r="AE255" s="1201"/>
      <c r="AF255" s="1201"/>
      <c r="AV255" s="1201"/>
      <c r="AW255" s="1201"/>
      <c r="AX255" s="1201"/>
      <c r="AY255" s="1201"/>
      <c r="AZ255" s="1201"/>
      <c r="BA255" s="1201"/>
      <c r="BC255" s="1201"/>
      <c r="BE255" s="1201"/>
      <c r="BF255" s="1201"/>
      <c r="BG255" s="1201"/>
    </row>
    <row r="256" spans="18:59" x14ac:dyDescent="0.35">
      <c r="R256" s="1201"/>
      <c r="S256" s="1201"/>
      <c r="W256" s="1201"/>
      <c r="X256" s="1201"/>
      <c r="AE256" s="1201"/>
      <c r="AF256" s="1201"/>
      <c r="AV256" s="1201"/>
      <c r="AW256" s="1201"/>
      <c r="AX256" s="1201"/>
      <c r="AY256" s="1201"/>
      <c r="AZ256" s="1201"/>
      <c r="BA256" s="1201"/>
      <c r="BC256" s="1201"/>
      <c r="BE256" s="1201"/>
      <c r="BF256" s="1201"/>
      <c r="BG256" s="1201"/>
    </row>
    <row r="257" spans="18:59" x14ac:dyDescent="0.35">
      <c r="R257" s="1201"/>
      <c r="S257" s="1201"/>
      <c r="W257" s="1201"/>
      <c r="X257" s="1201"/>
      <c r="AE257" s="1201"/>
      <c r="AF257" s="1201"/>
      <c r="AV257" s="1201"/>
      <c r="AW257" s="1201"/>
      <c r="AX257" s="1201"/>
      <c r="AY257" s="1201"/>
      <c r="AZ257" s="1201"/>
      <c r="BA257" s="1201"/>
      <c r="BC257" s="1201"/>
      <c r="BE257" s="1201"/>
      <c r="BF257" s="1201"/>
      <c r="BG257" s="1201"/>
    </row>
    <row r="258" spans="18:59" x14ac:dyDescent="0.35">
      <c r="R258" s="1201"/>
      <c r="S258" s="1201"/>
      <c r="W258" s="1201"/>
      <c r="X258" s="1201"/>
      <c r="AE258" s="1201"/>
      <c r="AF258" s="1201"/>
      <c r="AV258" s="1201"/>
      <c r="AW258" s="1201"/>
      <c r="AX258" s="1201"/>
      <c r="AY258" s="1201"/>
      <c r="AZ258" s="1201"/>
      <c r="BA258" s="1201"/>
      <c r="BC258" s="1201"/>
      <c r="BE258" s="1201"/>
      <c r="BF258" s="1201"/>
      <c r="BG258" s="1201"/>
    </row>
    <row r="259" spans="18:59" x14ac:dyDescent="0.35">
      <c r="R259" s="1201"/>
      <c r="S259" s="1201"/>
      <c r="W259" s="1201"/>
      <c r="X259" s="1201"/>
      <c r="AE259" s="1201"/>
      <c r="AF259" s="1201"/>
      <c r="AV259" s="1201"/>
      <c r="AW259" s="1201"/>
      <c r="AX259" s="1201"/>
      <c r="AY259" s="1201"/>
      <c r="AZ259" s="1201"/>
      <c r="BA259" s="1201"/>
      <c r="BC259" s="1201"/>
      <c r="BE259" s="1201"/>
      <c r="BF259" s="1201"/>
      <c r="BG259" s="1201"/>
    </row>
    <row r="260" spans="18:59" x14ac:dyDescent="0.35">
      <c r="R260" s="1201"/>
      <c r="S260" s="1201"/>
      <c r="W260" s="1201"/>
      <c r="X260" s="1201"/>
      <c r="AE260" s="1201"/>
      <c r="AF260" s="1201"/>
      <c r="AV260" s="1201"/>
      <c r="AW260" s="1201"/>
      <c r="AX260" s="1201"/>
      <c r="AY260" s="1201"/>
      <c r="AZ260" s="1201"/>
      <c r="BA260" s="1201"/>
      <c r="BC260" s="1201"/>
      <c r="BE260" s="1201"/>
      <c r="BF260" s="1201"/>
      <c r="BG260" s="1201"/>
    </row>
    <row r="261" spans="18:59" x14ac:dyDescent="0.35">
      <c r="R261" s="1201"/>
      <c r="S261" s="1201"/>
      <c r="W261" s="1201"/>
      <c r="X261" s="1201"/>
      <c r="AE261" s="1201"/>
      <c r="AF261" s="1201"/>
      <c r="AV261" s="1201"/>
      <c r="AW261" s="1201"/>
      <c r="AX261" s="1201"/>
      <c r="AY261" s="1201"/>
      <c r="AZ261" s="1201"/>
      <c r="BA261" s="1201"/>
      <c r="BC261" s="1201"/>
      <c r="BE261" s="1201"/>
      <c r="BF261" s="1201"/>
      <c r="BG261" s="1201"/>
    </row>
    <row r="262" spans="18:59" x14ac:dyDescent="0.35">
      <c r="R262" s="1201"/>
      <c r="S262" s="1201"/>
      <c r="W262" s="1201"/>
      <c r="X262" s="1201"/>
      <c r="AE262" s="1201"/>
      <c r="AF262" s="1201"/>
      <c r="AV262" s="1201"/>
      <c r="AW262" s="1201"/>
      <c r="AX262" s="1201"/>
      <c r="AY262" s="1201"/>
      <c r="AZ262" s="1201"/>
      <c r="BA262" s="1201"/>
      <c r="BC262" s="1201"/>
      <c r="BE262" s="1201"/>
      <c r="BF262" s="1201"/>
      <c r="BG262" s="1201"/>
    </row>
    <row r="263" spans="18:59" x14ac:dyDescent="0.35">
      <c r="R263" s="1201"/>
      <c r="S263" s="1201"/>
      <c r="W263" s="1201"/>
      <c r="X263" s="1201"/>
      <c r="AE263" s="1201"/>
      <c r="AF263" s="1201"/>
      <c r="AV263" s="1201"/>
      <c r="AW263" s="1201"/>
      <c r="AX263" s="1201"/>
      <c r="AY263" s="1201"/>
      <c r="AZ263" s="1201"/>
      <c r="BA263" s="1201"/>
      <c r="BC263" s="1201"/>
      <c r="BE263" s="1201"/>
      <c r="BF263" s="1201"/>
      <c r="BG263" s="1201"/>
    </row>
    <row r="264" spans="18:59" x14ac:dyDescent="0.35">
      <c r="R264" s="1201"/>
      <c r="S264" s="1201"/>
      <c r="W264" s="1201"/>
      <c r="X264" s="1201"/>
      <c r="AE264" s="1201"/>
      <c r="AF264" s="1201"/>
      <c r="AV264" s="1201"/>
      <c r="AW264" s="1201"/>
      <c r="AX264" s="1201"/>
      <c r="AY264" s="1201"/>
      <c r="AZ264" s="1201"/>
      <c r="BA264" s="1201"/>
      <c r="BC264" s="1201"/>
      <c r="BE264" s="1201"/>
      <c r="BF264" s="1201"/>
      <c r="BG264" s="1201"/>
    </row>
    <row r="265" spans="18:59" x14ac:dyDescent="0.35">
      <c r="R265" s="1201"/>
      <c r="S265" s="1201"/>
      <c r="W265" s="1201"/>
      <c r="X265" s="1201"/>
      <c r="AE265" s="1201"/>
      <c r="AF265" s="1201"/>
      <c r="AV265" s="1201"/>
      <c r="AW265" s="1201"/>
      <c r="AX265" s="1201"/>
      <c r="AY265" s="1201"/>
      <c r="AZ265" s="1201"/>
      <c r="BA265" s="1201"/>
      <c r="BC265" s="1201"/>
      <c r="BE265" s="1201"/>
      <c r="BF265" s="1201"/>
      <c r="BG265" s="1201"/>
    </row>
    <row r="266" spans="18:59" x14ac:dyDescent="0.35">
      <c r="R266" s="1201"/>
      <c r="S266" s="1201"/>
      <c r="W266" s="1201"/>
      <c r="X266" s="1201"/>
      <c r="AE266" s="1201"/>
      <c r="AF266" s="1201"/>
      <c r="AV266" s="1201"/>
      <c r="AW266" s="1201"/>
      <c r="AX266" s="1201"/>
      <c r="AY266" s="1201"/>
      <c r="AZ266" s="1201"/>
      <c r="BA266" s="1201"/>
      <c r="BC266" s="1201"/>
      <c r="BE266" s="1201"/>
      <c r="BF266" s="1201"/>
      <c r="BG266" s="1201"/>
    </row>
    <row r="267" spans="18:59" x14ac:dyDescent="0.35">
      <c r="R267" s="1201"/>
      <c r="S267" s="1201"/>
      <c r="W267" s="1201"/>
      <c r="X267" s="1201"/>
      <c r="AE267" s="1201"/>
      <c r="AF267" s="1201"/>
      <c r="AV267" s="1201"/>
      <c r="AW267" s="1201"/>
      <c r="AX267" s="1201"/>
      <c r="AY267" s="1201"/>
      <c r="AZ267" s="1201"/>
      <c r="BA267" s="1201"/>
      <c r="BC267" s="1201"/>
      <c r="BE267" s="1201"/>
      <c r="BF267" s="1201"/>
      <c r="BG267" s="1201"/>
    </row>
    <row r="268" spans="18:59" x14ac:dyDescent="0.35">
      <c r="R268" s="1201"/>
      <c r="S268" s="1201"/>
      <c r="W268" s="1201"/>
      <c r="X268" s="1201"/>
      <c r="AE268" s="1201"/>
      <c r="AF268" s="1201"/>
      <c r="AV268" s="1201"/>
      <c r="AW268" s="1201"/>
      <c r="AX268" s="1201"/>
      <c r="AY268" s="1201"/>
      <c r="AZ268" s="1201"/>
      <c r="BA268" s="1201"/>
      <c r="BC268" s="1201"/>
      <c r="BE268" s="1201"/>
      <c r="BF268" s="1201"/>
      <c r="BG268" s="1201"/>
    </row>
    <row r="269" spans="18:59" x14ac:dyDescent="0.35">
      <c r="R269" s="1201"/>
      <c r="S269" s="1201"/>
      <c r="W269" s="1201"/>
      <c r="X269" s="1201"/>
      <c r="AE269" s="1201"/>
      <c r="AF269" s="1201"/>
      <c r="AV269" s="1201"/>
      <c r="AW269" s="1201"/>
      <c r="AX269" s="1201"/>
      <c r="AY269" s="1201"/>
      <c r="AZ269" s="1201"/>
      <c r="BA269" s="1201"/>
      <c r="BC269" s="1201"/>
      <c r="BE269" s="1201"/>
      <c r="BF269" s="1201"/>
      <c r="BG269" s="1201"/>
    </row>
    <row r="270" spans="18:59" x14ac:dyDescent="0.35">
      <c r="R270" s="1201"/>
      <c r="S270" s="1201"/>
      <c r="W270" s="1201"/>
      <c r="X270" s="1201"/>
      <c r="AE270" s="1201"/>
      <c r="AF270" s="1201"/>
      <c r="AV270" s="1201"/>
      <c r="AW270" s="1201"/>
      <c r="AX270" s="1201"/>
      <c r="AY270" s="1201"/>
      <c r="AZ270" s="1201"/>
      <c r="BA270" s="1201"/>
      <c r="BC270" s="1201"/>
      <c r="BE270" s="1201"/>
      <c r="BF270" s="1201"/>
      <c r="BG270" s="1201"/>
    </row>
    <row r="271" spans="18:59" x14ac:dyDescent="0.35">
      <c r="R271" s="1201"/>
      <c r="S271" s="1201"/>
      <c r="W271" s="1201"/>
      <c r="X271" s="1201"/>
      <c r="AE271" s="1201"/>
      <c r="AF271" s="1201"/>
      <c r="AV271" s="1201"/>
      <c r="AW271" s="1201"/>
      <c r="AX271" s="1201"/>
      <c r="AY271" s="1201"/>
      <c r="AZ271" s="1201"/>
      <c r="BA271" s="1201"/>
      <c r="BC271" s="1201"/>
      <c r="BE271" s="1201"/>
      <c r="BF271" s="1201"/>
      <c r="BG271" s="1201"/>
    </row>
    <row r="272" spans="18:59" x14ac:dyDescent="0.35">
      <c r="R272" s="1201"/>
      <c r="S272" s="1201"/>
      <c r="W272" s="1201"/>
      <c r="X272" s="1201"/>
      <c r="AE272" s="1201"/>
      <c r="AF272" s="1201"/>
      <c r="AV272" s="1201"/>
      <c r="AW272" s="1201"/>
      <c r="AX272" s="1201"/>
      <c r="AY272" s="1201"/>
      <c r="AZ272" s="1201"/>
      <c r="BA272" s="1201"/>
      <c r="BC272" s="1201"/>
      <c r="BE272" s="1201"/>
      <c r="BF272" s="1201"/>
      <c r="BG272" s="1201"/>
    </row>
    <row r="273" spans="18:59" x14ac:dyDescent="0.35">
      <c r="R273" s="1201"/>
      <c r="S273" s="1201"/>
      <c r="W273" s="1201"/>
      <c r="X273" s="1201"/>
      <c r="AE273" s="1201"/>
      <c r="AF273" s="1201"/>
      <c r="AV273" s="1201"/>
      <c r="AW273" s="1201"/>
      <c r="AX273" s="1201"/>
      <c r="AY273" s="1201"/>
      <c r="AZ273" s="1201"/>
      <c r="BA273" s="1201"/>
      <c r="BC273" s="1201"/>
      <c r="BE273" s="1201"/>
      <c r="BF273" s="1201"/>
      <c r="BG273" s="1201"/>
    </row>
    <row r="274" spans="18:59" x14ac:dyDescent="0.35">
      <c r="R274" s="1201"/>
      <c r="S274" s="1201"/>
      <c r="W274" s="1201"/>
      <c r="X274" s="1201"/>
      <c r="AE274" s="1201"/>
      <c r="AF274" s="1201"/>
      <c r="AV274" s="1201"/>
      <c r="AW274" s="1201"/>
      <c r="AX274" s="1201"/>
      <c r="AY274" s="1201"/>
      <c r="AZ274" s="1201"/>
      <c r="BA274" s="1201"/>
      <c r="BC274" s="1201"/>
      <c r="BE274" s="1201"/>
      <c r="BF274" s="1201"/>
      <c r="BG274" s="1201"/>
    </row>
    <row r="275" spans="18:59" x14ac:dyDescent="0.35">
      <c r="R275" s="1201"/>
      <c r="S275" s="1201"/>
      <c r="W275" s="1201"/>
      <c r="X275" s="1201"/>
      <c r="AE275" s="1201"/>
      <c r="AF275" s="1201"/>
      <c r="AV275" s="1201"/>
      <c r="AW275" s="1201"/>
      <c r="AX275" s="1201"/>
      <c r="AY275" s="1201"/>
      <c r="AZ275" s="1201"/>
      <c r="BA275" s="1201"/>
      <c r="BC275" s="1201"/>
      <c r="BE275" s="1201"/>
      <c r="BF275" s="1201"/>
      <c r="BG275" s="1201"/>
    </row>
    <row r="276" spans="18:59" x14ac:dyDescent="0.35">
      <c r="R276" s="1201"/>
      <c r="S276" s="1201"/>
      <c r="W276" s="1201"/>
      <c r="X276" s="1201"/>
      <c r="AE276" s="1201"/>
      <c r="AF276" s="1201"/>
      <c r="AV276" s="1201"/>
      <c r="AW276" s="1201"/>
      <c r="AX276" s="1201"/>
      <c r="AY276" s="1201"/>
      <c r="AZ276" s="1201"/>
      <c r="BA276" s="1201"/>
      <c r="BC276" s="1201"/>
      <c r="BE276" s="1201"/>
      <c r="BF276" s="1201"/>
      <c r="BG276" s="1201"/>
    </row>
    <row r="277" spans="18:59" x14ac:dyDescent="0.35">
      <c r="R277" s="1201"/>
      <c r="S277" s="1201"/>
      <c r="W277" s="1201"/>
      <c r="X277" s="1201"/>
      <c r="AE277" s="1201"/>
      <c r="AF277" s="1201"/>
      <c r="AV277" s="1201"/>
      <c r="AW277" s="1201"/>
      <c r="AX277" s="1201"/>
      <c r="AY277" s="1201"/>
      <c r="AZ277" s="1201"/>
      <c r="BA277" s="1201"/>
      <c r="BC277" s="1201"/>
      <c r="BE277" s="1201"/>
      <c r="BF277" s="1201"/>
      <c r="BG277" s="1201"/>
    </row>
    <row r="278" spans="18:59" x14ac:dyDescent="0.35">
      <c r="R278" s="1201"/>
      <c r="S278" s="1201"/>
      <c r="W278" s="1201"/>
      <c r="X278" s="1201"/>
      <c r="AE278" s="1201"/>
      <c r="AF278" s="1201"/>
      <c r="AV278" s="1201"/>
      <c r="AW278" s="1201"/>
      <c r="AX278" s="1201"/>
      <c r="AY278" s="1201"/>
      <c r="AZ278" s="1201"/>
      <c r="BA278" s="1201"/>
      <c r="BC278" s="1201"/>
      <c r="BE278" s="1201"/>
      <c r="BF278" s="1201"/>
      <c r="BG278" s="1201"/>
    </row>
    <row r="279" spans="18:59" x14ac:dyDescent="0.35">
      <c r="R279" s="1201"/>
      <c r="S279" s="1201"/>
      <c r="W279" s="1201"/>
      <c r="X279" s="1201"/>
      <c r="AE279" s="1201"/>
      <c r="AF279" s="1201"/>
      <c r="AV279" s="1201"/>
      <c r="AW279" s="1201"/>
      <c r="AX279" s="1201"/>
      <c r="AY279" s="1201"/>
      <c r="AZ279" s="1201"/>
      <c r="BA279" s="1201"/>
      <c r="BC279" s="1201"/>
      <c r="BE279" s="1201"/>
      <c r="BF279" s="1201"/>
      <c r="BG279" s="1201"/>
    </row>
    <row r="280" spans="18:59" x14ac:dyDescent="0.35">
      <c r="R280" s="1201"/>
      <c r="S280" s="1201"/>
      <c r="W280" s="1201"/>
      <c r="X280" s="1201"/>
      <c r="AE280" s="1201"/>
      <c r="AF280" s="1201"/>
      <c r="AV280" s="1201"/>
      <c r="AW280" s="1201"/>
      <c r="AX280" s="1201"/>
      <c r="AY280" s="1201"/>
      <c r="AZ280" s="1201"/>
      <c r="BA280" s="1201"/>
      <c r="BC280" s="1201"/>
      <c r="BE280" s="1201"/>
      <c r="BF280" s="1201"/>
      <c r="BG280" s="1201"/>
    </row>
    <row r="281" spans="18:59" x14ac:dyDescent="0.35">
      <c r="R281" s="1201"/>
      <c r="S281" s="1201"/>
      <c r="W281" s="1201"/>
      <c r="X281" s="1201"/>
      <c r="AE281" s="1201"/>
      <c r="AF281" s="1201"/>
      <c r="AV281" s="1201"/>
      <c r="AW281" s="1201"/>
      <c r="AX281" s="1201"/>
      <c r="AY281" s="1201"/>
      <c r="AZ281" s="1201"/>
      <c r="BA281" s="1201"/>
      <c r="BC281" s="1201"/>
      <c r="BE281" s="1201"/>
      <c r="BF281" s="1201"/>
      <c r="BG281" s="1201"/>
    </row>
    <row r="282" spans="18:59" x14ac:dyDescent="0.35">
      <c r="R282" s="1201"/>
      <c r="S282" s="1201"/>
      <c r="W282" s="1201"/>
      <c r="X282" s="1201"/>
      <c r="AE282" s="1201"/>
      <c r="AF282" s="1201"/>
      <c r="AV282" s="1201"/>
      <c r="AW282" s="1201"/>
      <c r="AX282" s="1201"/>
      <c r="AY282" s="1201"/>
      <c r="AZ282" s="1201"/>
      <c r="BA282" s="1201"/>
      <c r="BC282" s="1201"/>
      <c r="BE282" s="1201"/>
      <c r="BF282" s="1201"/>
      <c r="BG282" s="1201"/>
    </row>
    <row r="283" spans="18:59" x14ac:dyDescent="0.35">
      <c r="R283" s="1201"/>
      <c r="S283" s="1201"/>
      <c r="W283" s="1201"/>
      <c r="X283" s="1201"/>
      <c r="AE283" s="1201"/>
      <c r="AF283" s="1201"/>
      <c r="AV283" s="1201"/>
      <c r="AW283" s="1201"/>
      <c r="AX283" s="1201"/>
      <c r="AY283" s="1201"/>
      <c r="AZ283" s="1201"/>
      <c r="BA283" s="1201"/>
      <c r="BC283" s="1201"/>
      <c r="BE283" s="1201"/>
      <c r="BF283" s="1201"/>
      <c r="BG283" s="1201"/>
    </row>
    <row r="284" spans="18:59" x14ac:dyDescent="0.35">
      <c r="R284" s="1201"/>
      <c r="S284" s="1201"/>
      <c r="W284" s="1201"/>
      <c r="X284" s="1201"/>
      <c r="AE284" s="1201"/>
      <c r="AF284" s="1201"/>
      <c r="AV284" s="1201"/>
      <c r="AW284" s="1201"/>
      <c r="AX284" s="1201"/>
      <c r="AY284" s="1201"/>
      <c r="AZ284" s="1201"/>
      <c r="BA284" s="1201"/>
      <c r="BC284" s="1201"/>
      <c r="BE284" s="1201"/>
      <c r="BF284" s="1201"/>
      <c r="BG284" s="1201"/>
    </row>
    <row r="285" spans="18:59" x14ac:dyDescent="0.35">
      <c r="R285" s="1201"/>
      <c r="S285" s="1201"/>
      <c r="W285" s="1201"/>
      <c r="X285" s="1201"/>
      <c r="AE285" s="1201"/>
      <c r="AF285" s="1201"/>
      <c r="AV285" s="1201"/>
      <c r="AW285" s="1201"/>
      <c r="AX285" s="1201"/>
      <c r="AY285" s="1201"/>
      <c r="AZ285" s="1201"/>
      <c r="BA285" s="1201"/>
      <c r="BC285" s="1201"/>
      <c r="BE285" s="1201"/>
      <c r="BF285" s="1201"/>
      <c r="BG285" s="1201"/>
    </row>
    <row r="286" spans="18:59" x14ac:dyDescent="0.35">
      <c r="R286" s="1201"/>
      <c r="S286" s="1201"/>
      <c r="W286" s="1201"/>
      <c r="X286" s="1201"/>
      <c r="AE286" s="1201"/>
      <c r="AF286" s="1201"/>
      <c r="AV286" s="1201"/>
      <c r="AW286" s="1201"/>
      <c r="AX286" s="1201"/>
      <c r="AY286" s="1201"/>
      <c r="AZ286" s="1201"/>
      <c r="BA286" s="1201"/>
      <c r="BC286" s="1201"/>
      <c r="BE286" s="1201"/>
      <c r="BF286" s="1201"/>
      <c r="BG286" s="1201"/>
    </row>
    <row r="287" spans="18:59" x14ac:dyDescent="0.35">
      <c r="R287" s="1201"/>
      <c r="S287" s="1201"/>
      <c r="W287" s="1201"/>
      <c r="X287" s="1201"/>
      <c r="AE287" s="1201"/>
      <c r="AF287" s="1201"/>
      <c r="AV287" s="1201"/>
      <c r="AW287" s="1201"/>
      <c r="AX287" s="1201"/>
      <c r="AY287" s="1201"/>
      <c r="AZ287" s="1201"/>
      <c r="BA287" s="1201"/>
      <c r="BC287" s="1201"/>
      <c r="BE287" s="1201"/>
      <c r="BF287" s="1201"/>
      <c r="BG287" s="1201"/>
    </row>
    <row r="288" spans="18:59" x14ac:dyDescent="0.35">
      <c r="R288" s="1201"/>
      <c r="S288" s="1201"/>
      <c r="W288" s="1201"/>
      <c r="X288" s="1201"/>
      <c r="AE288" s="1201"/>
      <c r="AF288" s="1201"/>
      <c r="AV288" s="1201"/>
      <c r="AW288" s="1201"/>
      <c r="AX288" s="1201"/>
      <c r="AY288" s="1201"/>
      <c r="AZ288" s="1201"/>
      <c r="BA288" s="1201"/>
      <c r="BC288" s="1201"/>
      <c r="BE288" s="1201"/>
      <c r="BF288" s="1201"/>
      <c r="BG288" s="1201"/>
    </row>
    <row r="289" spans="18:59" x14ac:dyDescent="0.35">
      <c r="R289" s="1201"/>
      <c r="S289" s="1201"/>
      <c r="W289" s="1201"/>
      <c r="X289" s="1201"/>
      <c r="AE289" s="1201"/>
      <c r="AF289" s="1201"/>
      <c r="AV289" s="1201"/>
      <c r="AW289" s="1201"/>
      <c r="AX289" s="1201"/>
      <c r="AY289" s="1201"/>
      <c r="AZ289" s="1201"/>
      <c r="BA289" s="1201"/>
      <c r="BC289" s="1201"/>
      <c r="BE289" s="1201"/>
      <c r="BF289" s="1201"/>
      <c r="BG289" s="1201"/>
    </row>
    <row r="290" spans="18:59" x14ac:dyDescent="0.35">
      <c r="R290" s="1201"/>
      <c r="S290" s="1201"/>
      <c r="W290" s="1201"/>
      <c r="X290" s="1201"/>
      <c r="AE290" s="1201"/>
      <c r="AF290" s="1201"/>
      <c r="AV290" s="1201"/>
      <c r="AW290" s="1201"/>
      <c r="AX290" s="1201"/>
      <c r="AY290" s="1201"/>
      <c r="AZ290" s="1201"/>
      <c r="BA290" s="1201"/>
      <c r="BC290" s="1201"/>
      <c r="BE290" s="1201"/>
      <c r="BF290" s="1201"/>
      <c r="BG290" s="1201"/>
    </row>
    <row r="291" spans="18:59" x14ac:dyDescent="0.35">
      <c r="R291" s="1201"/>
      <c r="S291" s="1201"/>
      <c r="W291" s="1201"/>
      <c r="X291" s="1201"/>
      <c r="AE291" s="1201"/>
      <c r="AF291" s="1201"/>
      <c r="AV291" s="1201"/>
      <c r="AW291" s="1201"/>
      <c r="AX291" s="1201"/>
      <c r="AY291" s="1201"/>
      <c r="AZ291" s="1201"/>
      <c r="BA291" s="1201"/>
      <c r="BC291" s="1201"/>
      <c r="BE291" s="1201"/>
      <c r="BF291" s="1201"/>
      <c r="BG291" s="1201"/>
    </row>
    <row r="292" spans="18:59" x14ac:dyDescent="0.35">
      <c r="R292" s="1201"/>
      <c r="S292" s="1201"/>
      <c r="W292" s="1201"/>
      <c r="X292" s="1201"/>
      <c r="AE292" s="1201"/>
      <c r="AF292" s="1201"/>
      <c r="AV292" s="1201"/>
      <c r="AW292" s="1201"/>
      <c r="AX292" s="1201"/>
      <c r="AY292" s="1201"/>
      <c r="AZ292" s="1201"/>
      <c r="BA292" s="1201"/>
      <c r="BC292" s="1201"/>
      <c r="BE292" s="1201"/>
      <c r="BF292" s="1201"/>
      <c r="BG292" s="1201"/>
    </row>
    <row r="293" spans="18:59" x14ac:dyDescent="0.35">
      <c r="R293" s="1201"/>
      <c r="S293" s="1201"/>
      <c r="W293" s="1201"/>
      <c r="X293" s="1201"/>
      <c r="AE293" s="1201"/>
      <c r="AF293" s="1201"/>
      <c r="AV293" s="1201"/>
      <c r="AW293" s="1201"/>
      <c r="AX293" s="1201"/>
      <c r="AY293" s="1201"/>
      <c r="AZ293" s="1201"/>
      <c r="BA293" s="1201"/>
      <c r="BC293" s="1201"/>
      <c r="BE293" s="1201"/>
      <c r="BF293" s="1201"/>
      <c r="BG293" s="1201"/>
    </row>
    <row r="294" spans="18:59" x14ac:dyDescent="0.35">
      <c r="R294" s="1201"/>
      <c r="S294" s="1201"/>
      <c r="W294" s="1201"/>
      <c r="X294" s="1201"/>
      <c r="AE294" s="1201"/>
      <c r="AF294" s="1201"/>
      <c r="AV294" s="1201"/>
      <c r="AW294" s="1201"/>
      <c r="AX294" s="1201"/>
      <c r="AY294" s="1201"/>
      <c r="AZ294" s="1201"/>
      <c r="BA294" s="1201"/>
      <c r="BC294" s="1201"/>
      <c r="BE294" s="1201"/>
      <c r="BF294" s="1201"/>
      <c r="BG294" s="1201"/>
    </row>
    <row r="295" spans="18:59" x14ac:dyDescent="0.35">
      <c r="R295" s="1201"/>
      <c r="S295" s="1201"/>
      <c r="W295" s="1201"/>
      <c r="X295" s="1201"/>
      <c r="AE295" s="1201"/>
      <c r="AF295" s="1201"/>
      <c r="AV295" s="1201"/>
      <c r="AW295" s="1201"/>
      <c r="AX295" s="1201"/>
      <c r="AY295" s="1201"/>
      <c r="AZ295" s="1201"/>
      <c r="BA295" s="1201"/>
      <c r="BC295" s="1201"/>
      <c r="BE295" s="1201"/>
      <c r="BF295" s="1201"/>
      <c r="BG295" s="1201"/>
    </row>
    <row r="296" spans="18:59" x14ac:dyDescent="0.35">
      <c r="R296" s="1201"/>
      <c r="S296" s="1201"/>
      <c r="W296" s="1201"/>
      <c r="X296" s="1201"/>
      <c r="AE296" s="1201"/>
      <c r="AF296" s="1201"/>
      <c r="AV296" s="1201"/>
      <c r="AW296" s="1201"/>
      <c r="AX296" s="1201"/>
      <c r="AY296" s="1201"/>
      <c r="AZ296" s="1201"/>
      <c r="BA296" s="1201"/>
      <c r="BC296" s="1201"/>
      <c r="BE296" s="1201"/>
      <c r="BF296" s="1201"/>
      <c r="BG296" s="1201"/>
    </row>
    <row r="297" spans="18:59" x14ac:dyDescent="0.35">
      <c r="R297" s="1201"/>
      <c r="S297" s="1201"/>
      <c r="W297" s="1201"/>
      <c r="X297" s="1201"/>
      <c r="AE297" s="1201"/>
      <c r="AF297" s="1201"/>
      <c r="AV297" s="1201"/>
      <c r="AW297" s="1201"/>
      <c r="AX297" s="1201"/>
      <c r="AY297" s="1201"/>
      <c r="AZ297" s="1201"/>
      <c r="BA297" s="1201"/>
      <c r="BC297" s="1201"/>
      <c r="BE297" s="1201"/>
      <c r="BF297" s="1201"/>
      <c r="BG297" s="1201"/>
    </row>
    <row r="298" spans="18:59" x14ac:dyDescent="0.35">
      <c r="R298" s="1201"/>
      <c r="S298" s="1201"/>
      <c r="W298" s="1201"/>
      <c r="X298" s="1201"/>
      <c r="AE298" s="1201"/>
      <c r="AF298" s="1201"/>
      <c r="AV298" s="1201"/>
      <c r="AW298" s="1201"/>
      <c r="AX298" s="1201"/>
      <c r="AY298" s="1201"/>
      <c r="AZ298" s="1201"/>
      <c r="BA298" s="1201"/>
      <c r="BC298" s="1201"/>
      <c r="BE298" s="1201"/>
      <c r="BF298" s="1201"/>
      <c r="BG298" s="1201"/>
    </row>
    <row r="299" spans="18:59" x14ac:dyDescent="0.35">
      <c r="R299" s="1201"/>
      <c r="S299" s="1201"/>
      <c r="W299" s="1201"/>
      <c r="X299" s="1201"/>
      <c r="AE299" s="1201"/>
      <c r="AF299" s="1201"/>
      <c r="AV299" s="1201"/>
      <c r="AW299" s="1201"/>
      <c r="AX299" s="1201"/>
      <c r="AY299" s="1201"/>
      <c r="AZ299" s="1201"/>
      <c r="BA299" s="1201"/>
      <c r="BC299" s="1201"/>
      <c r="BE299" s="1201"/>
      <c r="BF299" s="1201"/>
      <c r="BG299" s="1201"/>
    </row>
    <row r="300" spans="18:59" x14ac:dyDescent="0.35">
      <c r="R300" s="1201"/>
      <c r="S300" s="1201"/>
      <c r="W300" s="1201"/>
      <c r="X300" s="1201"/>
      <c r="AE300" s="1201"/>
      <c r="AF300" s="1201"/>
      <c r="AV300" s="1201"/>
      <c r="AW300" s="1201"/>
      <c r="AX300" s="1201"/>
      <c r="AY300" s="1201"/>
      <c r="AZ300" s="1201"/>
      <c r="BA300" s="1201"/>
      <c r="BC300" s="1201"/>
      <c r="BE300" s="1201"/>
      <c r="BF300" s="1201"/>
      <c r="BG300" s="1201"/>
    </row>
    <row r="301" spans="18:59" x14ac:dyDescent="0.35">
      <c r="R301" s="1201"/>
      <c r="S301" s="1201"/>
      <c r="W301" s="1201"/>
      <c r="X301" s="1201"/>
      <c r="AE301" s="1201"/>
      <c r="AF301" s="1201"/>
      <c r="AV301" s="1201"/>
      <c r="AW301" s="1201"/>
      <c r="AX301" s="1201"/>
      <c r="AY301" s="1201"/>
      <c r="AZ301" s="1201"/>
      <c r="BA301" s="1201"/>
      <c r="BC301" s="1201"/>
      <c r="BE301" s="1201"/>
      <c r="BF301" s="1201"/>
      <c r="BG301" s="1201"/>
    </row>
    <row r="302" spans="18:59" x14ac:dyDescent="0.35">
      <c r="R302" s="1201"/>
      <c r="S302" s="1201"/>
      <c r="W302" s="1201"/>
      <c r="X302" s="1201"/>
      <c r="AE302" s="1201"/>
      <c r="AF302" s="1201"/>
      <c r="AV302" s="1201"/>
      <c r="AW302" s="1201"/>
      <c r="AX302" s="1201"/>
      <c r="AY302" s="1201"/>
      <c r="AZ302" s="1201"/>
      <c r="BA302" s="1201"/>
      <c r="BC302" s="1201"/>
      <c r="BE302" s="1201"/>
      <c r="BF302" s="1201"/>
      <c r="BG302" s="1201"/>
    </row>
    <row r="303" spans="18:59" x14ac:dyDescent="0.35">
      <c r="R303" s="1201"/>
      <c r="S303" s="1201"/>
      <c r="W303" s="1201"/>
      <c r="X303" s="1201"/>
      <c r="AE303" s="1201"/>
      <c r="AF303" s="1201"/>
      <c r="AV303" s="1201"/>
      <c r="AW303" s="1201"/>
      <c r="AX303" s="1201"/>
      <c r="AY303" s="1201"/>
      <c r="AZ303" s="1201"/>
      <c r="BA303" s="1201"/>
      <c r="BC303" s="1201"/>
      <c r="BE303" s="1201"/>
      <c r="BF303" s="1201"/>
      <c r="BG303" s="1201"/>
    </row>
    <row r="304" spans="18:59" x14ac:dyDescent="0.35">
      <c r="R304" s="1201"/>
      <c r="S304" s="1201"/>
      <c r="W304" s="1201"/>
      <c r="X304" s="1201"/>
      <c r="AE304" s="1201"/>
      <c r="AF304" s="1201"/>
      <c r="AV304" s="1201"/>
      <c r="AW304" s="1201"/>
      <c r="AX304" s="1201"/>
      <c r="AY304" s="1201"/>
      <c r="AZ304" s="1201"/>
      <c r="BA304" s="1201"/>
      <c r="BC304" s="1201"/>
      <c r="BE304" s="1201"/>
      <c r="BF304" s="1201"/>
      <c r="BG304" s="1201"/>
    </row>
    <row r="305" spans="18:59" x14ac:dyDescent="0.35">
      <c r="R305" s="1201"/>
      <c r="S305" s="1201"/>
      <c r="W305" s="1201"/>
      <c r="X305" s="1201"/>
      <c r="AE305" s="1201"/>
      <c r="AF305" s="1201"/>
      <c r="AV305" s="1201"/>
      <c r="AW305" s="1201"/>
      <c r="AX305" s="1201"/>
      <c r="AY305" s="1201"/>
      <c r="AZ305" s="1201"/>
      <c r="BA305" s="1201"/>
      <c r="BC305" s="1201"/>
      <c r="BE305" s="1201"/>
      <c r="BF305" s="1201"/>
      <c r="BG305" s="1201"/>
    </row>
    <row r="306" spans="18:59" x14ac:dyDescent="0.35">
      <c r="R306" s="1201"/>
      <c r="S306" s="1201"/>
      <c r="W306" s="1201"/>
      <c r="X306" s="1201"/>
      <c r="AE306" s="1201"/>
      <c r="AF306" s="1201"/>
      <c r="AV306" s="1201"/>
      <c r="AW306" s="1201"/>
      <c r="AX306" s="1201"/>
      <c r="AY306" s="1201"/>
      <c r="AZ306" s="1201"/>
      <c r="BA306" s="1201"/>
      <c r="BC306" s="1201"/>
      <c r="BE306" s="1201"/>
      <c r="BF306" s="1201"/>
      <c r="BG306" s="1201"/>
    </row>
    <row r="307" spans="18:59" x14ac:dyDescent="0.35">
      <c r="R307" s="1201"/>
      <c r="S307" s="1201"/>
      <c r="W307" s="1201"/>
      <c r="X307" s="1201"/>
      <c r="AE307" s="1201"/>
      <c r="AF307" s="1201"/>
      <c r="AV307" s="1201"/>
      <c r="AW307" s="1201"/>
      <c r="AX307" s="1201"/>
      <c r="AY307" s="1201"/>
      <c r="AZ307" s="1201"/>
      <c r="BA307" s="1201"/>
      <c r="BC307" s="1201"/>
      <c r="BE307" s="1201"/>
      <c r="BF307" s="1201"/>
      <c r="BG307" s="1201"/>
    </row>
    <row r="308" spans="18:59" x14ac:dyDescent="0.35">
      <c r="R308" s="1201"/>
      <c r="S308" s="1201"/>
      <c r="W308" s="1201"/>
      <c r="X308" s="1201"/>
      <c r="AE308" s="1201"/>
      <c r="AF308" s="1201"/>
      <c r="AV308" s="1201"/>
      <c r="AW308" s="1201"/>
      <c r="AX308" s="1201"/>
      <c r="AY308" s="1201"/>
      <c r="AZ308" s="1201"/>
      <c r="BA308" s="1201"/>
      <c r="BC308" s="1201"/>
      <c r="BE308" s="1201"/>
      <c r="BF308" s="1201"/>
      <c r="BG308" s="1201"/>
    </row>
    <row r="309" spans="18:59" x14ac:dyDescent="0.35">
      <c r="R309" s="1201"/>
      <c r="S309" s="1201"/>
      <c r="W309" s="1201"/>
      <c r="X309" s="1201"/>
      <c r="AE309" s="1201"/>
      <c r="AF309" s="1201"/>
      <c r="AV309" s="1201"/>
      <c r="AW309" s="1201"/>
      <c r="AX309" s="1201"/>
      <c r="AY309" s="1201"/>
      <c r="AZ309" s="1201"/>
      <c r="BA309" s="1201"/>
      <c r="BC309" s="1201"/>
      <c r="BE309" s="1201"/>
      <c r="BF309" s="1201"/>
      <c r="BG309" s="1201"/>
    </row>
    <row r="310" spans="18:59" x14ac:dyDescent="0.35">
      <c r="R310" s="1201"/>
      <c r="S310" s="1201"/>
      <c r="W310" s="1201"/>
      <c r="X310" s="1201"/>
      <c r="AE310" s="1201"/>
      <c r="AF310" s="1201"/>
      <c r="AV310" s="1201"/>
      <c r="AW310" s="1201"/>
      <c r="AX310" s="1201"/>
      <c r="AY310" s="1201"/>
      <c r="AZ310" s="1201"/>
      <c r="BA310" s="1201"/>
      <c r="BC310" s="1201"/>
      <c r="BE310" s="1201"/>
      <c r="BF310" s="1201"/>
      <c r="BG310" s="1201"/>
    </row>
    <row r="311" spans="18:59" x14ac:dyDescent="0.35">
      <c r="R311" s="1201"/>
      <c r="S311" s="1201"/>
      <c r="W311" s="1201"/>
      <c r="X311" s="1201"/>
      <c r="AE311" s="1201"/>
      <c r="AF311" s="1201"/>
      <c r="AV311" s="1201"/>
      <c r="AW311" s="1201"/>
      <c r="AX311" s="1201"/>
      <c r="AY311" s="1201"/>
      <c r="AZ311" s="1201"/>
      <c r="BA311" s="1201"/>
      <c r="BC311" s="1201"/>
      <c r="BE311" s="1201"/>
      <c r="BF311" s="1201"/>
      <c r="BG311" s="1201"/>
    </row>
    <row r="312" spans="18:59" x14ac:dyDescent="0.35">
      <c r="R312" s="1201"/>
      <c r="S312" s="1201"/>
      <c r="W312" s="1201"/>
      <c r="X312" s="1201"/>
      <c r="AE312" s="1201"/>
      <c r="AF312" s="1201"/>
      <c r="AV312" s="1201"/>
      <c r="AW312" s="1201"/>
      <c r="AX312" s="1201"/>
      <c r="AY312" s="1201"/>
      <c r="AZ312" s="1201"/>
      <c r="BA312" s="1201"/>
      <c r="BC312" s="1201"/>
      <c r="BE312" s="1201"/>
      <c r="BF312" s="1201"/>
      <c r="BG312" s="1201"/>
    </row>
    <row r="313" spans="18:59" x14ac:dyDescent="0.35">
      <c r="R313" s="1201"/>
      <c r="S313" s="1201"/>
      <c r="W313" s="1201"/>
      <c r="X313" s="1201"/>
      <c r="AE313" s="1201"/>
      <c r="AF313" s="1201"/>
      <c r="AV313" s="1201"/>
      <c r="AW313" s="1201"/>
      <c r="AX313" s="1201"/>
      <c r="AY313" s="1201"/>
      <c r="AZ313" s="1201"/>
      <c r="BA313" s="1201"/>
      <c r="BC313" s="1201"/>
      <c r="BE313" s="1201"/>
      <c r="BF313" s="1201"/>
      <c r="BG313" s="1201"/>
    </row>
    <row r="314" spans="18:59" x14ac:dyDescent="0.35">
      <c r="R314" s="1201"/>
      <c r="S314" s="1201"/>
      <c r="W314" s="1201"/>
      <c r="X314" s="1201"/>
      <c r="AE314" s="1201"/>
      <c r="AF314" s="1201"/>
      <c r="AV314" s="1201"/>
      <c r="AW314" s="1201"/>
      <c r="AX314" s="1201"/>
      <c r="AY314" s="1201"/>
      <c r="AZ314" s="1201"/>
      <c r="BA314" s="1201"/>
      <c r="BC314" s="1201"/>
      <c r="BE314" s="1201"/>
      <c r="BF314" s="1201"/>
      <c r="BG314" s="1201"/>
    </row>
    <row r="315" spans="18:59" x14ac:dyDescent="0.35">
      <c r="R315" s="1201"/>
      <c r="S315" s="1201"/>
      <c r="W315" s="1201"/>
      <c r="X315" s="1201"/>
      <c r="AE315" s="1201"/>
      <c r="AF315" s="1201"/>
      <c r="AV315" s="1201"/>
      <c r="AW315" s="1201"/>
      <c r="AX315" s="1201"/>
      <c r="AY315" s="1201"/>
      <c r="AZ315" s="1201"/>
      <c r="BA315" s="1201"/>
      <c r="BC315" s="1201"/>
      <c r="BE315" s="1201"/>
      <c r="BF315" s="1201"/>
      <c r="BG315" s="1201"/>
    </row>
    <row r="316" spans="18:59" x14ac:dyDescent="0.35">
      <c r="R316" s="1201"/>
      <c r="S316" s="1201"/>
      <c r="W316" s="1201"/>
      <c r="X316" s="1201"/>
      <c r="AE316" s="1201"/>
      <c r="AF316" s="1201"/>
      <c r="AV316" s="1201"/>
      <c r="AW316" s="1201"/>
      <c r="AX316" s="1201"/>
      <c r="AY316" s="1201"/>
      <c r="AZ316" s="1201"/>
      <c r="BA316" s="1201"/>
      <c r="BC316" s="1201"/>
      <c r="BE316" s="1201"/>
      <c r="BF316" s="1201"/>
      <c r="BG316" s="1201"/>
    </row>
    <row r="317" spans="18:59" x14ac:dyDescent="0.35">
      <c r="R317" s="1201"/>
      <c r="S317" s="1201"/>
      <c r="W317" s="1201"/>
      <c r="X317" s="1201"/>
      <c r="AE317" s="1201"/>
      <c r="AF317" s="1201"/>
      <c r="AV317" s="1201"/>
      <c r="AW317" s="1201"/>
      <c r="AX317" s="1201"/>
      <c r="AY317" s="1201"/>
      <c r="AZ317" s="1201"/>
      <c r="BA317" s="1201"/>
      <c r="BC317" s="1201"/>
      <c r="BE317" s="1201"/>
      <c r="BF317" s="1201"/>
      <c r="BG317" s="1201"/>
    </row>
    <row r="318" spans="18:59" x14ac:dyDescent="0.35">
      <c r="R318" s="1201"/>
      <c r="S318" s="1201"/>
      <c r="W318" s="1201"/>
      <c r="X318" s="1201"/>
      <c r="AE318" s="1201"/>
      <c r="AF318" s="1201"/>
      <c r="AV318" s="1201"/>
      <c r="AW318" s="1201"/>
      <c r="AX318" s="1201"/>
      <c r="AY318" s="1201"/>
      <c r="AZ318" s="1201"/>
      <c r="BA318" s="1201"/>
      <c r="BC318" s="1201"/>
      <c r="BE318" s="1201"/>
      <c r="BF318" s="1201"/>
      <c r="BG318" s="1201"/>
    </row>
    <row r="319" spans="18:59" x14ac:dyDescent="0.35">
      <c r="R319" s="1201"/>
      <c r="S319" s="1201"/>
      <c r="W319" s="1201"/>
      <c r="X319" s="1201"/>
      <c r="AE319" s="1201"/>
      <c r="AF319" s="1201"/>
      <c r="AV319" s="1201"/>
      <c r="AW319" s="1201"/>
      <c r="AX319" s="1201"/>
      <c r="AY319" s="1201"/>
      <c r="AZ319" s="1201"/>
      <c r="BA319" s="1201"/>
      <c r="BC319" s="1201"/>
      <c r="BE319" s="1201"/>
      <c r="BF319" s="1201"/>
      <c r="BG319" s="1201"/>
    </row>
    <row r="320" spans="18:59" x14ac:dyDescent="0.35">
      <c r="R320" s="1201"/>
      <c r="S320" s="1201"/>
      <c r="W320" s="1201"/>
      <c r="X320" s="1201"/>
      <c r="AE320" s="1201"/>
      <c r="AF320" s="1201"/>
      <c r="AV320" s="1201"/>
      <c r="AW320" s="1201"/>
      <c r="AX320" s="1201"/>
      <c r="AY320" s="1201"/>
      <c r="AZ320" s="1201"/>
      <c r="BA320" s="1201"/>
      <c r="BC320" s="1201"/>
      <c r="BE320" s="1201"/>
      <c r="BF320" s="1201"/>
      <c r="BG320" s="1201"/>
    </row>
    <row r="321" spans="18:59" x14ac:dyDescent="0.35">
      <c r="R321" s="1201"/>
      <c r="S321" s="1201"/>
      <c r="W321" s="1201"/>
      <c r="X321" s="1201"/>
      <c r="AE321" s="1201"/>
      <c r="AF321" s="1201"/>
      <c r="AV321" s="1201"/>
      <c r="AW321" s="1201"/>
      <c r="AX321" s="1201"/>
      <c r="AY321" s="1201"/>
      <c r="AZ321" s="1201"/>
      <c r="BA321" s="1201"/>
      <c r="BC321" s="1201"/>
      <c r="BE321" s="1201"/>
      <c r="BF321" s="1201"/>
      <c r="BG321" s="1201"/>
    </row>
    <row r="322" spans="18:59" x14ac:dyDescent="0.35">
      <c r="R322" s="1201"/>
      <c r="S322" s="1201"/>
      <c r="W322" s="1201"/>
      <c r="X322" s="1201"/>
      <c r="AE322" s="1201"/>
      <c r="AF322" s="1201"/>
      <c r="AV322" s="1201"/>
      <c r="AW322" s="1201"/>
      <c r="AX322" s="1201"/>
      <c r="AY322" s="1201"/>
      <c r="AZ322" s="1201"/>
      <c r="BA322" s="1201"/>
      <c r="BC322" s="1201"/>
      <c r="BE322" s="1201"/>
      <c r="BF322" s="1201"/>
      <c r="BG322" s="1201"/>
    </row>
    <row r="323" spans="18:59" x14ac:dyDescent="0.35">
      <c r="R323" s="1201"/>
      <c r="S323" s="1201"/>
      <c r="W323" s="1201"/>
      <c r="X323" s="1201"/>
      <c r="AE323" s="1201"/>
      <c r="AF323" s="1201"/>
      <c r="AV323" s="1201"/>
      <c r="AW323" s="1201"/>
      <c r="AX323" s="1201"/>
      <c r="AY323" s="1201"/>
      <c r="AZ323" s="1201"/>
      <c r="BA323" s="1201"/>
      <c r="BC323" s="1201"/>
      <c r="BE323" s="1201"/>
      <c r="BF323" s="1201"/>
      <c r="BG323" s="1201"/>
    </row>
    <row r="324" spans="18:59" x14ac:dyDescent="0.35">
      <c r="R324" s="1201"/>
      <c r="S324" s="1201"/>
      <c r="W324" s="1201"/>
      <c r="X324" s="1201"/>
      <c r="AE324" s="1201"/>
      <c r="AF324" s="1201"/>
      <c r="AV324" s="1201"/>
      <c r="AW324" s="1201"/>
      <c r="AX324" s="1201"/>
      <c r="AY324" s="1201"/>
      <c r="AZ324" s="1201"/>
      <c r="BA324" s="1201"/>
      <c r="BC324" s="1201"/>
      <c r="BE324" s="1201"/>
      <c r="BF324" s="1201"/>
      <c r="BG324" s="1201"/>
    </row>
    <row r="325" spans="18:59" x14ac:dyDescent="0.35">
      <c r="R325" s="1201"/>
      <c r="S325" s="1201"/>
      <c r="W325" s="1201"/>
      <c r="X325" s="1201"/>
      <c r="AE325" s="1201"/>
      <c r="AF325" s="1201"/>
      <c r="AV325" s="1201"/>
      <c r="AW325" s="1201"/>
      <c r="AX325" s="1201"/>
      <c r="AY325" s="1201"/>
      <c r="AZ325" s="1201"/>
      <c r="BA325" s="1201"/>
      <c r="BC325" s="1201"/>
      <c r="BE325" s="1201"/>
      <c r="BF325" s="1201"/>
      <c r="BG325" s="1201"/>
    </row>
    <row r="326" spans="18:59" x14ac:dyDescent="0.35">
      <c r="R326" s="1201"/>
      <c r="S326" s="1201"/>
      <c r="W326" s="1201"/>
      <c r="X326" s="1201"/>
      <c r="AE326" s="1201"/>
      <c r="AF326" s="1201"/>
      <c r="AV326" s="1201"/>
      <c r="AW326" s="1201"/>
      <c r="AX326" s="1201"/>
      <c r="AY326" s="1201"/>
      <c r="AZ326" s="1201"/>
      <c r="BA326" s="1201"/>
      <c r="BC326" s="1201"/>
      <c r="BE326" s="1201"/>
      <c r="BF326" s="1201"/>
      <c r="BG326" s="1201"/>
    </row>
    <row r="327" spans="18:59" x14ac:dyDescent="0.35">
      <c r="R327" s="1201"/>
      <c r="S327" s="1201"/>
      <c r="W327" s="1201"/>
      <c r="X327" s="1201"/>
      <c r="AE327" s="1201"/>
      <c r="AF327" s="1201"/>
      <c r="AV327" s="1201"/>
      <c r="AW327" s="1201"/>
      <c r="AX327" s="1201"/>
      <c r="AY327" s="1201"/>
      <c r="AZ327" s="1201"/>
      <c r="BA327" s="1201"/>
      <c r="BC327" s="1201"/>
      <c r="BE327" s="1201"/>
      <c r="BF327" s="1201"/>
      <c r="BG327" s="1201"/>
    </row>
    <row r="328" spans="18:59" x14ac:dyDescent="0.35">
      <c r="R328" s="1201"/>
      <c r="S328" s="1201"/>
      <c r="W328" s="1201"/>
      <c r="X328" s="1201"/>
      <c r="AE328" s="1201"/>
      <c r="AF328" s="1201"/>
      <c r="AV328" s="1201"/>
      <c r="AW328" s="1201"/>
      <c r="AX328" s="1201"/>
      <c r="AY328" s="1201"/>
      <c r="AZ328" s="1201"/>
      <c r="BA328" s="1201"/>
      <c r="BC328" s="1201"/>
      <c r="BE328" s="1201"/>
      <c r="BF328" s="1201"/>
      <c r="BG328" s="1201"/>
    </row>
    <row r="329" spans="18:59" x14ac:dyDescent="0.35">
      <c r="R329" s="1201"/>
      <c r="S329" s="1201"/>
      <c r="W329" s="1201"/>
      <c r="X329" s="1201"/>
      <c r="AE329" s="1201"/>
      <c r="AF329" s="1201"/>
      <c r="AV329" s="1201"/>
      <c r="AW329" s="1201"/>
      <c r="AX329" s="1201"/>
      <c r="AY329" s="1201"/>
      <c r="AZ329" s="1201"/>
      <c r="BA329" s="1201"/>
      <c r="BC329" s="1201"/>
      <c r="BE329" s="1201"/>
      <c r="BF329" s="1201"/>
      <c r="BG329" s="1201"/>
    </row>
    <row r="330" spans="18:59" x14ac:dyDescent="0.35">
      <c r="R330" s="1201"/>
      <c r="S330" s="1201"/>
      <c r="W330" s="1201"/>
      <c r="X330" s="1201"/>
      <c r="AE330" s="1201"/>
      <c r="AF330" s="1201"/>
      <c r="AV330" s="1201"/>
      <c r="AW330" s="1201"/>
      <c r="AX330" s="1201"/>
      <c r="AY330" s="1201"/>
      <c r="AZ330" s="1201"/>
      <c r="BA330" s="1201"/>
      <c r="BC330" s="1201"/>
      <c r="BE330" s="1201"/>
      <c r="BF330" s="1201"/>
      <c r="BG330" s="1201"/>
    </row>
    <row r="331" spans="18:59" x14ac:dyDescent="0.35">
      <c r="R331" s="1201"/>
      <c r="S331" s="1201"/>
      <c r="W331" s="1201"/>
      <c r="X331" s="1201"/>
      <c r="AE331" s="1201"/>
      <c r="AF331" s="1201"/>
      <c r="AV331" s="1201"/>
      <c r="AW331" s="1201"/>
      <c r="AX331" s="1201"/>
      <c r="AY331" s="1201"/>
      <c r="AZ331" s="1201"/>
      <c r="BA331" s="1201"/>
      <c r="BC331" s="1201"/>
      <c r="BE331" s="1201"/>
      <c r="BF331" s="1201"/>
      <c r="BG331" s="1201"/>
    </row>
    <row r="332" spans="18:59" x14ac:dyDescent="0.35">
      <c r="R332" s="1201"/>
      <c r="S332" s="1201"/>
      <c r="W332" s="1201"/>
      <c r="X332" s="1201"/>
      <c r="AE332" s="1201"/>
      <c r="AF332" s="1201"/>
      <c r="AV332" s="1201"/>
      <c r="AW332" s="1201"/>
      <c r="AX332" s="1201"/>
      <c r="AY332" s="1201"/>
      <c r="AZ332" s="1201"/>
      <c r="BA332" s="1201"/>
      <c r="BC332" s="1201"/>
      <c r="BE332" s="1201"/>
      <c r="BF332" s="1201"/>
      <c r="BG332" s="1201"/>
    </row>
    <row r="333" spans="18:59" x14ac:dyDescent="0.35">
      <c r="R333" s="1201"/>
      <c r="S333" s="1201"/>
      <c r="W333" s="1201"/>
      <c r="X333" s="1201"/>
      <c r="AE333" s="1201"/>
      <c r="AF333" s="1201"/>
      <c r="AV333" s="1201"/>
      <c r="AW333" s="1201"/>
      <c r="AX333" s="1201"/>
      <c r="AY333" s="1201"/>
      <c r="AZ333" s="1201"/>
      <c r="BA333" s="1201"/>
      <c r="BC333" s="1201"/>
      <c r="BE333" s="1201"/>
      <c r="BF333" s="1201"/>
      <c r="BG333" s="1201"/>
    </row>
    <row r="334" spans="18:59" x14ac:dyDescent="0.35">
      <c r="R334" s="1201"/>
      <c r="S334" s="1201"/>
      <c r="W334" s="1201"/>
      <c r="X334" s="1201"/>
      <c r="AE334" s="1201"/>
      <c r="AF334" s="1201"/>
      <c r="AV334" s="1201"/>
      <c r="AW334" s="1201"/>
      <c r="AX334" s="1201"/>
      <c r="AY334" s="1201"/>
      <c r="AZ334" s="1201"/>
      <c r="BA334" s="1201"/>
      <c r="BC334" s="1201"/>
      <c r="BE334" s="1201"/>
      <c r="BF334" s="1201"/>
      <c r="BG334" s="1201"/>
    </row>
    <row r="335" spans="18:59" x14ac:dyDescent="0.35">
      <c r="R335" s="1201"/>
      <c r="S335" s="1201"/>
      <c r="W335" s="1201"/>
      <c r="X335" s="1201"/>
      <c r="AE335" s="1201"/>
      <c r="AF335" s="1201"/>
      <c r="AV335" s="1201"/>
      <c r="AW335" s="1201"/>
      <c r="AX335" s="1201"/>
      <c r="AY335" s="1201"/>
      <c r="AZ335" s="1201"/>
      <c r="BA335" s="1201"/>
      <c r="BC335" s="1201"/>
      <c r="BE335" s="1201"/>
      <c r="BF335" s="1201"/>
      <c r="BG335" s="1201"/>
    </row>
    <row r="336" spans="18:59" x14ac:dyDescent="0.35">
      <c r="R336" s="1201"/>
      <c r="S336" s="1201"/>
      <c r="W336" s="1201"/>
      <c r="X336" s="1201"/>
      <c r="AE336" s="1201"/>
      <c r="AF336" s="1201"/>
      <c r="AV336" s="1201"/>
      <c r="AW336" s="1201"/>
      <c r="AX336" s="1201"/>
      <c r="AY336" s="1201"/>
      <c r="AZ336" s="1201"/>
      <c r="BA336" s="1201"/>
      <c r="BC336" s="1201"/>
      <c r="BE336" s="1201"/>
      <c r="BF336" s="1201"/>
      <c r="BG336" s="1201"/>
    </row>
    <row r="337" spans="18:59" x14ac:dyDescent="0.35">
      <c r="R337" s="1201"/>
      <c r="S337" s="1201"/>
      <c r="W337" s="1201"/>
      <c r="X337" s="1201"/>
      <c r="AE337" s="1201"/>
      <c r="AF337" s="1201"/>
      <c r="AV337" s="1201"/>
      <c r="AW337" s="1201"/>
      <c r="AX337" s="1201"/>
      <c r="AY337" s="1201"/>
      <c r="AZ337" s="1201"/>
      <c r="BA337" s="1201"/>
      <c r="BC337" s="1201"/>
      <c r="BE337" s="1201"/>
      <c r="BF337" s="1201"/>
      <c r="BG337" s="1201"/>
    </row>
    <row r="338" spans="18:59" x14ac:dyDescent="0.35">
      <c r="R338" s="1201"/>
      <c r="S338" s="1201"/>
      <c r="W338" s="1201"/>
      <c r="X338" s="1201"/>
      <c r="AE338" s="1201"/>
      <c r="AF338" s="1201"/>
      <c r="AV338" s="1201"/>
      <c r="AW338" s="1201"/>
      <c r="AX338" s="1201"/>
      <c r="AY338" s="1201"/>
      <c r="AZ338" s="1201"/>
      <c r="BA338" s="1201"/>
      <c r="BC338" s="1201"/>
      <c r="BE338" s="1201"/>
      <c r="BF338" s="1201"/>
      <c r="BG338" s="1201"/>
    </row>
    <row r="339" spans="18:59" x14ac:dyDescent="0.35">
      <c r="R339" s="1201"/>
      <c r="S339" s="1201"/>
      <c r="W339" s="1201"/>
      <c r="X339" s="1201"/>
      <c r="AE339" s="1201"/>
      <c r="AF339" s="1201"/>
      <c r="AV339" s="1201"/>
      <c r="AW339" s="1201"/>
      <c r="AX339" s="1201"/>
      <c r="AY339" s="1201"/>
      <c r="AZ339" s="1201"/>
      <c r="BA339" s="1201"/>
      <c r="BC339" s="1201"/>
      <c r="BE339" s="1201"/>
      <c r="BF339" s="1201"/>
      <c r="BG339" s="1201"/>
    </row>
    <row r="340" spans="18:59" x14ac:dyDescent="0.35">
      <c r="R340" s="1201"/>
      <c r="S340" s="1201"/>
      <c r="W340" s="1201"/>
      <c r="X340" s="1201"/>
      <c r="AE340" s="1201"/>
      <c r="AF340" s="1201"/>
      <c r="AV340" s="1201"/>
      <c r="AW340" s="1201"/>
      <c r="AX340" s="1201"/>
      <c r="AY340" s="1201"/>
      <c r="AZ340" s="1201"/>
      <c r="BA340" s="1201"/>
      <c r="BC340" s="1201"/>
      <c r="BE340" s="1201"/>
      <c r="BF340" s="1201"/>
      <c r="BG340" s="1201"/>
    </row>
    <row r="341" spans="18:59" x14ac:dyDescent="0.35">
      <c r="R341" s="1201"/>
      <c r="S341" s="1201"/>
      <c r="W341" s="1201"/>
      <c r="X341" s="1201"/>
      <c r="AE341" s="1201"/>
      <c r="AF341" s="1201"/>
      <c r="AV341" s="1201"/>
      <c r="AW341" s="1201"/>
      <c r="AX341" s="1201"/>
      <c r="AY341" s="1201"/>
      <c r="AZ341" s="1201"/>
      <c r="BA341" s="1201"/>
      <c r="BC341" s="1201"/>
      <c r="BE341" s="1201"/>
      <c r="BF341" s="1201"/>
      <c r="BG341" s="1201"/>
    </row>
    <row r="342" spans="18:59" x14ac:dyDescent="0.35">
      <c r="R342" s="1201"/>
      <c r="S342" s="1201"/>
      <c r="W342" s="1201"/>
      <c r="X342" s="1201"/>
      <c r="AE342" s="1201"/>
      <c r="AF342" s="1201"/>
      <c r="AV342" s="1201"/>
      <c r="AW342" s="1201"/>
      <c r="AX342" s="1201"/>
      <c r="AY342" s="1201"/>
      <c r="AZ342" s="1201"/>
      <c r="BA342" s="1201"/>
      <c r="BC342" s="1201"/>
      <c r="BE342" s="1201"/>
      <c r="BF342" s="1201"/>
      <c r="BG342" s="1201"/>
    </row>
    <row r="343" spans="18:59" x14ac:dyDescent="0.35">
      <c r="R343" s="1201"/>
      <c r="S343" s="1201"/>
      <c r="W343" s="1201"/>
      <c r="X343" s="1201"/>
      <c r="AE343" s="1201"/>
      <c r="AF343" s="1201"/>
      <c r="AV343" s="1201"/>
      <c r="AW343" s="1201"/>
      <c r="AX343" s="1201"/>
      <c r="AY343" s="1201"/>
      <c r="AZ343" s="1201"/>
      <c r="BA343" s="1201"/>
      <c r="BC343" s="1201"/>
      <c r="BE343" s="1201"/>
      <c r="BF343" s="1201"/>
      <c r="BG343" s="1201"/>
    </row>
    <row r="344" spans="18:59" x14ac:dyDescent="0.35">
      <c r="R344" s="1201"/>
      <c r="S344" s="1201"/>
      <c r="W344" s="1201"/>
      <c r="X344" s="1201"/>
      <c r="AE344" s="1201"/>
      <c r="AF344" s="1201"/>
      <c r="AV344" s="1201"/>
      <c r="AW344" s="1201"/>
      <c r="AX344" s="1201"/>
      <c r="AY344" s="1201"/>
      <c r="AZ344" s="1201"/>
      <c r="BA344" s="1201"/>
      <c r="BC344" s="1201"/>
      <c r="BE344" s="1201"/>
      <c r="BF344" s="1201"/>
      <c r="BG344" s="1201"/>
    </row>
    <row r="345" spans="18:59" x14ac:dyDescent="0.35">
      <c r="R345" s="1201"/>
      <c r="S345" s="1201"/>
      <c r="W345" s="1201"/>
      <c r="X345" s="1201"/>
      <c r="AE345" s="1201"/>
      <c r="AF345" s="1201"/>
      <c r="AV345" s="1201"/>
      <c r="AW345" s="1201"/>
      <c r="AX345" s="1201"/>
      <c r="AY345" s="1201"/>
      <c r="AZ345" s="1201"/>
      <c r="BA345" s="1201"/>
      <c r="BC345" s="1201"/>
      <c r="BE345" s="1201"/>
      <c r="BF345" s="1201"/>
      <c r="BG345" s="1201"/>
    </row>
    <row r="346" spans="18:59" x14ac:dyDescent="0.35">
      <c r="R346" s="1201"/>
      <c r="S346" s="1201"/>
      <c r="W346" s="1201"/>
      <c r="X346" s="1201"/>
      <c r="AE346" s="1201"/>
      <c r="AF346" s="1201"/>
      <c r="AV346" s="1201"/>
      <c r="AW346" s="1201"/>
      <c r="AX346" s="1201"/>
      <c r="AY346" s="1201"/>
      <c r="AZ346" s="1201"/>
      <c r="BA346" s="1201"/>
      <c r="BC346" s="1201"/>
      <c r="BE346" s="1201"/>
      <c r="BF346" s="1201"/>
      <c r="BG346" s="1201"/>
    </row>
    <row r="347" spans="18:59" x14ac:dyDescent="0.35">
      <c r="R347" s="1201"/>
      <c r="S347" s="1201"/>
      <c r="W347" s="1201"/>
      <c r="X347" s="1201"/>
      <c r="AE347" s="1201"/>
      <c r="AF347" s="1201"/>
      <c r="AV347" s="1201"/>
      <c r="AW347" s="1201"/>
      <c r="AX347" s="1201"/>
      <c r="AY347" s="1201"/>
      <c r="AZ347" s="1201"/>
      <c r="BA347" s="1201"/>
      <c r="BC347" s="1201"/>
      <c r="BE347" s="1201"/>
      <c r="BF347" s="1201"/>
      <c r="BG347" s="1201"/>
    </row>
    <row r="348" spans="18:59" x14ac:dyDescent="0.35">
      <c r="R348" s="1201"/>
      <c r="S348" s="1201"/>
      <c r="W348" s="1201"/>
      <c r="X348" s="1201"/>
      <c r="AE348" s="1201"/>
      <c r="AF348" s="1201"/>
      <c r="AV348" s="1201"/>
      <c r="AW348" s="1201"/>
      <c r="AX348" s="1201"/>
      <c r="AY348" s="1201"/>
      <c r="AZ348" s="1201"/>
      <c r="BA348" s="1201"/>
      <c r="BC348" s="1201"/>
      <c r="BE348" s="1201"/>
      <c r="BF348" s="1201"/>
      <c r="BG348" s="1201"/>
    </row>
    <row r="349" spans="18:59" x14ac:dyDescent="0.35">
      <c r="R349" s="1201"/>
      <c r="S349" s="1201"/>
      <c r="W349" s="1201"/>
      <c r="X349" s="1201"/>
      <c r="AE349" s="1201"/>
      <c r="AF349" s="1201"/>
      <c r="AV349" s="1201"/>
      <c r="AW349" s="1201"/>
      <c r="AX349" s="1201"/>
      <c r="AY349" s="1201"/>
      <c r="AZ349" s="1201"/>
      <c r="BA349" s="1201"/>
      <c r="BC349" s="1201"/>
      <c r="BE349" s="1201"/>
      <c r="BF349" s="1201"/>
      <c r="BG349" s="1201"/>
    </row>
    <row r="350" spans="18:59" x14ac:dyDescent="0.35">
      <c r="R350" s="1201"/>
      <c r="S350" s="1201"/>
      <c r="W350" s="1201"/>
      <c r="X350" s="1201"/>
      <c r="AE350" s="1201"/>
      <c r="AF350" s="1201"/>
      <c r="AV350" s="1201"/>
      <c r="AW350" s="1201"/>
      <c r="AX350" s="1201"/>
      <c r="AY350" s="1201"/>
      <c r="AZ350" s="1201"/>
      <c r="BA350" s="1201"/>
      <c r="BC350" s="1201"/>
      <c r="BE350" s="1201"/>
      <c r="BF350" s="1201"/>
      <c r="BG350" s="1201"/>
    </row>
    <row r="351" spans="18:59" x14ac:dyDescent="0.35">
      <c r="R351" s="1201"/>
      <c r="S351" s="1201"/>
      <c r="W351" s="1201"/>
      <c r="X351" s="1201"/>
      <c r="AE351" s="1201"/>
      <c r="AF351" s="1201"/>
      <c r="AV351" s="1201"/>
      <c r="AW351" s="1201"/>
      <c r="AX351" s="1201"/>
      <c r="AY351" s="1201"/>
      <c r="AZ351" s="1201"/>
      <c r="BA351" s="1201"/>
      <c r="BC351" s="1201"/>
      <c r="BE351" s="1201"/>
      <c r="BF351" s="1201"/>
      <c r="BG351" s="1201"/>
    </row>
    <row r="352" spans="18:59" x14ac:dyDescent="0.35">
      <c r="R352" s="1201"/>
      <c r="S352" s="1201"/>
      <c r="W352" s="1201"/>
      <c r="X352" s="1201"/>
      <c r="AE352" s="1201"/>
      <c r="AF352" s="1201"/>
      <c r="AV352" s="1201"/>
      <c r="AW352" s="1201"/>
      <c r="AX352" s="1201"/>
      <c r="AY352" s="1201"/>
      <c r="AZ352" s="1201"/>
      <c r="BA352" s="1201"/>
      <c r="BC352" s="1201"/>
      <c r="BE352" s="1201"/>
      <c r="BF352" s="1201"/>
      <c r="BG352" s="1201"/>
    </row>
    <row r="353" spans="18:59" x14ac:dyDescent="0.35">
      <c r="R353" s="1201"/>
      <c r="S353" s="1201"/>
      <c r="W353" s="1201"/>
      <c r="X353" s="1201"/>
      <c r="AE353" s="1201"/>
      <c r="AF353" s="1201"/>
      <c r="AV353" s="1201"/>
      <c r="AW353" s="1201"/>
      <c r="AX353" s="1201"/>
      <c r="AY353" s="1201"/>
      <c r="AZ353" s="1201"/>
      <c r="BA353" s="1201"/>
      <c r="BC353" s="1201"/>
      <c r="BE353" s="1201"/>
      <c r="BF353" s="1201"/>
      <c r="BG353" s="1201"/>
    </row>
    <row r="354" spans="18:59" x14ac:dyDescent="0.35">
      <c r="R354" s="1201"/>
      <c r="S354" s="1201"/>
      <c r="W354" s="1201"/>
      <c r="X354" s="1201"/>
      <c r="AE354" s="1201"/>
      <c r="AF354" s="1201"/>
      <c r="AV354" s="1201"/>
      <c r="AW354" s="1201"/>
      <c r="AX354" s="1201"/>
      <c r="AY354" s="1201"/>
      <c r="AZ354" s="1201"/>
      <c r="BA354" s="1201"/>
      <c r="BC354" s="1201"/>
      <c r="BE354" s="1201"/>
      <c r="BF354" s="1201"/>
      <c r="BG354" s="1201"/>
    </row>
    <row r="355" spans="18:59" x14ac:dyDescent="0.35">
      <c r="R355" s="1201"/>
      <c r="S355" s="1201"/>
      <c r="W355" s="1201"/>
      <c r="X355" s="1201"/>
      <c r="AE355" s="1201"/>
      <c r="AF355" s="1201"/>
      <c r="AV355" s="1201"/>
      <c r="AW355" s="1201"/>
      <c r="AX355" s="1201"/>
      <c r="AY355" s="1201"/>
      <c r="AZ355" s="1201"/>
      <c r="BA355" s="1201"/>
      <c r="BC355" s="1201"/>
      <c r="BE355" s="1201"/>
      <c r="BF355" s="1201"/>
      <c r="BG355" s="1201"/>
    </row>
    <row r="356" spans="18:59" x14ac:dyDescent="0.35">
      <c r="R356" s="1201"/>
      <c r="S356" s="1201"/>
      <c r="W356" s="1201"/>
      <c r="X356" s="1201"/>
      <c r="AE356" s="1201"/>
      <c r="AF356" s="1201"/>
      <c r="AV356" s="1201"/>
      <c r="AW356" s="1201"/>
      <c r="AX356" s="1201"/>
      <c r="AY356" s="1201"/>
      <c r="AZ356" s="1201"/>
      <c r="BA356" s="1201"/>
      <c r="BC356" s="1201"/>
      <c r="BE356" s="1201"/>
      <c r="BF356" s="1201"/>
      <c r="BG356" s="1201"/>
    </row>
    <row r="357" spans="18:59" x14ac:dyDescent="0.35">
      <c r="R357" s="1201"/>
      <c r="S357" s="1201"/>
      <c r="W357" s="1201"/>
      <c r="X357" s="1201"/>
      <c r="AE357" s="1201"/>
      <c r="AF357" s="1201"/>
      <c r="AV357" s="1201"/>
      <c r="AW357" s="1201"/>
      <c r="AX357" s="1201"/>
      <c r="AY357" s="1201"/>
      <c r="AZ357" s="1201"/>
      <c r="BA357" s="1201"/>
      <c r="BC357" s="1201"/>
      <c r="BE357" s="1201"/>
      <c r="BF357" s="1201"/>
      <c r="BG357" s="1201"/>
    </row>
    <row r="358" spans="18:59" x14ac:dyDescent="0.35">
      <c r="R358" s="1201"/>
      <c r="S358" s="1201"/>
      <c r="W358" s="1201"/>
      <c r="X358" s="1201"/>
      <c r="AE358" s="1201"/>
      <c r="AF358" s="1201"/>
      <c r="AV358" s="1201"/>
      <c r="AW358" s="1201"/>
      <c r="AX358" s="1201"/>
      <c r="AY358" s="1201"/>
      <c r="AZ358" s="1201"/>
      <c r="BA358" s="1201"/>
      <c r="BC358" s="1201"/>
      <c r="BE358" s="1201"/>
      <c r="BF358" s="1201"/>
      <c r="BG358" s="1201"/>
    </row>
    <row r="359" spans="18:59" x14ac:dyDescent="0.35">
      <c r="R359" s="1201"/>
      <c r="S359" s="1201"/>
      <c r="W359" s="1201"/>
      <c r="X359" s="1201"/>
      <c r="AE359" s="1201"/>
      <c r="AF359" s="1201"/>
      <c r="AV359" s="1201"/>
      <c r="AW359" s="1201"/>
      <c r="AX359" s="1201"/>
      <c r="AY359" s="1201"/>
      <c r="AZ359" s="1201"/>
      <c r="BA359" s="1201"/>
      <c r="BC359" s="1201"/>
      <c r="BE359" s="1201"/>
      <c r="BF359" s="1201"/>
      <c r="BG359" s="1201"/>
    </row>
    <row r="360" spans="18:59" x14ac:dyDescent="0.35">
      <c r="R360" s="1201"/>
      <c r="S360" s="1201"/>
      <c r="W360" s="1201"/>
      <c r="X360" s="1201"/>
      <c r="AE360" s="1201"/>
      <c r="AF360" s="1201"/>
      <c r="AV360" s="1201"/>
      <c r="AW360" s="1201"/>
      <c r="AX360" s="1201"/>
      <c r="AY360" s="1201"/>
      <c r="AZ360" s="1201"/>
      <c r="BA360" s="1201"/>
      <c r="BC360" s="1201"/>
      <c r="BE360" s="1201"/>
      <c r="BF360" s="1201"/>
      <c r="BG360" s="1201"/>
    </row>
    <row r="361" spans="18:59" x14ac:dyDescent="0.35">
      <c r="R361" s="1201"/>
      <c r="S361" s="1201"/>
      <c r="W361" s="1201"/>
      <c r="X361" s="1201"/>
      <c r="AE361" s="1201"/>
      <c r="AF361" s="1201"/>
      <c r="AV361" s="1201"/>
      <c r="AW361" s="1201"/>
      <c r="AX361" s="1201"/>
      <c r="AY361" s="1201"/>
      <c r="AZ361" s="1201"/>
      <c r="BA361" s="1201"/>
      <c r="BC361" s="1201"/>
      <c r="BE361" s="1201"/>
      <c r="BF361" s="1201"/>
      <c r="BG361" s="1201"/>
    </row>
    <row r="362" spans="18:59" x14ac:dyDescent="0.35">
      <c r="R362" s="1201"/>
      <c r="S362" s="1201"/>
      <c r="W362" s="1201"/>
      <c r="X362" s="1201"/>
      <c r="AE362" s="1201"/>
      <c r="AF362" s="1201"/>
      <c r="AV362" s="1201"/>
      <c r="AW362" s="1201"/>
      <c r="AX362" s="1201"/>
      <c r="AY362" s="1201"/>
      <c r="AZ362" s="1201"/>
      <c r="BA362" s="1201"/>
      <c r="BC362" s="1201"/>
      <c r="BE362" s="1201"/>
      <c r="BF362" s="1201"/>
      <c r="BG362" s="1201"/>
    </row>
    <row r="363" spans="18:59" x14ac:dyDescent="0.35">
      <c r="R363" s="1201"/>
      <c r="S363" s="1201"/>
      <c r="W363" s="1201"/>
      <c r="X363" s="1201"/>
      <c r="AE363" s="1201"/>
      <c r="AF363" s="1201"/>
      <c r="AV363" s="1201"/>
      <c r="AW363" s="1201"/>
      <c r="AX363" s="1201"/>
      <c r="AY363" s="1201"/>
      <c r="AZ363" s="1201"/>
      <c r="BA363" s="1201"/>
      <c r="BC363" s="1201"/>
      <c r="BE363" s="1201"/>
      <c r="BF363" s="1201"/>
      <c r="BG363" s="1201"/>
    </row>
    <row r="364" spans="18:59" x14ac:dyDescent="0.35">
      <c r="R364" s="1201"/>
      <c r="S364" s="1201"/>
      <c r="W364" s="1201"/>
      <c r="X364" s="1201"/>
      <c r="AE364" s="1201"/>
      <c r="AF364" s="1201"/>
      <c r="AV364" s="1201"/>
      <c r="AW364" s="1201"/>
      <c r="AX364" s="1201"/>
      <c r="AY364" s="1201"/>
      <c r="AZ364" s="1201"/>
      <c r="BA364" s="1201"/>
      <c r="BC364" s="1201"/>
      <c r="BE364" s="1201"/>
      <c r="BF364" s="1201"/>
      <c r="BG364" s="1201"/>
    </row>
    <row r="365" spans="18:59" x14ac:dyDescent="0.35">
      <c r="R365" s="1201"/>
      <c r="S365" s="1201"/>
      <c r="W365" s="1201"/>
      <c r="X365" s="1201"/>
      <c r="AE365" s="1201"/>
      <c r="AF365" s="1201"/>
      <c r="AV365" s="1201"/>
      <c r="AW365" s="1201"/>
      <c r="AX365" s="1201"/>
      <c r="AY365" s="1201"/>
      <c r="AZ365" s="1201"/>
      <c r="BA365" s="1201"/>
      <c r="BC365" s="1201"/>
      <c r="BE365" s="1201"/>
      <c r="BF365" s="1201"/>
      <c r="BG365" s="1201"/>
    </row>
    <row r="366" spans="18:59" x14ac:dyDescent="0.35">
      <c r="R366" s="1201"/>
      <c r="S366" s="1201"/>
      <c r="W366" s="1201"/>
      <c r="X366" s="1201"/>
      <c r="AE366" s="1201"/>
      <c r="AF366" s="1201"/>
      <c r="AV366" s="1201"/>
      <c r="AW366" s="1201"/>
      <c r="AX366" s="1201"/>
      <c r="AY366" s="1201"/>
      <c r="AZ366" s="1201"/>
      <c r="BA366" s="1201"/>
      <c r="BC366" s="1201"/>
      <c r="BE366" s="1201"/>
      <c r="BF366" s="1201"/>
      <c r="BG366" s="1201"/>
    </row>
    <row r="367" spans="18:59" x14ac:dyDescent="0.35">
      <c r="R367" s="1201"/>
      <c r="S367" s="1201"/>
      <c r="W367" s="1201"/>
      <c r="X367" s="1201"/>
      <c r="AE367" s="1201"/>
      <c r="AF367" s="1201"/>
      <c r="AV367" s="1201"/>
      <c r="AW367" s="1201"/>
      <c r="AX367" s="1201"/>
      <c r="AY367" s="1201"/>
      <c r="AZ367" s="1201"/>
      <c r="BA367" s="1201"/>
      <c r="BC367" s="1201"/>
      <c r="BE367" s="1201"/>
      <c r="BF367" s="1201"/>
      <c r="BG367" s="1201"/>
    </row>
    <row r="368" spans="18:59" x14ac:dyDescent="0.35">
      <c r="R368" s="1201"/>
      <c r="S368" s="1201"/>
      <c r="W368" s="1201"/>
      <c r="X368" s="1201"/>
      <c r="AE368" s="1201"/>
      <c r="AF368" s="1201"/>
      <c r="AV368" s="1201"/>
      <c r="AW368" s="1201"/>
      <c r="AX368" s="1201"/>
      <c r="AY368" s="1201"/>
      <c r="AZ368" s="1201"/>
      <c r="BA368" s="1201"/>
      <c r="BC368" s="1201"/>
      <c r="BE368" s="1201"/>
      <c r="BF368" s="1201"/>
      <c r="BG368" s="1201"/>
    </row>
    <row r="369" spans="18:59" x14ac:dyDescent="0.35">
      <c r="R369" s="1201"/>
      <c r="S369" s="1201"/>
      <c r="W369" s="1201"/>
      <c r="X369" s="1201"/>
      <c r="AE369" s="1201"/>
      <c r="AF369" s="1201"/>
      <c r="AV369" s="1201"/>
      <c r="AW369" s="1201"/>
      <c r="AX369" s="1201"/>
      <c r="AY369" s="1201"/>
      <c r="AZ369" s="1201"/>
      <c r="BA369" s="1201"/>
      <c r="BC369" s="1201"/>
      <c r="BE369" s="1201"/>
      <c r="BF369" s="1201"/>
      <c r="BG369" s="1201"/>
    </row>
    <row r="370" spans="18:59" x14ac:dyDescent="0.35">
      <c r="R370" s="1201"/>
      <c r="S370" s="1201"/>
      <c r="W370" s="1201"/>
      <c r="X370" s="1201"/>
      <c r="AE370" s="1201"/>
      <c r="AF370" s="1201"/>
      <c r="AV370" s="1201"/>
      <c r="AW370" s="1201"/>
      <c r="AX370" s="1201"/>
      <c r="AY370" s="1201"/>
      <c r="AZ370" s="1201"/>
      <c r="BA370" s="1201"/>
      <c r="BC370" s="1201"/>
      <c r="BE370" s="1201"/>
      <c r="BF370" s="1201"/>
      <c r="BG370" s="1201"/>
    </row>
    <row r="371" spans="18:59" x14ac:dyDescent="0.35">
      <c r="R371" s="1201"/>
      <c r="S371" s="1201"/>
      <c r="W371" s="1201"/>
      <c r="X371" s="1201"/>
      <c r="AE371" s="1201"/>
      <c r="AF371" s="1201"/>
      <c r="AV371" s="1201"/>
      <c r="AW371" s="1201"/>
      <c r="AX371" s="1201"/>
      <c r="AY371" s="1201"/>
      <c r="AZ371" s="1201"/>
      <c r="BA371" s="1201"/>
      <c r="BC371" s="1201"/>
      <c r="BE371" s="1201"/>
      <c r="BF371" s="1201"/>
      <c r="BG371" s="1201"/>
    </row>
    <row r="372" spans="18:59" x14ac:dyDescent="0.35">
      <c r="R372" s="1201"/>
      <c r="S372" s="1201"/>
      <c r="W372" s="1201"/>
      <c r="X372" s="1201"/>
      <c r="AE372" s="1201"/>
      <c r="AF372" s="1201"/>
      <c r="AV372" s="1201"/>
      <c r="AW372" s="1201"/>
      <c r="AX372" s="1201"/>
      <c r="AY372" s="1201"/>
      <c r="AZ372" s="1201"/>
      <c r="BA372" s="1201"/>
      <c r="BC372" s="1201"/>
      <c r="BE372" s="1201"/>
      <c r="BF372" s="1201"/>
      <c r="BG372" s="1201"/>
    </row>
    <row r="373" spans="18:59" x14ac:dyDescent="0.35">
      <c r="R373" s="1201"/>
      <c r="S373" s="1201"/>
      <c r="W373" s="1201"/>
      <c r="X373" s="1201"/>
      <c r="AE373" s="1201"/>
      <c r="AF373" s="1201"/>
      <c r="AV373" s="1201"/>
      <c r="AW373" s="1201"/>
      <c r="AX373" s="1201"/>
      <c r="AY373" s="1201"/>
      <c r="AZ373" s="1201"/>
      <c r="BA373" s="1201"/>
      <c r="BC373" s="1201"/>
      <c r="BE373" s="1201"/>
      <c r="BF373" s="1201"/>
      <c r="BG373" s="1201"/>
    </row>
    <row r="374" spans="18:59" x14ac:dyDescent="0.35">
      <c r="R374" s="1201"/>
      <c r="S374" s="1201"/>
      <c r="W374" s="1201"/>
      <c r="X374" s="1201"/>
      <c r="AE374" s="1201"/>
      <c r="AF374" s="1201"/>
      <c r="AV374" s="1201"/>
      <c r="AW374" s="1201"/>
      <c r="AX374" s="1201"/>
      <c r="AY374" s="1201"/>
      <c r="AZ374" s="1201"/>
      <c r="BA374" s="1201"/>
      <c r="BC374" s="1201"/>
      <c r="BE374" s="1201"/>
      <c r="BF374" s="1201"/>
      <c r="BG374" s="1201"/>
    </row>
    <row r="375" spans="18:59" x14ac:dyDescent="0.35">
      <c r="R375" s="1201"/>
      <c r="S375" s="1201"/>
      <c r="W375" s="1201"/>
      <c r="X375" s="1201"/>
      <c r="AE375" s="1201"/>
      <c r="AF375" s="1201"/>
      <c r="AV375" s="1201"/>
      <c r="AW375" s="1201"/>
      <c r="AX375" s="1201"/>
      <c r="AY375" s="1201"/>
      <c r="AZ375" s="1201"/>
      <c r="BA375" s="1201"/>
      <c r="BC375" s="1201"/>
      <c r="BE375" s="1201"/>
      <c r="BF375" s="1201"/>
      <c r="BG375" s="1201"/>
    </row>
    <row r="376" spans="18:59" x14ac:dyDescent="0.35">
      <c r="R376" s="1201"/>
      <c r="S376" s="1201"/>
      <c r="W376" s="1201"/>
      <c r="X376" s="1201"/>
      <c r="AE376" s="1201"/>
      <c r="AF376" s="1201"/>
      <c r="AV376" s="1201"/>
      <c r="AW376" s="1201"/>
      <c r="AX376" s="1201"/>
      <c r="AY376" s="1201"/>
      <c r="AZ376" s="1201"/>
      <c r="BA376" s="1201"/>
      <c r="BC376" s="1201"/>
      <c r="BE376" s="1201"/>
      <c r="BF376" s="1201"/>
      <c r="BG376" s="1201"/>
    </row>
    <row r="377" spans="18:59" x14ac:dyDescent="0.35">
      <c r="R377" s="1201"/>
      <c r="S377" s="1201"/>
      <c r="W377" s="1201"/>
      <c r="X377" s="1201"/>
      <c r="AE377" s="1201"/>
      <c r="AF377" s="1201"/>
      <c r="AV377" s="1201"/>
      <c r="AW377" s="1201"/>
      <c r="AX377" s="1201"/>
      <c r="AY377" s="1201"/>
      <c r="AZ377" s="1201"/>
      <c r="BA377" s="1201"/>
      <c r="BC377" s="1201"/>
      <c r="BE377" s="1201"/>
      <c r="BF377" s="1201"/>
      <c r="BG377" s="1201"/>
    </row>
    <row r="378" spans="18:59" x14ac:dyDescent="0.35">
      <c r="R378" s="1201"/>
      <c r="S378" s="1201"/>
      <c r="W378" s="1201"/>
      <c r="X378" s="1201"/>
      <c r="AE378" s="1201"/>
      <c r="AF378" s="1201"/>
      <c r="AV378" s="1201"/>
      <c r="AW378" s="1201"/>
      <c r="AX378" s="1201"/>
      <c r="AY378" s="1201"/>
      <c r="AZ378" s="1201"/>
      <c r="BA378" s="1201"/>
      <c r="BC378" s="1201"/>
      <c r="BE378" s="1201"/>
      <c r="BF378" s="1201"/>
      <c r="BG378" s="1201"/>
    </row>
    <row r="379" spans="18:59" x14ac:dyDescent="0.35">
      <c r="R379" s="1201"/>
      <c r="S379" s="1201"/>
      <c r="W379" s="1201"/>
      <c r="X379" s="1201"/>
      <c r="AE379" s="1201"/>
      <c r="AF379" s="1201"/>
      <c r="AV379" s="1201"/>
      <c r="AW379" s="1201"/>
      <c r="AX379" s="1201"/>
      <c r="AY379" s="1201"/>
      <c r="AZ379" s="1201"/>
      <c r="BA379" s="1201"/>
      <c r="BC379" s="1201"/>
      <c r="BE379" s="1201"/>
      <c r="BF379" s="1201"/>
      <c r="BG379" s="1201"/>
    </row>
    <row r="380" spans="18:59" x14ac:dyDescent="0.35">
      <c r="R380" s="1201"/>
      <c r="S380" s="1201"/>
      <c r="W380" s="1201"/>
      <c r="X380" s="1201"/>
      <c r="AE380" s="1201"/>
      <c r="AF380" s="1201"/>
      <c r="AV380" s="1201"/>
      <c r="AW380" s="1201"/>
      <c r="AX380" s="1201"/>
      <c r="AY380" s="1201"/>
      <c r="AZ380" s="1201"/>
      <c r="BA380" s="1201"/>
      <c r="BC380" s="1201"/>
      <c r="BE380" s="1201"/>
      <c r="BF380" s="1201"/>
      <c r="BG380" s="1201"/>
    </row>
    <row r="381" spans="18:59" x14ac:dyDescent="0.35">
      <c r="R381" s="1201"/>
      <c r="S381" s="1201"/>
      <c r="W381" s="1201"/>
      <c r="X381" s="1201"/>
      <c r="AE381" s="1201"/>
      <c r="AF381" s="1201"/>
      <c r="AV381" s="1201"/>
      <c r="AW381" s="1201"/>
      <c r="AX381" s="1201"/>
      <c r="AY381" s="1201"/>
      <c r="AZ381" s="1201"/>
      <c r="BA381" s="1201"/>
      <c r="BC381" s="1201"/>
      <c r="BE381" s="1201"/>
      <c r="BF381" s="1201"/>
      <c r="BG381" s="1201"/>
    </row>
    <row r="382" spans="18:59" x14ac:dyDescent="0.35">
      <c r="R382" s="1201"/>
      <c r="S382" s="1201"/>
      <c r="W382" s="1201"/>
      <c r="X382" s="1201"/>
      <c r="AE382" s="1201"/>
      <c r="AF382" s="1201"/>
      <c r="AV382" s="1201"/>
      <c r="AW382" s="1201"/>
      <c r="AX382" s="1201"/>
      <c r="AY382" s="1201"/>
      <c r="AZ382" s="1201"/>
      <c r="BA382" s="1201"/>
      <c r="BC382" s="1201"/>
      <c r="BE382" s="1201"/>
      <c r="BF382" s="1201"/>
      <c r="BG382" s="1201"/>
    </row>
    <row r="383" spans="18:59" x14ac:dyDescent="0.35">
      <c r="R383" s="1201"/>
      <c r="S383" s="1201"/>
      <c r="W383" s="1201"/>
      <c r="X383" s="1201"/>
      <c r="AE383" s="1201"/>
      <c r="AF383" s="1201"/>
      <c r="AV383" s="1201"/>
      <c r="AW383" s="1201"/>
      <c r="AX383" s="1201"/>
      <c r="AY383" s="1201"/>
      <c r="AZ383" s="1201"/>
      <c r="BA383" s="1201"/>
      <c r="BC383" s="1201"/>
      <c r="BE383" s="1201"/>
      <c r="BF383" s="1201"/>
      <c r="BG383" s="1201"/>
    </row>
    <row r="384" spans="18:59" x14ac:dyDescent="0.35">
      <c r="R384" s="1201"/>
      <c r="S384" s="1201"/>
      <c r="W384" s="1201"/>
      <c r="X384" s="1201"/>
      <c r="AE384" s="1201"/>
      <c r="AF384" s="1201"/>
      <c r="AV384" s="1201"/>
      <c r="AW384" s="1201"/>
      <c r="AX384" s="1201"/>
      <c r="AY384" s="1201"/>
      <c r="AZ384" s="1201"/>
      <c r="BA384" s="1201"/>
      <c r="BC384" s="1201"/>
      <c r="BE384" s="1201"/>
      <c r="BF384" s="1201"/>
      <c r="BG384" s="1201"/>
    </row>
    <row r="385" spans="18:59" x14ac:dyDescent="0.35">
      <c r="R385" s="1201"/>
      <c r="S385" s="1201"/>
      <c r="W385" s="1201"/>
      <c r="X385" s="1201"/>
      <c r="AE385" s="1201"/>
      <c r="AF385" s="1201"/>
      <c r="AV385" s="1201"/>
      <c r="AW385" s="1201"/>
      <c r="AX385" s="1201"/>
      <c r="AY385" s="1201"/>
      <c r="AZ385" s="1201"/>
      <c r="BA385" s="1201"/>
      <c r="BC385" s="1201"/>
      <c r="BE385" s="1201"/>
      <c r="BF385" s="1201"/>
      <c r="BG385" s="1201"/>
    </row>
    <row r="386" spans="18:59" x14ac:dyDescent="0.35">
      <c r="R386" s="1201"/>
      <c r="S386" s="1201"/>
      <c r="W386" s="1201"/>
      <c r="X386" s="1201"/>
      <c r="AE386" s="1201"/>
      <c r="AF386" s="1201"/>
      <c r="AV386" s="1201"/>
      <c r="AW386" s="1201"/>
      <c r="AX386" s="1201"/>
      <c r="AY386" s="1201"/>
      <c r="AZ386" s="1201"/>
      <c r="BA386" s="1201"/>
      <c r="BC386" s="1201"/>
      <c r="BE386" s="1201"/>
      <c r="BF386" s="1201"/>
      <c r="BG386" s="1201"/>
    </row>
    <row r="387" spans="18:59" x14ac:dyDescent="0.35">
      <c r="R387" s="1201"/>
      <c r="S387" s="1201"/>
      <c r="W387" s="1201"/>
      <c r="X387" s="1201"/>
      <c r="AE387" s="1201"/>
      <c r="AF387" s="1201"/>
      <c r="AV387" s="1201"/>
      <c r="AW387" s="1201"/>
      <c r="AX387" s="1201"/>
      <c r="AY387" s="1201"/>
      <c r="AZ387" s="1201"/>
      <c r="BA387" s="1201"/>
      <c r="BC387" s="1201"/>
      <c r="BE387" s="1201"/>
      <c r="BF387" s="1201"/>
      <c r="BG387" s="1201"/>
    </row>
    <row r="388" spans="18:59" x14ac:dyDescent="0.35">
      <c r="R388" s="1201"/>
      <c r="S388" s="1201"/>
      <c r="W388" s="1201"/>
      <c r="X388" s="1201"/>
      <c r="AE388" s="1201"/>
      <c r="AF388" s="1201"/>
      <c r="AV388" s="1201"/>
      <c r="AW388" s="1201"/>
      <c r="AX388" s="1201"/>
      <c r="AY388" s="1201"/>
      <c r="AZ388" s="1201"/>
      <c r="BA388" s="1201"/>
      <c r="BC388" s="1201"/>
      <c r="BE388" s="1201"/>
      <c r="BF388" s="1201"/>
      <c r="BG388" s="1201"/>
    </row>
    <row r="389" spans="18:59" x14ac:dyDescent="0.35">
      <c r="R389" s="1201"/>
      <c r="S389" s="1201"/>
      <c r="W389" s="1201"/>
      <c r="X389" s="1201"/>
      <c r="AE389" s="1201"/>
      <c r="AF389" s="1201"/>
      <c r="AV389" s="1201"/>
      <c r="AW389" s="1201"/>
      <c r="AX389" s="1201"/>
      <c r="AY389" s="1201"/>
      <c r="AZ389" s="1201"/>
      <c r="BA389" s="1201"/>
      <c r="BC389" s="1201"/>
      <c r="BE389" s="1201"/>
      <c r="BF389" s="1201"/>
      <c r="BG389" s="1201"/>
    </row>
    <row r="390" spans="18:59" x14ac:dyDescent="0.35">
      <c r="R390" s="1201"/>
      <c r="S390" s="1201"/>
      <c r="W390" s="1201"/>
      <c r="X390" s="1201"/>
      <c r="AE390" s="1201"/>
      <c r="AF390" s="1201"/>
      <c r="AV390" s="1201"/>
      <c r="AW390" s="1201"/>
      <c r="AX390" s="1201"/>
      <c r="AY390" s="1201"/>
      <c r="AZ390" s="1201"/>
      <c r="BA390" s="1201"/>
      <c r="BC390" s="1201"/>
      <c r="BE390" s="1201"/>
      <c r="BF390" s="1201"/>
      <c r="BG390" s="1201"/>
    </row>
    <row r="391" spans="18:59" x14ac:dyDescent="0.35">
      <c r="R391" s="1201"/>
      <c r="S391" s="1201"/>
      <c r="W391" s="1201"/>
      <c r="X391" s="1201"/>
      <c r="AE391" s="1201"/>
      <c r="AF391" s="1201"/>
      <c r="AV391" s="1201"/>
      <c r="AW391" s="1201"/>
      <c r="AX391" s="1201"/>
      <c r="AY391" s="1201"/>
      <c r="AZ391" s="1201"/>
      <c r="BA391" s="1201"/>
      <c r="BC391" s="1201"/>
      <c r="BE391" s="1201"/>
      <c r="BF391" s="1201"/>
      <c r="BG391" s="1201"/>
    </row>
    <row r="392" spans="18:59" x14ac:dyDescent="0.35">
      <c r="R392" s="1201"/>
      <c r="S392" s="1201"/>
      <c r="W392" s="1201"/>
      <c r="X392" s="1201"/>
      <c r="AE392" s="1201"/>
      <c r="AF392" s="1201"/>
      <c r="AV392" s="1201"/>
      <c r="AW392" s="1201"/>
      <c r="AX392" s="1201"/>
      <c r="AY392" s="1201"/>
      <c r="AZ392" s="1201"/>
      <c r="BA392" s="1201"/>
      <c r="BC392" s="1201"/>
      <c r="BE392" s="1201"/>
      <c r="BF392" s="1201"/>
      <c r="BG392" s="1201"/>
    </row>
    <row r="393" spans="18:59" x14ac:dyDescent="0.35">
      <c r="R393" s="1201"/>
      <c r="S393" s="1201"/>
      <c r="W393" s="1201"/>
      <c r="X393" s="1201"/>
      <c r="AE393" s="1201"/>
      <c r="AF393" s="1201"/>
      <c r="AV393" s="1201"/>
      <c r="AW393" s="1201"/>
      <c r="AX393" s="1201"/>
      <c r="AY393" s="1201"/>
      <c r="AZ393" s="1201"/>
      <c r="BA393" s="1201"/>
      <c r="BC393" s="1201"/>
      <c r="BE393" s="1201"/>
      <c r="BF393" s="1201"/>
      <c r="BG393" s="1201"/>
    </row>
    <row r="394" spans="18:59" x14ac:dyDescent="0.35">
      <c r="R394" s="1201"/>
      <c r="S394" s="1201"/>
      <c r="W394" s="1201"/>
      <c r="X394" s="1201"/>
      <c r="AE394" s="1201"/>
      <c r="AF394" s="1201"/>
      <c r="AV394" s="1201"/>
      <c r="AW394" s="1201"/>
      <c r="AX394" s="1201"/>
      <c r="AY394" s="1201"/>
      <c r="AZ394" s="1201"/>
      <c r="BA394" s="1201"/>
      <c r="BC394" s="1201"/>
      <c r="BE394" s="1201"/>
      <c r="BF394" s="1201"/>
      <c r="BG394" s="1201"/>
    </row>
    <row r="395" spans="18:59" x14ac:dyDescent="0.35">
      <c r="R395" s="1201"/>
      <c r="S395" s="1201"/>
      <c r="W395" s="1201"/>
      <c r="X395" s="1201"/>
      <c r="AE395" s="1201"/>
      <c r="AF395" s="1201"/>
      <c r="AV395" s="1201"/>
      <c r="AW395" s="1201"/>
      <c r="AX395" s="1201"/>
      <c r="AY395" s="1201"/>
      <c r="AZ395" s="1201"/>
      <c r="BA395" s="1201"/>
      <c r="BC395" s="1201"/>
      <c r="BE395" s="1201"/>
      <c r="BF395" s="1201"/>
      <c r="BG395" s="1201"/>
    </row>
    <row r="396" spans="18:59" x14ac:dyDescent="0.35">
      <c r="R396" s="1201"/>
      <c r="S396" s="1201"/>
      <c r="W396" s="1201"/>
      <c r="X396" s="1201"/>
      <c r="AE396" s="1201"/>
      <c r="AF396" s="1201"/>
      <c r="AV396" s="1201"/>
      <c r="AW396" s="1201"/>
      <c r="AX396" s="1201"/>
      <c r="AY396" s="1201"/>
      <c r="AZ396" s="1201"/>
      <c r="BA396" s="1201"/>
      <c r="BC396" s="1201"/>
      <c r="BE396" s="1201"/>
      <c r="BF396" s="1201"/>
      <c r="BG396" s="1201"/>
    </row>
    <row r="397" spans="18:59" x14ac:dyDescent="0.35">
      <c r="R397" s="1201"/>
      <c r="S397" s="1201"/>
      <c r="W397" s="1201"/>
      <c r="X397" s="1201"/>
      <c r="AE397" s="1201"/>
      <c r="AF397" s="1201"/>
      <c r="AV397" s="1201"/>
      <c r="AW397" s="1201"/>
      <c r="AX397" s="1201"/>
      <c r="AY397" s="1201"/>
      <c r="AZ397" s="1201"/>
      <c r="BA397" s="1201"/>
      <c r="BC397" s="1201"/>
      <c r="BE397" s="1201"/>
      <c r="BF397" s="1201"/>
      <c r="BG397" s="1201"/>
    </row>
    <row r="398" spans="18:59" x14ac:dyDescent="0.35">
      <c r="R398" s="1201"/>
      <c r="S398" s="1201"/>
      <c r="W398" s="1201"/>
      <c r="X398" s="1201"/>
      <c r="AE398" s="1201"/>
      <c r="AF398" s="1201"/>
      <c r="AV398" s="1201"/>
      <c r="AW398" s="1201"/>
      <c r="AX398" s="1201"/>
      <c r="AY398" s="1201"/>
      <c r="AZ398" s="1201"/>
      <c r="BA398" s="1201"/>
      <c r="BC398" s="1201"/>
      <c r="BE398" s="1201"/>
      <c r="BF398" s="1201"/>
      <c r="BG398" s="1201"/>
    </row>
    <row r="399" spans="18:59" x14ac:dyDescent="0.35">
      <c r="R399" s="1201"/>
      <c r="S399" s="1201"/>
      <c r="W399" s="1201"/>
      <c r="X399" s="1201"/>
      <c r="AE399" s="1201"/>
      <c r="AF399" s="1201"/>
      <c r="AV399" s="1201"/>
      <c r="AW399" s="1201"/>
      <c r="AX399" s="1201"/>
      <c r="AY399" s="1201"/>
      <c r="AZ399" s="1201"/>
      <c r="BA399" s="1201"/>
      <c r="BC399" s="1201"/>
      <c r="BE399" s="1201"/>
      <c r="BF399" s="1201"/>
      <c r="BG399" s="1201"/>
    </row>
    <row r="400" spans="18:59" x14ac:dyDescent="0.35">
      <c r="R400" s="1201"/>
      <c r="S400" s="1201"/>
      <c r="W400" s="1201"/>
      <c r="X400" s="1201"/>
      <c r="AE400" s="1201"/>
      <c r="AF400" s="1201"/>
      <c r="AV400" s="1201"/>
      <c r="AW400" s="1201"/>
      <c r="AX400" s="1201"/>
      <c r="AY400" s="1201"/>
      <c r="AZ400" s="1201"/>
      <c r="BA400" s="1201"/>
      <c r="BC400" s="1201"/>
      <c r="BE400" s="1201"/>
      <c r="BF400" s="1201"/>
      <c r="BG400" s="1201"/>
    </row>
    <row r="401" spans="18:59" x14ac:dyDescent="0.35">
      <c r="R401" s="1201"/>
      <c r="S401" s="1201"/>
      <c r="W401" s="1201"/>
      <c r="X401" s="1201"/>
      <c r="AE401" s="1201"/>
      <c r="AF401" s="1201"/>
      <c r="AV401" s="1201"/>
      <c r="AW401" s="1201"/>
      <c r="AX401" s="1201"/>
      <c r="AY401" s="1201"/>
      <c r="AZ401" s="1201"/>
      <c r="BA401" s="1201"/>
      <c r="BC401" s="1201"/>
      <c r="BE401" s="1201"/>
      <c r="BF401" s="1201"/>
      <c r="BG401" s="1201"/>
    </row>
    <row r="402" spans="18:59" x14ac:dyDescent="0.35">
      <c r="R402" s="1201"/>
      <c r="S402" s="1201"/>
      <c r="W402" s="1201"/>
      <c r="X402" s="1201"/>
      <c r="AE402" s="1201"/>
      <c r="AF402" s="1201"/>
      <c r="AV402" s="1201"/>
      <c r="AW402" s="1201"/>
      <c r="AX402" s="1201"/>
      <c r="AY402" s="1201"/>
      <c r="AZ402" s="1201"/>
      <c r="BA402" s="1201"/>
      <c r="BC402" s="1201"/>
      <c r="BE402" s="1201"/>
      <c r="BF402" s="1201"/>
      <c r="BG402" s="1201"/>
    </row>
    <row r="403" spans="18:59" x14ac:dyDescent="0.35">
      <c r="R403" s="1201"/>
      <c r="S403" s="1201"/>
      <c r="W403" s="1201"/>
      <c r="X403" s="1201"/>
      <c r="AE403" s="1201"/>
      <c r="AF403" s="1201"/>
      <c r="AV403" s="1201"/>
      <c r="AW403" s="1201"/>
      <c r="AX403" s="1201"/>
      <c r="AY403" s="1201"/>
      <c r="AZ403" s="1201"/>
      <c r="BA403" s="1201"/>
      <c r="BC403" s="1201"/>
      <c r="BE403" s="1201"/>
      <c r="BF403" s="1201"/>
      <c r="BG403" s="1201"/>
    </row>
    <row r="404" spans="18:59" x14ac:dyDescent="0.35">
      <c r="R404" s="1201"/>
      <c r="S404" s="1201"/>
      <c r="W404" s="1201"/>
      <c r="X404" s="1201"/>
      <c r="AE404" s="1201"/>
      <c r="AF404" s="1201"/>
      <c r="AV404" s="1201"/>
      <c r="AW404" s="1201"/>
      <c r="AX404" s="1201"/>
      <c r="AY404" s="1201"/>
      <c r="AZ404" s="1201"/>
      <c r="BA404" s="1201"/>
      <c r="BC404" s="1201"/>
      <c r="BE404" s="1201"/>
      <c r="BF404" s="1201"/>
      <c r="BG404" s="1201"/>
    </row>
    <row r="405" spans="18:59" x14ac:dyDescent="0.35">
      <c r="R405" s="1201"/>
      <c r="S405" s="1201"/>
      <c r="W405" s="1201"/>
      <c r="X405" s="1201"/>
      <c r="AE405" s="1201"/>
      <c r="AF405" s="1201"/>
      <c r="AV405" s="1201"/>
      <c r="AW405" s="1201"/>
      <c r="AX405" s="1201"/>
      <c r="AY405" s="1201"/>
      <c r="AZ405" s="1201"/>
      <c r="BA405" s="1201"/>
      <c r="BC405" s="1201"/>
      <c r="BE405" s="1201"/>
      <c r="BF405" s="1201"/>
      <c r="BG405" s="1201"/>
    </row>
    <row r="406" spans="18:59" x14ac:dyDescent="0.35">
      <c r="R406" s="1201"/>
      <c r="S406" s="1201"/>
      <c r="W406" s="1201"/>
      <c r="X406" s="1201"/>
      <c r="AE406" s="1201"/>
      <c r="AF406" s="1201"/>
      <c r="AV406" s="1201"/>
      <c r="AW406" s="1201"/>
      <c r="AX406" s="1201"/>
      <c r="AY406" s="1201"/>
      <c r="AZ406" s="1201"/>
      <c r="BA406" s="1201"/>
      <c r="BC406" s="1201"/>
      <c r="BE406" s="1201"/>
      <c r="BF406" s="1201"/>
      <c r="BG406" s="1201"/>
    </row>
    <row r="407" spans="18:59" x14ac:dyDescent="0.35">
      <c r="R407" s="1201"/>
      <c r="S407" s="1201"/>
      <c r="W407" s="1201"/>
      <c r="X407" s="1201"/>
      <c r="AE407" s="1201"/>
      <c r="AF407" s="1201"/>
      <c r="AV407" s="1201"/>
      <c r="AW407" s="1201"/>
      <c r="AX407" s="1201"/>
      <c r="AY407" s="1201"/>
      <c r="AZ407" s="1201"/>
      <c r="BA407" s="1201"/>
      <c r="BC407" s="1201"/>
      <c r="BE407" s="1201"/>
      <c r="BF407" s="1201"/>
      <c r="BG407" s="1201"/>
    </row>
    <row r="408" spans="18:59" x14ac:dyDescent="0.35">
      <c r="R408" s="1201"/>
      <c r="S408" s="1201"/>
      <c r="W408" s="1201"/>
      <c r="X408" s="1201"/>
      <c r="AE408" s="1201"/>
      <c r="AF408" s="1201"/>
      <c r="AV408" s="1201"/>
      <c r="AW408" s="1201"/>
      <c r="AX408" s="1201"/>
      <c r="AY408" s="1201"/>
      <c r="AZ408" s="1201"/>
      <c r="BA408" s="1201"/>
      <c r="BC408" s="1201"/>
      <c r="BE408" s="1201"/>
      <c r="BF408" s="1201"/>
      <c r="BG408" s="1201"/>
    </row>
    <row r="409" spans="18:59" x14ac:dyDescent="0.35">
      <c r="R409" s="1201"/>
      <c r="S409" s="1201"/>
      <c r="W409" s="1201"/>
      <c r="X409" s="1201"/>
      <c r="AE409" s="1201"/>
      <c r="AF409" s="1201"/>
      <c r="AV409" s="1201"/>
      <c r="AW409" s="1201"/>
      <c r="AX409" s="1201"/>
      <c r="AY409" s="1201"/>
      <c r="AZ409" s="1201"/>
      <c r="BA409" s="1201"/>
      <c r="BC409" s="1201"/>
      <c r="BE409" s="1201"/>
      <c r="BF409" s="1201"/>
      <c r="BG409" s="1201"/>
    </row>
    <row r="410" spans="18:59" x14ac:dyDescent="0.35">
      <c r="R410" s="1201"/>
      <c r="S410" s="1201"/>
      <c r="W410" s="1201"/>
      <c r="X410" s="1201"/>
      <c r="AE410" s="1201"/>
      <c r="AF410" s="1201"/>
      <c r="AV410" s="1201"/>
      <c r="AW410" s="1201"/>
      <c r="AX410" s="1201"/>
      <c r="AY410" s="1201"/>
      <c r="AZ410" s="1201"/>
      <c r="BA410" s="1201"/>
      <c r="BC410" s="1201"/>
      <c r="BE410" s="1201"/>
      <c r="BF410" s="1201"/>
      <c r="BG410" s="1201"/>
    </row>
    <row r="411" spans="18:59" x14ac:dyDescent="0.35">
      <c r="R411" s="1201"/>
      <c r="S411" s="1201"/>
      <c r="W411" s="1201"/>
      <c r="X411" s="1201"/>
      <c r="AE411" s="1201"/>
      <c r="AF411" s="1201"/>
      <c r="AV411" s="1201"/>
      <c r="AW411" s="1201"/>
      <c r="AX411" s="1201"/>
      <c r="AY411" s="1201"/>
      <c r="AZ411" s="1201"/>
      <c r="BA411" s="1201"/>
      <c r="BC411" s="1201"/>
      <c r="BE411" s="1201"/>
      <c r="BF411" s="1201"/>
      <c r="BG411" s="1201"/>
    </row>
    <row r="412" spans="18:59" x14ac:dyDescent="0.35">
      <c r="R412" s="1201"/>
      <c r="S412" s="1201"/>
      <c r="W412" s="1201"/>
      <c r="X412" s="1201"/>
      <c r="AE412" s="1201"/>
      <c r="AF412" s="1201"/>
      <c r="AV412" s="1201"/>
      <c r="AW412" s="1201"/>
      <c r="AX412" s="1201"/>
      <c r="AY412" s="1201"/>
      <c r="AZ412" s="1201"/>
      <c r="BA412" s="1201"/>
      <c r="BC412" s="1201"/>
      <c r="BE412" s="1201"/>
      <c r="BF412" s="1201"/>
      <c r="BG412" s="1201"/>
    </row>
    <row r="413" spans="18:59" x14ac:dyDescent="0.35">
      <c r="R413" s="1201"/>
      <c r="S413" s="1201"/>
      <c r="W413" s="1201"/>
      <c r="X413" s="1201"/>
      <c r="AE413" s="1201"/>
      <c r="AF413" s="1201"/>
      <c r="AV413" s="1201"/>
      <c r="AW413" s="1201"/>
      <c r="AX413" s="1201"/>
      <c r="AY413" s="1201"/>
      <c r="AZ413" s="1201"/>
      <c r="BA413" s="1201"/>
      <c r="BC413" s="1201"/>
      <c r="BE413" s="1201"/>
      <c r="BF413" s="1201"/>
      <c r="BG413" s="1201"/>
    </row>
    <row r="414" spans="18:59" x14ac:dyDescent="0.35">
      <c r="R414" s="1201"/>
      <c r="S414" s="1201"/>
      <c r="W414" s="1201"/>
      <c r="X414" s="1201"/>
      <c r="AE414" s="1201"/>
      <c r="AF414" s="1201"/>
      <c r="AV414" s="1201"/>
      <c r="AW414" s="1201"/>
      <c r="AX414" s="1201"/>
      <c r="AY414" s="1201"/>
      <c r="AZ414" s="1201"/>
      <c r="BA414" s="1201"/>
      <c r="BC414" s="1201"/>
      <c r="BE414" s="1201"/>
      <c r="BF414" s="1201"/>
      <c r="BG414" s="1201"/>
    </row>
    <row r="415" spans="18:59" x14ac:dyDescent="0.35">
      <c r="R415" s="1201"/>
      <c r="S415" s="1201"/>
      <c r="W415" s="1201"/>
      <c r="X415" s="1201"/>
      <c r="AE415" s="1201"/>
      <c r="AF415" s="1201"/>
      <c r="AV415" s="1201"/>
      <c r="AW415" s="1201"/>
      <c r="AX415" s="1201"/>
      <c r="AY415" s="1201"/>
      <c r="AZ415" s="1201"/>
      <c r="BA415" s="1201"/>
      <c r="BC415" s="1201"/>
      <c r="BE415" s="1201"/>
      <c r="BF415" s="1201"/>
      <c r="BG415" s="1201"/>
    </row>
    <row r="416" spans="18:59" x14ac:dyDescent="0.35">
      <c r="R416" s="1201"/>
      <c r="S416" s="1201"/>
      <c r="W416" s="1201"/>
      <c r="X416" s="1201"/>
      <c r="AE416" s="1201"/>
      <c r="AF416" s="1201"/>
      <c r="AV416" s="1201"/>
      <c r="AW416" s="1201"/>
      <c r="AX416" s="1201"/>
      <c r="AY416" s="1201"/>
      <c r="AZ416" s="1201"/>
      <c r="BA416" s="1201"/>
      <c r="BC416" s="1201"/>
      <c r="BE416" s="1201"/>
      <c r="BF416" s="1201"/>
      <c r="BG416" s="1201"/>
    </row>
    <row r="417" spans="18:59" x14ac:dyDescent="0.35">
      <c r="R417" s="1201"/>
      <c r="S417" s="1201"/>
      <c r="W417" s="1201"/>
      <c r="X417" s="1201"/>
      <c r="AE417" s="1201"/>
      <c r="AF417" s="1201"/>
      <c r="AV417" s="1201"/>
      <c r="AW417" s="1201"/>
      <c r="AX417" s="1201"/>
      <c r="AY417" s="1201"/>
      <c r="AZ417" s="1201"/>
      <c r="BA417" s="1201"/>
      <c r="BC417" s="1201"/>
      <c r="BE417" s="1201"/>
      <c r="BF417" s="1201"/>
      <c r="BG417" s="1201"/>
    </row>
    <row r="418" spans="18:59" x14ac:dyDescent="0.35">
      <c r="R418" s="1201"/>
      <c r="S418" s="1201"/>
      <c r="W418" s="1201"/>
      <c r="X418" s="1201"/>
      <c r="AE418" s="1201"/>
      <c r="AF418" s="1201"/>
      <c r="AV418" s="1201"/>
      <c r="AW418" s="1201"/>
      <c r="AX418" s="1201"/>
      <c r="AY418" s="1201"/>
      <c r="AZ418" s="1201"/>
      <c r="BA418" s="1201"/>
      <c r="BC418" s="1201"/>
      <c r="BE418" s="1201"/>
      <c r="BF418" s="1201"/>
      <c r="BG418" s="1201"/>
    </row>
    <row r="419" spans="18:59" x14ac:dyDescent="0.35">
      <c r="R419" s="1201"/>
      <c r="S419" s="1201"/>
      <c r="W419" s="1201"/>
      <c r="X419" s="1201"/>
      <c r="AE419" s="1201"/>
      <c r="AF419" s="1201"/>
      <c r="AV419" s="1201"/>
      <c r="AW419" s="1201"/>
      <c r="AX419" s="1201"/>
      <c r="AY419" s="1201"/>
      <c r="AZ419" s="1201"/>
      <c r="BA419" s="1201"/>
      <c r="BC419" s="1201"/>
      <c r="BE419" s="1201"/>
      <c r="BF419" s="1201"/>
      <c r="BG419" s="1201"/>
    </row>
    <row r="420" spans="18:59" x14ac:dyDescent="0.35">
      <c r="R420" s="1201"/>
      <c r="S420" s="1201"/>
      <c r="W420" s="1201"/>
      <c r="X420" s="1201"/>
      <c r="AE420" s="1201"/>
      <c r="AF420" s="1201"/>
      <c r="AV420" s="1201"/>
      <c r="AW420" s="1201"/>
      <c r="AX420" s="1201"/>
      <c r="AY420" s="1201"/>
      <c r="AZ420" s="1201"/>
      <c r="BA420" s="1201"/>
      <c r="BC420" s="1201"/>
      <c r="BE420" s="1201"/>
      <c r="BF420" s="1201"/>
      <c r="BG420" s="1201"/>
    </row>
    <row r="421" spans="18:59" x14ac:dyDescent="0.35">
      <c r="R421" s="1201"/>
      <c r="S421" s="1201"/>
      <c r="W421" s="1201"/>
      <c r="X421" s="1201"/>
      <c r="AE421" s="1201"/>
      <c r="AF421" s="1201"/>
      <c r="AV421" s="1201"/>
      <c r="AW421" s="1201"/>
      <c r="AX421" s="1201"/>
      <c r="AY421" s="1201"/>
      <c r="AZ421" s="1201"/>
      <c r="BA421" s="1201"/>
      <c r="BC421" s="1201"/>
      <c r="BE421" s="1201"/>
      <c r="BF421" s="1201"/>
      <c r="BG421" s="1201"/>
    </row>
    <row r="422" spans="18:59" x14ac:dyDescent="0.35">
      <c r="R422" s="1201"/>
      <c r="S422" s="1201"/>
      <c r="W422" s="1201"/>
      <c r="X422" s="1201"/>
      <c r="AE422" s="1201"/>
      <c r="AF422" s="1201"/>
      <c r="AV422" s="1201"/>
      <c r="AW422" s="1201"/>
      <c r="AX422" s="1201"/>
      <c r="AY422" s="1201"/>
      <c r="AZ422" s="1201"/>
      <c r="BA422" s="1201"/>
      <c r="BC422" s="1201"/>
      <c r="BE422" s="1201"/>
      <c r="BF422" s="1201"/>
      <c r="BG422" s="1201"/>
    </row>
    <row r="423" spans="18:59" x14ac:dyDescent="0.35">
      <c r="R423" s="1201"/>
      <c r="S423" s="1201"/>
      <c r="W423" s="1201"/>
      <c r="X423" s="1201"/>
      <c r="AE423" s="1201"/>
      <c r="AF423" s="1201"/>
      <c r="AV423" s="1201"/>
      <c r="AW423" s="1201"/>
      <c r="AX423" s="1201"/>
      <c r="AY423" s="1201"/>
      <c r="AZ423" s="1201"/>
      <c r="BA423" s="1201"/>
      <c r="BC423" s="1201"/>
      <c r="BE423" s="1201"/>
      <c r="BF423" s="1201"/>
      <c r="BG423" s="1201"/>
    </row>
    <row r="424" spans="18:59" x14ac:dyDescent="0.35">
      <c r="R424" s="1201"/>
      <c r="S424" s="1201"/>
      <c r="W424" s="1201"/>
      <c r="X424" s="1201"/>
      <c r="AE424" s="1201"/>
      <c r="AF424" s="1201"/>
      <c r="AV424" s="1201"/>
      <c r="AW424" s="1201"/>
      <c r="AX424" s="1201"/>
      <c r="AY424" s="1201"/>
      <c r="AZ424" s="1201"/>
      <c r="BA424" s="1201"/>
      <c r="BC424" s="1201"/>
      <c r="BE424" s="1201"/>
      <c r="BF424" s="1201"/>
      <c r="BG424" s="1201"/>
    </row>
    <row r="425" spans="18:59" x14ac:dyDescent="0.35">
      <c r="R425" s="1201"/>
      <c r="S425" s="1201"/>
      <c r="W425" s="1201"/>
      <c r="X425" s="1201"/>
      <c r="AE425" s="1201"/>
      <c r="AF425" s="1201"/>
      <c r="AV425" s="1201"/>
      <c r="AW425" s="1201"/>
      <c r="AX425" s="1201"/>
      <c r="AY425" s="1201"/>
      <c r="AZ425" s="1201"/>
      <c r="BA425" s="1201"/>
      <c r="BC425" s="1201"/>
      <c r="BE425" s="1201"/>
      <c r="BF425" s="1201"/>
      <c r="BG425" s="1201"/>
    </row>
    <row r="426" spans="18:59" x14ac:dyDescent="0.35">
      <c r="R426" s="1201"/>
      <c r="S426" s="1201"/>
      <c r="W426" s="1201"/>
      <c r="X426" s="1201"/>
      <c r="AE426" s="1201"/>
      <c r="AF426" s="1201"/>
      <c r="AV426" s="1201"/>
      <c r="AW426" s="1201"/>
      <c r="AX426" s="1201"/>
      <c r="AY426" s="1201"/>
      <c r="AZ426" s="1201"/>
      <c r="BA426" s="1201"/>
      <c r="BC426" s="1201"/>
      <c r="BE426" s="1201"/>
      <c r="BF426" s="1201"/>
      <c r="BG426" s="1201"/>
    </row>
    <row r="427" spans="18:59" x14ac:dyDescent="0.35">
      <c r="R427" s="1201"/>
      <c r="S427" s="1201"/>
      <c r="W427" s="1201"/>
      <c r="X427" s="1201"/>
      <c r="AE427" s="1201"/>
      <c r="AF427" s="1201"/>
      <c r="AV427" s="1201"/>
      <c r="AW427" s="1201"/>
      <c r="AX427" s="1201"/>
      <c r="AY427" s="1201"/>
      <c r="AZ427" s="1201"/>
      <c r="BA427" s="1201"/>
      <c r="BC427" s="1201"/>
      <c r="BE427" s="1201"/>
      <c r="BF427" s="1201"/>
      <c r="BG427" s="1201"/>
    </row>
    <row r="428" spans="18:59" x14ac:dyDescent="0.35">
      <c r="R428" s="1201"/>
      <c r="S428" s="1201"/>
      <c r="W428" s="1201"/>
      <c r="X428" s="1201"/>
      <c r="AE428" s="1201"/>
      <c r="AF428" s="1201"/>
      <c r="AV428" s="1201"/>
      <c r="AW428" s="1201"/>
      <c r="AX428" s="1201"/>
      <c r="AY428" s="1201"/>
      <c r="AZ428" s="1201"/>
      <c r="BA428" s="1201"/>
      <c r="BC428" s="1201"/>
      <c r="BE428" s="1201"/>
      <c r="BF428" s="1201"/>
      <c r="BG428" s="1201"/>
    </row>
    <row r="429" spans="18:59" x14ac:dyDescent="0.35">
      <c r="R429" s="1201"/>
      <c r="S429" s="1201"/>
      <c r="W429" s="1201"/>
      <c r="X429" s="1201"/>
      <c r="AE429" s="1201"/>
      <c r="AF429" s="1201"/>
      <c r="AV429" s="1201"/>
      <c r="AW429" s="1201"/>
      <c r="AX429" s="1201"/>
      <c r="AY429" s="1201"/>
      <c r="AZ429" s="1201"/>
      <c r="BA429" s="1201"/>
      <c r="BC429" s="1201"/>
      <c r="BE429" s="1201"/>
      <c r="BF429" s="1201"/>
      <c r="BG429" s="1201"/>
    </row>
    <row r="430" spans="18:59" x14ac:dyDescent="0.35">
      <c r="R430" s="1201"/>
      <c r="S430" s="1201"/>
      <c r="W430" s="1201"/>
      <c r="X430" s="1201"/>
      <c r="AE430" s="1201"/>
      <c r="AF430" s="1201"/>
      <c r="AV430" s="1201"/>
      <c r="AW430" s="1201"/>
      <c r="AX430" s="1201"/>
      <c r="AY430" s="1201"/>
      <c r="AZ430" s="1201"/>
      <c r="BA430" s="1201"/>
      <c r="BC430" s="1201"/>
      <c r="BE430" s="1201"/>
      <c r="BF430" s="1201"/>
      <c r="BG430" s="1201"/>
    </row>
    <row r="431" spans="18:59" x14ac:dyDescent="0.35">
      <c r="R431" s="1201"/>
      <c r="S431" s="1201"/>
      <c r="W431" s="1201"/>
      <c r="X431" s="1201"/>
      <c r="AE431" s="1201"/>
      <c r="AF431" s="1201"/>
      <c r="AV431" s="1201"/>
      <c r="AW431" s="1201"/>
      <c r="AX431" s="1201"/>
      <c r="AY431" s="1201"/>
      <c r="AZ431" s="1201"/>
      <c r="BA431" s="1201"/>
      <c r="BC431" s="1201"/>
      <c r="BE431" s="1201"/>
      <c r="BF431" s="1201"/>
      <c r="BG431" s="1201"/>
    </row>
    <row r="432" spans="18:59" x14ac:dyDescent="0.35">
      <c r="R432" s="1201"/>
      <c r="S432" s="1201"/>
      <c r="W432" s="1201"/>
      <c r="X432" s="1201"/>
      <c r="AE432" s="1201"/>
      <c r="AF432" s="1201"/>
      <c r="AV432" s="1201"/>
      <c r="AW432" s="1201"/>
      <c r="AX432" s="1201"/>
      <c r="AY432" s="1201"/>
      <c r="AZ432" s="1201"/>
      <c r="BA432" s="1201"/>
      <c r="BC432" s="1201"/>
      <c r="BE432" s="1201"/>
      <c r="BF432" s="1201"/>
      <c r="BG432" s="1201"/>
    </row>
    <row r="433" spans="18:59" x14ac:dyDescent="0.35">
      <c r="R433" s="1201"/>
      <c r="S433" s="1201"/>
      <c r="W433" s="1201"/>
      <c r="X433" s="1201"/>
      <c r="AE433" s="1201"/>
      <c r="AF433" s="1201"/>
      <c r="AV433" s="1201"/>
      <c r="AW433" s="1201"/>
      <c r="AX433" s="1201"/>
      <c r="AY433" s="1201"/>
      <c r="AZ433" s="1201"/>
      <c r="BA433" s="1201"/>
      <c r="BC433" s="1201"/>
      <c r="BE433" s="1201"/>
      <c r="BF433" s="1201"/>
      <c r="BG433" s="1201"/>
    </row>
    <row r="434" spans="18:59" x14ac:dyDescent="0.35">
      <c r="R434" s="1201"/>
      <c r="S434" s="1201"/>
      <c r="W434" s="1201"/>
      <c r="X434" s="1201"/>
      <c r="AE434" s="1201"/>
      <c r="AF434" s="1201"/>
      <c r="AV434" s="1201"/>
      <c r="AW434" s="1201"/>
      <c r="AX434" s="1201"/>
      <c r="AY434" s="1201"/>
      <c r="AZ434" s="1201"/>
      <c r="BA434" s="1201"/>
      <c r="BC434" s="1201"/>
      <c r="BE434" s="1201"/>
      <c r="BF434" s="1201"/>
      <c r="BG434" s="1201"/>
    </row>
    <row r="435" spans="18:59" x14ac:dyDescent="0.35">
      <c r="R435" s="1201"/>
      <c r="S435" s="1201"/>
      <c r="W435" s="1201"/>
      <c r="X435" s="1201"/>
      <c r="AE435" s="1201"/>
      <c r="AF435" s="1201"/>
      <c r="AV435" s="1201"/>
      <c r="AW435" s="1201"/>
      <c r="AX435" s="1201"/>
      <c r="AY435" s="1201"/>
      <c r="AZ435" s="1201"/>
      <c r="BA435" s="1201"/>
      <c r="BC435" s="1201"/>
      <c r="BE435" s="1201"/>
      <c r="BF435" s="1201"/>
      <c r="BG435" s="1201"/>
    </row>
    <row r="436" spans="18:59" x14ac:dyDescent="0.35">
      <c r="R436" s="1201"/>
      <c r="S436" s="1201"/>
      <c r="W436" s="1201"/>
      <c r="X436" s="1201"/>
      <c r="AE436" s="1201"/>
      <c r="AF436" s="1201"/>
      <c r="AV436" s="1201"/>
      <c r="AW436" s="1201"/>
      <c r="AX436" s="1201"/>
      <c r="AY436" s="1201"/>
      <c r="AZ436" s="1201"/>
      <c r="BA436" s="1201"/>
      <c r="BC436" s="1201"/>
      <c r="BE436" s="1201"/>
      <c r="BF436" s="1201"/>
      <c r="BG436" s="1201"/>
    </row>
    <row r="437" spans="18:59" x14ac:dyDescent="0.35">
      <c r="R437" s="1201"/>
      <c r="S437" s="1201"/>
      <c r="W437" s="1201"/>
      <c r="X437" s="1201"/>
      <c r="AE437" s="1201"/>
      <c r="AF437" s="1201"/>
      <c r="AV437" s="1201"/>
      <c r="AW437" s="1201"/>
      <c r="AX437" s="1201"/>
      <c r="AY437" s="1201"/>
      <c r="AZ437" s="1201"/>
      <c r="BA437" s="1201"/>
      <c r="BC437" s="1201"/>
      <c r="BE437" s="1201"/>
      <c r="BF437" s="1201"/>
      <c r="BG437" s="1201"/>
    </row>
    <row r="438" spans="18:59" x14ac:dyDescent="0.35">
      <c r="R438" s="1201"/>
      <c r="S438" s="1201"/>
      <c r="W438" s="1201"/>
      <c r="X438" s="1201"/>
      <c r="AE438" s="1201"/>
      <c r="AF438" s="1201"/>
      <c r="AV438" s="1201"/>
      <c r="AW438" s="1201"/>
      <c r="AX438" s="1201"/>
      <c r="AY438" s="1201"/>
      <c r="AZ438" s="1201"/>
      <c r="BA438" s="1201"/>
      <c r="BC438" s="1201"/>
      <c r="BE438" s="1201"/>
      <c r="BF438" s="1201"/>
      <c r="BG438" s="1201"/>
    </row>
    <row r="439" spans="18:59" x14ac:dyDescent="0.35">
      <c r="R439" s="1201"/>
      <c r="S439" s="1201"/>
      <c r="W439" s="1201"/>
      <c r="X439" s="1201"/>
      <c r="AE439" s="1201"/>
      <c r="AF439" s="1201"/>
      <c r="AV439" s="1201"/>
      <c r="AW439" s="1201"/>
      <c r="AX439" s="1201"/>
      <c r="AY439" s="1201"/>
      <c r="AZ439" s="1201"/>
      <c r="BA439" s="1201"/>
      <c r="BC439" s="1201"/>
      <c r="BE439" s="1201"/>
      <c r="BF439" s="1201"/>
      <c r="BG439" s="1201"/>
    </row>
    <row r="440" spans="18:59" x14ac:dyDescent="0.35">
      <c r="R440" s="1201"/>
      <c r="S440" s="1201"/>
      <c r="W440" s="1201"/>
      <c r="X440" s="1201"/>
      <c r="AE440" s="1201"/>
      <c r="AF440" s="1201"/>
      <c r="AV440" s="1201"/>
      <c r="AW440" s="1201"/>
      <c r="AX440" s="1201"/>
      <c r="AY440" s="1201"/>
      <c r="AZ440" s="1201"/>
      <c r="BA440" s="1201"/>
      <c r="BC440" s="1201"/>
      <c r="BE440" s="1201"/>
      <c r="BF440" s="1201"/>
      <c r="BG440" s="1201"/>
    </row>
    <row r="441" spans="18:59" x14ac:dyDescent="0.35">
      <c r="R441" s="1201"/>
      <c r="S441" s="1201"/>
      <c r="W441" s="1201"/>
      <c r="X441" s="1201"/>
      <c r="AE441" s="1201"/>
      <c r="AF441" s="1201"/>
      <c r="AV441" s="1201"/>
      <c r="AW441" s="1201"/>
      <c r="AX441" s="1201"/>
      <c r="AY441" s="1201"/>
      <c r="AZ441" s="1201"/>
      <c r="BA441" s="1201"/>
      <c r="BC441" s="1201"/>
      <c r="BE441" s="1201"/>
      <c r="BF441" s="1201"/>
      <c r="BG441" s="1201"/>
    </row>
    <row r="442" spans="18:59" x14ac:dyDescent="0.35">
      <c r="R442" s="1201"/>
      <c r="S442" s="1201"/>
      <c r="W442" s="1201"/>
      <c r="X442" s="1201"/>
      <c r="AE442" s="1201"/>
      <c r="AF442" s="1201"/>
      <c r="AV442" s="1201"/>
      <c r="AW442" s="1201"/>
      <c r="AX442" s="1201"/>
      <c r="AY442" s="1201"/>
      <c r="AZ442" s="1201"/>
      <c r="BA442" s="1201"/>
      <c r="BC442" s="1201"/>
      <c r="BE442" s="1201"/>
      <c r="BF442" s="1201"/>
      <c r="BG442" s="1201"/>
    </row>
    <row r="443" spans="18:59" x14ac:dyDescent="0.35">
      <c r="R443" s="1201"/>
      <c r="S443" s="1201"/>
      <c r="W443" s="1201"/>
      <c r="X443" s="1201"/>
      <c r="AE443" s="1201"/>
      <c r="AF443" s="1201"/>
      <c r="AV443" s="1201"/>
      <c r="AW443" s="1201"/>
      <c r="AX443" s="1201"/>
      <c r="AY443" s="1201"/>
      <c r="AZ443" s="1201"/>
      <c r="BA443" s="1201"/>
      <c r="BC443" s="1201"/>
      <c r="BE443" s="1201"/>
      <c r="BF443" s="1201"/>
      <c r="BG443" s="1201"/>
    </row>
    <row r="444" spans="18:59" x14ac:dyDescent="0.35">
      <c r="R444" s="1201"/>
      <c r="S444" s="1201"/>
      <c r="W444" s="1201"/>
      <c r="X444" s="1201"/>
      <c r="AE444" s="1201"/>
      <c r="AF444" s="1201"/>
      <c r="AV444" s="1201"/>
      <c r="AW444" s="1201"/>
      <c r="AX444" s="1201"/>
      <c r="AY444" s="1201"/>
      <c r="AZ444" s="1201"/>
      <c r="BA444" s="1201"/>
      <c r="BC444" s="1201"/>
      <c r="BE444" s="1201"/>
      <c r="BF444" s="1201"/>
      <c r="BG444" s="1201"/>
    </row>
    <row r="445" spans="18:59" x14ac:dyDescent="0.35">
      <c r="R445" s="1201"/>
      <c r="S445" s="1201"/>
      <c r="W445" s="1201"/>
      <c r="X445" s="1201"/>
      <c r="AE445" s="1201"/>
      <c r="AF445" s="1201"/>
      <c r="AV445" s="1201"/>
      <c r="AW445" s="1201"/>
      <c r="AX445" s="1201"/>
      <c r="AY445" s="1201"/>
      <c r="AZ445" s="1201"/>
      <c r="BA445" s="1201"/>
      <c r="BC445" s="1201"/>
      <c r="BE445" s="1201"/>
      <c r="BF445" s="1201"/>
      <c r="BG445" s="1201"/>
    </row>
    <row r="446" spans="18:59" x14ac:dyDescent="0.35">
      <c r="R446" s="1201"/>
      <c r="S446" s="1201"/>
      <c r="W446" s="1201"/>
      <c r="X446" s="1201"/>
      <c r="AE446" s="1201"/>
      <c r="AF446" s="1201"/>
      <c r="AV446" s="1201"/>
      <c r="AW446" s="1201"/>
      <c r="AX446" s="1201"/>
      <c r="AY446" s="1201"/>
      <c r="AZ446" s="1201"/>
      <c r="BA446" s="1201"/>
      <c r="BC446" s="1201"/>
      <c r="BE446" s="1201"/>
      <c r="BF446" s="1201"/>
      <c r="BG446" s="1201"/>
    </row>
    <row r="447" spans="18:59" x14ac:dyDescent="0.35">
      <c r="R447" s="1201"/>
      <c r="S447" s="1201"/>
      <c r="W447" s="1201"/>
      <c r="X447" s="1201"/>
      <c r="AE447" s="1201"/>
      <c r="AF447" s="1201"/>
      <c r="AV447" s="1201"/>
      <c r="AW447" s="1201"/>
      <c r="AX447" s="1201"/>
      <c r="AY447" s="1201"/>
      <c r="AZ447" s="1201"/>
      <c r="BA447" s="1201"/>
      <c r="BC447" s="1201"/>
      <c r="BE447" s="1201"/>
      <c r="BF447" s="1201"/>
      <c r="BG447" s="1201"/>
    </row>
    <row r="448" spans="18:59" x14ac:dyDescent="0.35">
      <c r="R448" s="1201"/>
      <c r="S448" s="1201"/>
      <c r="W448" s="1201"/>
      <c r="X448" s="1201"/>
      <c r="AE448" s="1201"/>
      <c r="AF448" s="1201"/>
      <c r="AV448" s="1201"/>
      <c r="AW448" s="1201"/>
      <c r="AX448" s="1201"/>
      <c r="AY448" s="1201"/>
      <c r="AZ448" s="1201"/>
      <c r="BA448" s="1201"/>
      <c r="BC448" s="1201"/>
      <c r="BE448" s="1201"/>
      <c r="BF448" s="1201"/>
      <c r="BG448" s="1201"/>
    </row>
    <row r="449" spans="18:59" x14ac:dyDescent="0.35">
      <c r="R449" s="1201"/>
      <c r="S449" s="1201"/>
      <c r="W449" s="1201"/>
      <c r="X449" s="1201"/>
      <c r="AE449" s="1201"/>
      <c r="AF449" s="1201"/>
      <c r="AV449" s="1201"/>
      <c r="AW449" s="1201"/>
      <c r="AX449" s="1201"/>
      <c r="AY449" s="1201"/>
      <c r="AZ449" s="1201"/>
      <c r="BA449" s="1201"/>
      <c r="BC449" s="1201"/>
      <c r="BE449" s="1201"/>
      <c r="BF449" s="1201"/>
      <c r="BG449" s="1201"/>
    </row>
    <row r="450" spans="18:59" x14ac:dyDescent="0.35">
      <c r="R450" s="1201"/>
      <c r="S450" s="1201"/>
      <c r="W450" s="1201"/>
      <c r="X450" s="1201"/>
      <c r="AE450" s="1201"/>
      <c r="AF450" s="1201"/>
      <c r="AV450" s="1201"/>
      <c r="AW450" s="1201"/>
      <c r="AX450" s="1201"/>
      <c r="AY450" s="1201"/>
      <c r="AZ450" s="1201"/>
      <c r="BA450" s="1201"/>
      <c r="BC450" s="1201"/>
      <c r="BE450" s="1201"/>
      <c r="BF450" s="1201"/>
      <c r="BG450" s="1201"/>
    </row>
    <row r="451" spans="18:59" x14ac:dyDescent="0.35">
      <c r="R451" s="1201"/>
      <c r="S451" s="1201"/>
      <c r="W451" s="1201"/>
      <c r="X451" s="1201"/>
      <c r="AE451" s="1201"/>
      <c r="AF451" s="1201"/>
      <c r="AV451" s="1201"/>
      <c r="AW451" s="1201"/>
      <c r="AX451" s="1201"/>
      <c r="AY451" s="1201"/>
      <c r="AZ451" s="1201"/>
      <c r="BA451" s="1201"/>
      <c r="BC451" s="1201"/>
      <c r="BE451" s="1201"/>
      <c r="BF451" s="1201"/>
      <c r="BG451" s="1201"/>
    </row>
    <row r="452" spans="18:59" x14ac:dyDescent="0.35">
      <c r="R452" s="1201"/>
      <c r="S452" s="1201"/>
      <c r="W452" s="1201"/>
      <c r="X452" s="1201"/>
      <c r="AE452" s="1201"/>
      <c r="AF452" s="1201"/>
      <c r="AV452" s="1201"/>
      <c r="AW452" s="1201"/>
      <c r="AX452" s="1201"/>
      <c r="AY452" s="1201"/>
      <c r="AZ452" s="1201"/>
      <c r="BA452" s="1201"/>
      <c r="BC452" s="1201"/>
      <c r="BE452" s="1201"/>
      <c r="BF452" s="1201"/>
      <c r="BG452" s="1201"/>
    </row>
    <row r="453" spans="18:59" x14ac:dyDescent="0.35">
      <c r="R453" s="1201"/>
      <c r="S453" s="1201"/>
      <c r="W453" s="1201"/>
      <c r="X453" s="1201"/>
      <c r="AE453" s="1201"/>
      <c r="AF453" s="1201"/>
      <c r="AV453" s="1201"/>
      <c r="AW453" s="1201"/>
      <c r="AX453" s="1201"/>
      <c r="AY453" s="1201"/>
      <c r="AZ453" s="1201"/>
      <c r="BA453" s="1201"/>
      <c r="BC453" s="1201"/>
      <c r="BE453" s="1201"/>
      <c r="BF453" s="1201"/>
      <c r="BG453" s="1201"/>
    </row>
    <row r="454" spans="18:59" x14ac:dyDescent="0.35">
      <c r="R454" s="1201"/>
      <c r="S454" s="1201"/>
      <c r="W454" s="1201"/>
      <c r="X454" s="1201"/>
      <c r="AE454" s="1201"/>
      <c r="AF454" s="1201"/>
      <c r="AV454" s="1201"/>
      <c r="AW454" s="1201"/>
      <c r="AX454" s="1201"/>
      <c r="AY454" s="1201"/>
      <c r="AZ454" s="1201"/>
      <c r="BA454" s="1201"/>
      <c r="BC454" s="1201"/>
      <c r="BE454" s="1201"/>
      <c r="BF454" s="1201"/>
      <c r="BG454" s="1201"/>
    </row>
    <row r="455" spans="18:59" x14ac:dyDescent="0.35">
      <c r="R455" s="1201"/>
      <c r="S455" s="1201"/>
      <c r="W455" s="1201"/>
      <c r="X455" s="1201"/>
      <c r="AE455" s="1201"/>
      <c r="AF455" s="1201"/>
      <c r="AV455" s="1201"/>
      <c r="AW455" s="1201"/>
      <c r="AX455" s="1201"/>
      <c r="AY455" s="1201"/>
      <c r="AZ455" s="1201"/>
      <c r="BA455" s="1201"/>
      <c r="BC455" s="1201"/>
      <c r="BE455" s="1201"/>
      <c r="BF455" s="1201"/>
      <c r="BG455" s="1201"/>
    </row>
    <row r="456" spans="18:59" x14ac:dyDescent="0.35">
      <c r="R456" s="1201"/>
      <c r="S456" s="1201"/>
      <c r="W456" s="1201"/>
      <c r="X456" s="1201"/>
      <c r="AE456" s="1201"/>
      <c r="AF456" s="1201"/>
      <c r="AV456" s="1201"/>
      <c r="AW456" s="1201"/>
      <c r="AX456" s="1201"/>
      <c r="AY456" s="1201"/>
      <c r="AZ456" s="1201"/>
      <c r="BA456" s="1201"/>
      <c r="BC456" s="1201"/>
      <c r="BE456" s="1201"/>
      <c r="BF456" s="1201"/>
      <c r="BG456" s="1201"/>
    </row>
    <row r="457" spans="18:59" x14ac:dyDescent="0.35">
      <c r="R457" s="1201"/>
      <c r="S457" s="1201"/>
      <c r="W457" s="1201"/>
      <c r="X457" s="1201"/>
      <c r="AE457" s="1201"/>
      <c r="AF457" s="1201"/>
      <c r="AV457" s="1201"/>
      <c r="AW457" s="1201"/>
      <c r="AX457" s="1201"/>
      <c r="AY457" s="1201"/>
      <c r="AZ457" s="1201"/>
      <c r="BA457" s="1201"/>
      <c r="BC457" s="1201"/>
      <c r="BE457" s="1201"/>
      <c r="BF457" s="1201"/>
      <c r="BG457" s="1201"/>
    </row>
    <row r="458" spans="18:59" x14ac:dyDescent="0.35">
      <c r="R458" s="1201"/>
      <c r="S458" s="1201"/>
      <c r="W458" s="1201"/>
      <c r="X458" s="1201"/>
      <c r="AE458" s="1201"/>
      <c r="AF458" s="1201"/>
      <c r="AV458" s="1201"/>
      <c r="AW458" s="1201"/>
      <c r="AX458" s="1201"/>
      <c r="AY458" s="1201"/>
      <c r="AZ458" s="1201"/>
      <c r="BA458" s="1201"/>
      <c r="BC458" s="1201"/>
      <c r="BE458" s="1201"/>
      <c r="BF458" s="1201"/>
      <c r="BG458" s="1201"/>
    </row>
    <row r="459" spans="18:59" x14ac:dyDescent="0.35">
      <c r="R459" s="1201"/>
      <c r="S459" s="1201"/>
      <c r="W459" s="1201"/>
      <c r="X459" s="1201"/>
      <c r="AE459" s="1201"/>
      <c r="AF459" s="1201"/>
      <c r="AV459" s="1201"/>
      <c r="AW459" s="1201"/>
      <c r="AX459" s="1201"/>
      <c r="AY459" s="1201"/>
      <c r="AZ459" s="1201"/>
      <c r="BA459" s="1201"/>
      <c r="BC459" s="1201"/>
      <c r="BE459" s="1201"/>
      <c r="BF459" s="1201"/>
      <c r="BG459" s="1201"/>
    </row>
    <row r="460" spans="18:59" x14ac:dyDescent="0.35">
      <c r="R460" s="1201"/>
      <c r="S460" s="1201"/>
      <c r="W460" s="1201"/>
      <c r="X460" s="1201"/>
      <c r="AE460" s="1201"/>
      <c r="AF460" s="1201"/>
      <c r="AV460" s="1201"/>
      <c r="AW460" s="1201"/>
      <c r="AX460" s="1201"/>
      <c r="AY460" s="1201"/>
      <c r="AZ460" s="1201"/>
      <c r="BA460" s="1201"/>
      <c r="BC460" s="1201"/>
      <c r="BE460" s="1201"/>
      <c r="BF460" s="1201"/>
      <c r="BG460" s="1201"/>
    </row>
    <row r="461" spans="18:59" x14ac:dyDescent="0.35">
      <c r="R461" s="1201"/>
      <c r="S461" s="1201"/>
      <c r="W461" s="1201"/>
      <c r="X461" s="1201"/>
      <c r="AE461" s="1201"/>
      <c r="AF461" s="1201"/>
      <c r="AV461" s="1201"/>
      <c r="AW461" s="1201"/>
      <c r="AX461" s="1201"/>
      <c r="AY461" s="1201"/>
      <c r="AZ461" s="1201"/>
      <c r="BA461" s="1201"/>
      <c r="BC461" s="1201"/>
      <c r="BE461" s="1201"/>
      <c r="BF461" s="1201"/>
      <c r="BG461" s="1201"/>
    </row>
    <row r="462" spans="18:59" x14ac:dyDescent="0.35">
      <c r="R462" s="1201"/>
      <c r="S462" s="1201"/>
      <c r="W462" s="1201"/>
      <c r="X462" s="1201"/>
      <c r="AE462" s="1201"/>
      <c r="AF462" s="1201"/>
      <c r="AV462" s="1201"/>
      <c r="AW462" s="1201"/>
      <c r="AX462" s="1201"/>
      <c r="AY462" s="1201"/>
      <c r="AZ462" s="1201"/>
      <c r="BA462" s="1201"/>
      <c r="BC462" s="1201"/>
      <c r="BE462" s="1201"/>
      <c r="BF462" s="1201"/>
      <c r="BG462" s="1201"/>
    </row>
    <row r="463" spans="18:59" x14ac:dyDescent="0.35">
      <c r="R463" s="1201"/>
      <c r="S463" s="1201"/>
      <c r="W463" s="1201"/>
      <c r="X463" s="1201"/>
      <c r="AE463" s="1201"/>
      <c r="AF463" s="1201"/>
      <c r="AV463" s="1201"/>
      <c r="AW463" s="1201"/>
      <c r="AX463" s="1201"/>
      <c r="AY463" s="1201"/>
      <c r="AZ463" s="1201"/>
      <c r="BA463" s="1201"/>
      <c r="BC463" s="1201"/>
      <c r="BE463" s="1201"/>
      <c r="BF463" s="1201"/>
      <c r="BG463" s="1201"/>
    </row>
    <row r="464" spans="18:59" x14ac:dyDescent="0.35">
      <c r="R464" s="1201"/>
      <c r="S464" s="1201"/>
      <c r="W464" s="1201"/>
      <c r="X464" s="1201"/>
      <c r="AE464" s="1201"/>
      <c r="AF464" s="1201"/>
      <c r="AV464" s="1201"/>
      <c r="AW464" s="1201"/>
      <c r="AX464" s="1201"/>
      <c r="AY464" s="1201"/>
      <c r="AZ464" s="1201"/>
      <c r="BA464" s="1201"/>
      <c r="BC464" s="1201"/>
      <c r="BE464" s="1201"/>
      <c r="BF464" s="1201"/>
      <c r="BG464" s="1201"/>
    </row>
    <row r="465" spans="18:59" x14ac:dyDescent="0.35">
      <c r="R465" s="1201"/>
      <c r="S465" s="1201"/>
      <c r="W465" s="1201"/>
      <c r="X465" s="1201"/>
      <c r="AE465" s="1201"/>
      <c r="AF465" s="1201"/>
      <c r="AV465" s="1201"/>
      <c r="AW465" s="1201"/>
      <c r="AX465" s="1201"/>
      <c r="AY465" s="1201"/>
      <c r="AZ465" s="1201"/>
      <c r="BA465" s="1201"/>
      <c r="BC465" s="1201"/>
      <c r="BE465" s="1201"/>
      <c r="BF465" s="1201"/>
      <c r="BG465" s="1201"/>
    </row>
    <row r="466" spans="18:59" x14ac:dyDescent="0.35">
      <c r="R466" s="1201"/>
      <c r="S466" s="1201"/>
      <c r="W466" s="1201"/>
      <c r="X466" s="1201"/>
      <c r="AE466" s="1201"/>
      <c r="AF466" s="1201"/>
      <c r="AV466" s="1201"/>
      <c r="AW466" s="1201"/>
      <c r="AX466" s="1201"/>
      <c r="AY466" s="1201"/>
      <c r="AZ466" s="1201"/>
      <c r="BA466" s="1201"/>
      <c r="BC466" s="1201"/>
      <c r="BE466" s="1201"/>
      <c r="BF466" s="1201"/>
      <c r="BG466" s="1201"/>
    </row>
    <row r="467" spans="18:59" x14ac:dyDescent="0.35">
      <c r="R467" s="1201"/>
      <c r="S467" s="1201"/>
      <c r="W467" s="1201"/>
      <c r="X467" s="1201"/>
      <c r="AE467" s="1201"/>
      <c r="AF467" s="1201"/>
      <c r="AV467" s="1201"/>
      <c r="AW467" s="1201"/>
      <c r="AX467" s="1201"/>
      <c r="AY467" s="1201"/>
      <c r="AZ467" s="1201"/>
      <c r="BA467" s="1201"/>
      <c r="BC467" s="1201"/>
      <c r="BE467" s="1201"/>
      <c r="BF467" s="1201"/>
      <c r="BG467" s="1201"/>
    </row>
    <row r="468" spans="18:59" x14ac:dyDescent="0.35">
      <c r="R468" s="1201"/>
      <c r="S468" s="1201"/>
      <c r="W468" s="1201"/>
      <c r="X468" s="1201"/>
      <c r="AE468" s="1201"/>
      <c r="AF468" s="1201"/>
      <c r="AV468" s="1201"/>
      <c r="AW468" s="1201"/>
      <c r="AX468" s="1201"/>
      <c r="AY468" s="1201"/>
      <c r="AZ468" s="1201"/>
      <c r="BA468" s="1201"/>
      <c r="BC468" s="1201"/>
      <c r="BE468" s="1201"/>
      <c r="BF468" s="1201"/>
      <c r="BG468" s="1201"/>
    </row>
    <row r="469" spans="18:59" x14ac:dyDescent="0.35">
      <c r="R469" s="1201"/>
      <c r="S469" s="1201"/>
      <c r="W469" s="1201"/>
      <c r="X469" s="1201"/>
      <c r="AE469" s="1201"/>
      <c r="AF469" s="1201"/>
      <c r="AV469" s="1201"/>
      <c r="AW469" s="1201"/>
      <c r="AX469" s="1201"/>
      <c r="AY469" s="1201"/>
      <c r="AZ469" s="1201"/>
      <c r="BA469" s="1201"/>
      <c r="BC469" s="1201"/>
      <c r="BE469" s="1201"/>
      <c r="BF469" s="1201"/>
      <c r="BG469" s="1201"/>
    </row>
    <row r="470" spans="18:59" x14ac:dyDescent="0.35">
      <c r="R470" s="1201"/>
      <c r="S470" s="1201"/>
      <c r="W470" s="1201"/>
      <c r="X470" s="1201"/>
      <c r="AE470" s="1201"/>
      <c r="AF470" s="1201"/>
      <c r="AV470" s="1201"/>
      <c r="AW470" s="1201"/>
      <c r="AX470" s="1201"/>
      <c r="AY470" s="1201"/>
      <c r="AZ470" s="1201"/>
      <c r="BA470" s="1201"/>
      <c r="BC470" s="1201"/>
      <c r="BE470" s="1201"/>
      <c r="BF470" s="1201"/>
      <c r="BG470" s="1201"/>
    </row>
    <row r="471" spans="18:59" x14ac:dyDescent="0.35">
      <c r="R471" s="1201"/>
      <c r="S471" s="1201"/>
      <c r="W471" s="1201"/>
      <c r="X471" s="1201"/>
      <c r="AE471" s="1201"/>
      <c r="AF471" s="1201"/>
      <c r="AV471" s="1201"/>
      <c r="AW471" s="1201"/>
      <c r="AX471" s="1201"/>
      <c r="AY471" s="1201"/>
      <c r="AZ471" s="1201"/>
      <c r="BA471" s="1201"/>
      <c r="BC471" s="1201"/>
      <c r="BE471" s="1201"/>
      <c r="BF471" s="1201"/>
      <c r="BG471" s="1201"/>
    </row>
    <row r="472" spans="18:59" x14ac:dyDescent="0.35">
      <c r="R472" s="1201"/>
      <c r="S472" s="1201"/>
      <c r="W472" s="1201"/>
      <c r="X472" s="1201"/>
      <c r="AE472" s="1201"/>
      <c r="AF472" s="1201"/>
      <c r="AV472" s="1201"/>
      <c r="AW472" s="1201"/>
      <c r="AX472" s="1201"/>
      <c r="AY472" s="1201"/>
      <c r="AZ472" s="1201"/>
      <c r="BA472" s="1201"/>
      <c r="BC472" s="1201"/>
      <c r="BE472" s="1201"/>
      <c r="BF472" s="1201"/>
      <c r="BG472" s="1201"/>
    </row>
    <row r="473" spans="18:59" x14ac:dyDescent="0.35">
      <c r="R473" s="1201"/>
      <c r="S473" s="1201"/>
      <c r="W473" s="1201"/>
      <c r="X473" s="1201"/>
      <c r="AE473" s="1201"/>
      <c r="AF473" s="1201"/>
      <c r="AV473" s="1201"/>
      <c r="AW473" s="1201"/>
      <c r="AX473" s="1201"/>
      <c r="AY473" s="1201"/>
      <c r="AZ473" s="1201"/>
      <c r="BA473" s="1201"/>
      <c r="BC473" s="1201"/>
      <c r="BE473" s="1201"/>
      <c r="BF473" s="1201"/>
      <c r="BG473" s="1201"/>
    </row>
    <row r="474" spans="18:59" x14ac:dyDescent="0.35">
      <c r="R474" s="1201"/>
      <c r="S474" s="1201"/>
      <c r="W474" s="1201"/>
      <c r="X474" s="1201"/>
      <c r="AE474" s="1201"/>
      <c r="AF474" s="1201"/>
      <c r="AV474" s="1201"/>
      <c r="AW474" s="1201"/>
      <c r="AX474" s="1201"/>
      <c r="AY474" s="1201"/>
      <c r="AZ474" s="1201"/>
      <c r="BA474" s="1201"/>
      <c r="BC474" s="1201"/>
      <c r="BE474" s="1201"/>
      <c r="BF474" s="1201"/>
      <c r="BG474" s="1201"/>
    </row>
    <row r="475" spans="18:59" x14ac:dyDescent="0.35">
      <c r="R475" s="1201"/>
      <c r="S475" s="1201"/>
      <c r="W475" s="1201"/>
      <c r="X475" s="1201"/>
      <c r="AE475" s="1201"/>
      <c r="AF475" s="1201"/>
      <c r="AV475" s="1201"/>
      <c r="AW475" s="1201"/>
      <c r="AX475" s="1201"/>
      <c r="AY475" s="1201"/>
      <c r="AZ475" s="1201"/>
      <c r="BA475" s="1201"/>
      <c r="BC475" s="1201"/>
      <c r="BE475" s="1201"/>
      <c r="BF475" s="1201"/>
      <c r="BG475" s="1201"/>
    </row>
    <row r="476" spans="18:59" x14ac:dyDescent="0.35">
      <c r="R476" s="1201"/>
      <c r="S476" s="1201"/>
      <c r="W476" s="1201"/>
      <c r="X476" s="1201"/>
      <c r="AE476" s="1201"/>
      <c r="AF476" s="1201"/>
      <c r="AV476" s="1201"/>
      <c r="AW476" s="1201"/>
      <c r="AX476" s="1201"/>
      <c r="AY476" s="1201"/>
      <c r="AZ476" s="1201"/>
      <c r="BA476" s="1201"/>
      <c r="BC476" s="1201"/>
      <c r="BE476" s="1201"/>
      <c r="BF476" s="1201"/>
      <c r="BG476" s="1201"/>
    </row>
    <row r="477" spans="18:59" x14ac:dyDescent="0.35">
      <c r="R477" s="1201"/>
      <c r="S477" s="1201"/>
      <c r="W477" s="1201"/>
      <c r="X477" s="1201"/>
      <c r="AE477" s="1201"/>
      <c r="AF477" s="1201"/>
      <c r="AV477" s="1201"/>
      <c r="AW477" s="1201"/>
      <c r="AX477" s="1201"/>
      <c r="AY477" s="1201"/>
      <c r="AZ477" s="1201"/>
      <c r="BA477" s="1201"/>
      <c r="BC477" s="1201"/>
      <c r="BE477" s="1201"/>
      <c r="BF477" s="1201"/>
      <c r="BG477" s="1201"/>
    </row>
    <row r="478" spans="18:59" x14ac:dyDescent="0.35">
      <c r="R478" s="1201"/>
      <c r="S478" s="1201"/>
      <c r="W478" s="1201"/>
      <c r="X478" s="1201"/>
      <c r="AE478" s="1201"/>
      <c r="AF478" s="1201"/>
      <c r="AV478" s="1201"/>
      <c r="AW478" s="1201"/>
      <c r="AX478" s="1201"/>
      <c r="AY478" s="1201"/>
      <c r="AZ478" s="1201"/>
      <c r="BA478" s="1201"/>
      <c r="BC478" s="1201"/>
      <c r="BE478" s="1201"/>
      <c r="BF478" s="1201"/>
      <c r="BG478" s="1201"/>
    </row>
    <row r="479" spans="18:59" x14ac:dyDescent="0.35">
      <c r="R479" s="1201"/>
      <c r="S479" s="1201"/>
      <c r="W479" s="1201"/>
      <c r="X479" s="1201"/>
      <c r="AE479" s="1201"/>
      <c r="AF479" s="1201"/>
      <c r="AV479" s="1201"/>
      <c r="AW479" s="1201"/>
      <c r="AX479" s="1201"/>
      <c r="AY479" s="1201"/>
      <c r="AZ479" s="1201"/>
      <c r="BA479" s="1201"/>
      <c r="BC479" s="1201"/>
      <c r="BE479" s="1201"/>
      <c r="BF479" s="1201"/>
      <c r="BG479" s="1201"/>
    </row>
    <row r="480" spans="18:59" x14ac:dyDescent="0.35">
      <c r="R480" s="1201"/>
      <c r="S480" s="1201"/>
      <c r="W480" s="1201"/>
      <c r="X480" s="1201"/>
      <c r="AE480" s="1201"/>
      <c r="AF480" s="1201"/>
      <c r="AV480" s="1201"/>
      <c r="AW480" s="1201"/>
      <c r="AX480" s="1201"/>
      <c r="AY480" s="1201"/>
      <c r="AZ480" s="1201"/>
      <c r="BA480" s="1201"/>
      <c r="BC480" s="1201"/>
      <c r="BE480" s="1201"/>
      <c r="BF480" s="1201"/>
      <c r="BG480" s="1201"/>
    </row>
    <row r="481" spans="18:59" x14ac:dyDescent="0.35">
      <c r="R481" s="1201"/>
      <c r="S481" s="1201"/>
      <c r="W481" s="1201"/>
      <c r="X481" s="1201"/>
      <c r="AE481" s="1201"/>
      <c r="AF481" s="1201"/>
      <c r="AV481" s="1201"/>
      <c r="AW481" s="1201"/>
      <c r="AX481" s="1201"/>
      <c r="AY481" s="1201"/>
      <c r="AZ481" s="1201"/>
      <c r="BA481" s="1201"/>
      <c r="BC481" s="1201"/>
      <c r="BE481" s="1201"/>
      <c r="BF481" s="1201"/>
      <c r="BG481" s="1201"/>
    </row>
    <row r="482" spans="18:59" x14ac:dyDescent="0.35">
      <c r="R482" s="1201"/>
      <c r="S482" s="1201"/>
      <c r="W482" s="1201"/>
      <c r="X482" s="1201"/>
      <c r="AE482" s="1201"/>
      <c r="AF482" s="1201"/>
      <c r="AV482" s="1201"/>
      <c r="AW482" s="1201"/>
      <c r="AX482" s="1201"/>
      <c r="AY482" s="1201"/>
      <c r="AZ482" s="1201"/>
      <c r="BA482" s="1201"/>
      <c r="BC482" s="1201"/>
      <c r="BE482" s="1201"/>
      <c r="BF482" s="1201"/>
      <c r="BG482" s="1201"/>
    </row>
    <row r="483" spans="18:59" x14ac:dyDescent="0.35">
      <c r="R483" s="1201"/>
      <c r="S483" s="1201"/>
      <c r="W483" s="1201"/>
      <c r="X483" s="1201"/>
      <c r="AE483" s="1201"/>
      <c r="AF483" s="1201"/>
      <c r="AV483" s="1201"/>
      <c r="AW483" s="1201"/>
      <c r="AX483" s="1201"/>
      <c r="AY483" s="1201"/>
      <c r="AZ483" s="1201"/>
      <c r="BA483" s="1201"/>
      <c r="BC483" s="1201"/>
      <c r="BE483" s="1201"/>
      <c r="BF483" s="1201"/>
      <c r="BG483" s="1201"/>
    </row>
    <row r="484" spans="18:59" x14ac:dyDescent="0.35">
      <c r="R484" s="1201"/>
      <c r="S484" s="1201"/>
      <c r="W484" s="1201"/>
      <c r="X484" s="1201"/>
      <c r="AE484" s="1201"/>
      <c r="AF484" s="1201"/>
      <c r="AV484" s="1201"/>
      <c r="AW484" s="1201"/>
      <c r="AX484" s="1201"/>
      <c r="AY484" s="1201"/>
      <c r="AZ484" s="1201"/>
      <c r="BA484" s="1201"/>
      <c r="BC484" s="1201"/>
      <c r="BE484" s="1201"/>
      <c r="BF484" s="1201"/>
      <c r="BG484" s="1201"/>
    </row>
    <row r="485" spans="18:59" x14ac:dyDescent="0.35">
      <c r="R485" s="1201"/>
      <c r="S485" s="1201"/>
      <c r="W485" s="1201"/>
      <c r="X485" s="1201"/>
      <c r="AE485" s="1201"/>
      <c r="AF485" s="1201"/>
      <c r="AV485" s="1201"/>
      <c r="AW485" s="1201"/>
      <c r="AX485" s="1201"/>
      <c r="AY485" s="1201"/>
      <c r="AZ485" s="1201"/>
      <c r="BA485" s="1201"/>
      <c r="BC485" s="1201"/>
      <c r="BE485" s="1201"/>
      <c r="BF485" s="1201"/>
      <c r="BG485" s="1201"/>
    </row>
    <row r="486" spans="18:59" x14ac:dyDescent="0.35">
      <c r="R486" s="1201"/>
      <c r="S486" s="1201"/>
      <c r="W486" s="1201"/>
      <c r="X486" s="1201"/>
      <c r="AE486" s="1201"/>
      <c r="AF486" s="1201"/>
      <c r="AV486" s="1201"/>
      <c r="AW486" s="1201"/>
      <c r="AX486" s="1201"/>
      <c r="AY486" s="1201"/>
      <c r="AZ486" s="1201"/>
      <c r="BA486" s="1201"/>
      <c r="BC486" s="1201"/>
      <c r="BE486" s="1201"/>
      <c r="BF486" s="1201"/>
      <c r="BG486" s="1201"/>
    </row>
    <row r="487" spans="18:59" x14ac:dyDescent="0.35">
      <c r="R487" s="1201"/>
      <c r="S487" s="1201"/>
      <c r="W487" s="1201"/>
      <c r="X487" s="1201"/>
      <c r="AE487" s="1201"/>
      <c r="AF487" s="1201"/>
      <c r="AV487" s="1201"/>
      <c r="AW487" s="1201"/>
      <c r="AX487" s="1201"/>
      <c r="AY487" s="1201"/>
      <c r="AZ487" s="1201"/>
      <c r="BA487" s="1201"/>
      <c r="BC487" s="1201"/>
      <c r="BE487" s="1201"/>
      <c r="BF487" s="1201"/>
      <c r="BG487" s="1201"/>
    </row>
    <row r="488" spans="18:59" x14ac:dyDescent="0.35">
      <c r="R488" s="1201"/>
      <c r="S488" s="1201"/>
      <c r="W488" s="1201"/>
      <c r="X488" s="1201"/>
      <c r="AE488" s="1201"/>
      <c r="AF488" s="1201"/>
      <c r="AV488" s="1201"/>
      <c r="AW488" s="1201"/>
      <c r="AX488" s="1201"/>
      <c r="AY488" s="1201"/>
      <c r="AZ488" s="1201"/>
      <c r="BA488" s="1201"/>
      <c r="BC488" s="1201"/>
      <c r="BE488" s="1201"/>
      <c r="BF488" s="1201"/>
      <c r="BG488" s="1201"/>
    </row>
    <row r="489" spans="18:59" x14ac:dyDescent="0.35">
      <c r="R489" s="1201"/>
      <c r="S489" s="1201"/>
      <c r="W489" s="1201"/>
      <c r="X489" s="1201"/>
      <c r="AE489" s="1201"/>
      <c r="AF489" s="1201"/>
      <c r="AV489" s="1201"/>
      <c r="AW489" s="1201"/>
      <c r="AX489" s="1201"/>
      <c r="AY489" s="1201"/>
      <c r="AZ489" s="1201"/>
      <c r="BA489" s="1201"/>
      <c r="BC489" s="1201"/>
      <c r="BE489" s="1201"/>
      <c r="BF489" s="1201"/>
      <c r="BG489" s="1201"/>
    </row>
    <row r="490" spans="18:59" x14ac:dyDescent="0.35">
      <c r="R490" s="1201"/>
      <c r="S490" s="1201"/>
      <c r="W490" s="1201"/>
      <c r="X490" s="1201"/>
      <c r="AE490" s="1201"/>
      <c r="AF490" s="1201"/>
      <c r="AV490" s="1201"/>
      <c r="AW490" s="1201"/>
      <c r="AX490" s="1201"/>
      <c r="AY490" s="1201"/>
      <c r="AZ490" s="1201"/>
      <c r="BA490" s="1201"/>
      <c r="BC490" s="1201"/>
      <c r="BE490" s="1201"/>
      <c r="BF490" s="1201"/>
      <c r="BG490" s="1201"/>
    </row>
    <row r="491" spans="18:59" x14ac:dyDescent="0.35">
      <c r="R491" s="1201"/>
      <c r="S491" s="1201"/>
      <c r="W491" s="1201"/>
      <c r="X491" s="1201"/>
      <c r="AE491" s="1201"/>
      <c r="AF491" s="1201"/>
      <c r="AV491" s="1201"/>
      <c r="AW491" s="1201"/>
      <c r="AX491" s="1201"/>
      <c r="AY491" s="1201"/>
      <c r="AZ491" s="1201"/>
      <c r="BA491" s="1201"/>
      <c r="BC491" s="1201"/>
      <c r="BE491" s="1201"/>
      <c r="BF491" s="1201"/>
      <c r="BG491" s="1201"/>
    </row>
    <row r="492" spans="18:59" x14ac:dyDescent="0.35">
      <c r="R492" s="1201"/>
      <c r="S492" s="1201"/>
      <c r="W492" s="1201"/>
      <c r="X492" s="1201"/>
      <c r="AE492" s="1201"/>
      <c r="AF492" s="1201"/>
      <c r="AV492" s="1201"/>
      <c r="AW492" s="1201"/>
      <c r="AX492" s="1201"/>
      <c r="AY492" s="1201"/>
      <c r="AZ492" s="1201"/>
      <c r="BA492" s="1201"/>
      <c r="BC492" s="1201"/>
      <c r="BE492" s="1201"/>
      <c r="BF492" s="1201"/>
      <c r="BG492" s="1201"/>
    </row>
    <row r="493" spans="18:59" x14ac:dyDescent="0.35">
      <c r="R493" s="1201"/>
      <c r="S493" s="1201"/>
      <c r="W493" s="1201"/>
      <c r="X493" s="1201"/>
      <c r="AE493" s="1201"/>
      <c r="AF493" s="1201"/>
      <c r="AV493" s="1201"/>
      <c r="AW493" s="1201"/>
      <c r="AX493" s="1201"/>
      <c r="AY493" s="1201"/>
      <c r="AZ493" s="1201"/>
      <c r="BA493" s="1201"/>
      <c r="BC493" s="1201"/>
      <c r="BE493" s="1201"/>
      <c r="BF493" s="1201"/>
      <c r="BG493" s="1201"/>
    </row>
    <row r="494" spans="18:59" x14ac:dyDescent="0.35">
      <c r="R494" s="1201"/>
      <c r="S494" s="1201"/>
      <c r="W494" s="1201"/>
      <c r="X494" s="1201"/>
      <c r="AE494" s="1201"/>
      <c r="AF494" s="1201"/>
      <c r="AV494" s="1201"/>
      <c r="AW494" s="1201"/>
      <c r="AX494" s="1201"/>
      <c r="AY494" s="1201"/>
      <c r="AZ494" s="1201"/>
      <c r="BA494" s="1201"/>
      <c r="BC494" s="1201"/>
      <c r="BE494" s="1201"/>
      <c r="BF494" s="1201"/>
      <c r="BG494" s="1201"/>
    </row>
    <row r="495" spans="18:59" x14ac:dyDescent="0.35">
      <c r="R495" s="1201"/>
      <c r="S495" s="1201"/>
      <c r="W495" s="1201"/>
      <c r="X495" s="1201"/>
      <c r="AE495" s="1201"/>
      <c r="AF495" s="1201"/>
      <c r="AV495" s="1201"/>
      <c r="AW495" s="1201"/>
      <c r="AX495" s="1201"/>
      <c r="AY495" s="1201"/>
      <c r="AZ495" s="1201"/>
      <c r="BA495" s="1201"/>
      <c r="BC495" s="1201"/>
      <c r="BE495" s="1201"/>
      <c r="BF495" s="1201"/>
      <c r="BG495" s="1201"/>
    </row>
    <row r="496" spans="18:59" x14ac:dyDescent="0.35">
      <c r="R496" s="1201"/>
      <c r="S496" s="1201"/>
      <c r="W496" s="1201"/>
      <c r="X496" s="1201"/>
      <c r="AE496" s="1201"/>
      <c r="AF496" s="1201"/>
      <c r="AV496" s="1201"/>
      <c r="AW496" s="1201"/>
      <c r="AX496" s="1201"/>
      <c r="AY496" s="1201"/>
      <c r="AZ496" s="1201"/>
      <c r="BA496" s="1201"/>
      <c r="BC496" s="1201"/>
      <c r="BE496" s="1201"/>
      <c r="BF496" s="1201"/>
      <c r="BG496" s="1201"/>
    </row>
    <row r="497" spans="18:59" x14ac:dyDescent="0.35">
      <c r="R497" s="1201"/>
      <c r="S497" s="1201"/>
      <c r="W497" s="1201"/>
      <c r="X497" s="1201"/>
      <c r="AE497" s="1201"/>
      <c r="AF497" s="1201"/>
      <c r="AV497" s="1201"/>
      <c r="AW497" s="1201"/>
      <c r="AX497" s="1201"/>
      <c r="AY497" s="1201"/>
      <c r="AZ497" s="1201"/>
      <c r="BA497" s="1201"/>
      <c r="BC497" s="1201"/>
      <c r="BE497" s="1201"/>
      <c r="BF497" s="1201"/>
      <c r="BG497" s="1201"/>
    </row>
    <row r="498" spans="18:59" x14ac:dyDescent="0.35">
      <c r="R498" s="1201"/>
      <c r="S498" s="1201"/>
      <c r="W498" s="1201"/>
      <c r="X498" s="1201"/>
      <c r="AE498" s="1201"/>
      <c r="AF498" s="1201"/>
      <c r="AV498" s="1201"/>
      <c r="AW498" s="1201"/>
      <c r="AX498" s="1201"/>
      <c r="AY498" s="1201"/>
      <c r="AZ498" s="1201"/>
      <c r="BA498" s="1201"/>
      <c r="BC498" s="1201"/>
      <c r="BE498" s="1201"/>
      <c r="BF498" s="1201"/>
      <c r="BG498" s="1201"/>
    </row>
    <row r="499" spans="18:59" x14ac:dyDescent="0.35">
      <c r="R499" s="1201"/>
      <c r="S499" s="1201"/>
      <c r="W499" s="1201"/>
      <c r="X499" s="1201"/>
      <c r="AE499" s="1201"/>
      <c r="AF499" s="1201"/>
      <c r="AV499" s="1201"/>
      <c r="AW499" s="1201"/>
      <c r="AX499" s="1201"/>
      <c r="AY499" s="1201"/>
      <c r="AZ499" s="1201"/>
      <c r="BA499" s="1201"/>
      <c r="BC499" s="1201"/>
      <c r="BE499" s="1201"/>
      <c r="BF499" s="1201"/>
      <c r="BG499" s="1201"/>
    </row>
    <row r="500" spans="18:59" x14ac:dyDescent="0.35">
      <c r="R500" s="1201"/>
      <c r="S500" s="1201"/>
      <c r="W500" s="1201"/>
      <c r="X500" s="1201"/>
      <c r="AE500" s="1201"/>
      <c r="AF500" s="1201"/>
      <c r="AV500" s="1201"/>
      <c r="AW500" s="1201"/>
      <c r="AX500" s="1201"/>
      <c r="AY500" s="1201"/>
      <c r="AZ500" s="1201"/>
      <c r="BA500" s="1201"/>
      <c r="BC500" s="1201"/>
      <c r="BE500" s="1201"/>
      <c r="BF500" s="1201"/>
      <c r="BG500" s="1201"/>
    </row>
    <row r="501" spans="18:59" x14ac:dyDescent="0.35">
      <c r="R501" s="1201"/>
      <c r="S501" s="1201"/>
      <c r="W501" s="1201"/>
      <c r="X501" s="1201"/>
      <c r="AE501" s="1201"/>
      <c r="AF501" s="1201"/>
      <c r="AV501" s="1201"/>
      <c r="AW501" s="1201"/>
      <c r="AX501" s="1201"/>
      <c r="AY501" s="1201"/>
      <c r="AZ501" s="1201"/>
      <c r="BA501" s="1201"/>
      <c r="BC501" s="1201"/>
      <c r="BE501" s="1201"/>
      <c r="BF501" s="1201"/>
      <c r="BG501" s="1201"/>
    </row>
    <row r="502" spans="18:59" x14ac:dyDescent="0.35">
      <c r="R502" s="1201"/>
      <c r="S502" s="1201"/>
      <c r="W502" s="1201"/>
      <c r="X502" s="1201"/>
      <c r="AE502" s="1201"/>
      <c r="AF502" s="1201"/>
      <c r="AV502" s="1201"/>
      <c r="AW502" s="1201"/>
      <c r="AX502" s="1201"/>
      <c r="AY502" s="1201"/>
      <c r="AZ502" s="1201"/>
      <c r="BA502" s="1201"/>
      <c r="BC502" s="1201"/>
      <c r="BE502" s="1201"/>
      <c r="BF502" s="1201"/>
      <c r="BG502" s="1201"/>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E17" sqref="E17"/>
    </sheetView>
  </sheetViews>
  <sheetFormatPr defaultColWidth="10.90625" defaultRowHeight="14.5" x14ac:dyDescent="0.35"/>
  <cols>
    <col min="1" max="1" width="23.1796875" customWidth="1"/>
  </cols>
  <sheetData>
    <row r="1" spans="1:22" x14ac:dyDescent="0.35">
      <c r="A1" s="1206" t="s">
        <v>724</v>
      </c>
      <c r="B1" s="1206"/>
      <c r="C1" s="1206"/>
      <c r="D1" s="1206"/>
    </row>
    <row r="2" spans="1:22" x14ac:dyDescent="0.35">
      <c r="A2" t="s">
        <v>725</v>
      </c>
      <c r="B2" s="622">
        <v>2021</v>
      </c>
      <c r="C2" s="622">
        <v>2021</v>
      </c>
      <c r="D2" s="622">
        <v>2021</v>
      </c>
      <c r="E2" s="622">
        <v>2022</v>
      </c>
      <c r="F2" s="622">
        <v>2022</v>
      </c>
      <c r="G2" s="622">
        <v>2022</v>
      </c>
      <c r="H2" s="622">
        <v>2022</v>
      </c>
      <c r="I2" s="622">
        <v>2023</v>
      </c>
      <c r="J2" s="622">
        <v>2023</v>
      </c>
      <c r="K2" s="622">
        <v>2023</v>
      </c>
      <c r="L2" s="622">
        <v>2023</v>
      </c>
      <c r="M2" s="622">
        <v>2024</v>
      </c>
      <c r="N2" s="622">
        <v>2024</v>
      </c>
      <c r="O2" s="622">
        <v>2024</v>
      </c>
      <c r="P2" s="622">
        <v>2024</v>
      </c>
      <c r="Q2" s="622">
        <v>2025</v>
      </c>
      <c r="R2" s="622">
        <v>2025</v>
      </c>
      <c r="S2" s="622">
        <v>2025</v>
      </c>
      <c r="T2" s="622">
        <v>2025</v>
      </c>
      <c r="U2" s="622">
        <v>2026</v>
      </c>
    </row>
    <row r="3" spans="1:22" x14ac:dyDescent="0.35">
      <c r="A3" s="1204" t="s">
        <v>726</v>
      </c>
      <c r="B3" s="747" t="s">
        <v>727</v>
      </c>
      <c r="C3" s="747" t="s">
        <v>728</v>
      </c>
      <c r="D3" s="747" t="s">
        <v>729</v>
      </c>
      <c r="E3" s="747" t="s">
        <v>730</v>
      </c>
      <c r="F3" s="747" t="s">
        <v>731</v>
      </c>
      <c r="G3" s="747" t="s">
        <v>732</v>
      </c>
      <c r="H3" s="747" t="s">
        <v>733</v>
      </c>
      <c r="I3" s="747" t="s">
        <v>734</v>
      </c>
      <c r="J3" s="747" t="s">
        <v>735</v>
      </c>
      <c r="K3" s="747" t="s">
        <v>736</v>
      </c>
      <c r="L3" s="747" t="s">
        <v>737</v>
      </c>
      <c r="M3" s="747" t="s">
        <v>738</v>
      </c>
      <c r="N3" s="747" t="s">
        <v>739</v>
      </c>
      <c r="O3" s="747" t="s">
        <v>740</v>
      </c>
      <c r="P3" s="747" t="s">
        <v>741</v>
      </c>
      <c r="Q3" s="747" t="s">
        <v>742</v>
      </c>
      <c r="R3" s="747" t="s">
        <v>743</v>
      </c>
      <c r="S3" s="747" t="s">
        <v>744</v>
      </c>
      <c r="T3" s="747" t="s">
        <v>745</v>
      </c>
      <c r="U3" s="747" t="s">
        <v>746</v>
      </c>
    </row>
    <row r="4" spans="1:22" x14ac:dyDescent="0.35">
      <c r="A4" s="1204" t="s">
        <v>747</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x14ac:dyDescent="0.35">
      <c r="A5" s="1204" t="s">
        <v>748</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x14ac:dyDescent="0.35">
      <c r="A6" s="1204" t="s">
        <v>749</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x14ac:dyDescent="0.35">
      <c r="A7" s="1204" t="s">
        <v>750</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x14ac:dyDescent="0.35">
      <c r="A8" s="1204" t="s">
        <v>751</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x14ac:dyDescent="0.35">
      <c r="A9" s="1204" t="s">
        <v>752</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x14ac:dyDescent="0.35">
      <c r="A10" s="1204" t="s">
        <v>753</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x14ac:dyDescent="0.35">
      <c r="A11" s="1204" t="s">
        <v>754</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x14ac:dyDescent="0.35">
      <c r="A12" s="1204" t="s">
        <v>755</v>
      </c>
      <c r="B12" s="747">
        <v>1</v>
      </c>
      <c r="C12" s="747"/>
      <c r="D12" s="747"/>
      <c r="E12" s="747"/>
      <c r="F12" s="747"/>
      <c r="G12" s="747"/>
      <c r="H12" s="747"/>
      <c r="I12" s="747"/>
      <c r="J12" s="747"/>
      <c r="K12" s="747"/>
      <c r="L12" s="747"/>
      <c r="M12" s="747"/>
      <c r="N12" s="747"/>
      <c r="O12" s="747"/>
      <c r="P12" s="747"/>
      <c r="Q12" s="747"/>
      <c r="R12" s="747"/>
      <c r="S12" s="747"/>
      <c r="T12" s="747"/>
      <c r="U12" s="747"/>
    </row>
    <row r="13" spans="1:22" x14ac:dyDescent="0.35">
      <c r="A13" s="1204" t="s">
        <v>756</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x14ac:dyDescent="0.35">
      <c r="A14" s="1204"/>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x14ac:dyDescent="0.35">
      <c r="A15" s="1205" t="s">
        <v>757</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x14ac:dyDescent="0.35">
      <c r="A16" s="1204" t="s">
        <v>758</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x14ac:dyDescent="0.35">
      <c r="A17" s="1204" t="s">
        <v>759</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760</v>
      </c>
    </row>
    <row r="19" spans="1:23" x14ac:dyDescent="0.35">
      <c r="B19" s="821" t="e">
        <f>'Federal and State Purchases'!#REF!</f>
        <v>#REF!</v>
      </c>
      <c r="C19" s="821"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K35" sqref="K35"/>
    </sheetView>
  </sheetViews>
  <sheetFormatPr defaultColWidth="10.90625" defaultRowHeight="14.5" x14ac:dyDescent="0.35"/>
  <cols>
    <col min="1" max="1" width="15.453125" customWidth="1"/>
    <col min="2" max="2" width="32.453125" customWidth="1"/>
  </cols>
  <sheetData>
    <row r="1" spans="1:23" x14ac:dyDescent="0.35">
      <c r="A1" s="755" t="s">
        <v>761</v>
      </c>
      <c r="B1" s="755" t="s">
        <v>671</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x14ac:dyDescent="0.35">
      <c r="B2" s="755" t="s">
        <v>762</v>
      </c>
      <c r="C2" s="622" t="s">
        <v>249</v>
      </c>
      <c r="D2" s="622" t="s">
        <v>250</v>
      </c>
      <c r="E2" s="622" t="s">
        <v>180</v>
      </c>
      <c r="F2" s="622" t="s">
        <v>181</v>
      </c>
      <c r="G2" s="622" t="s">
        <v>182</v>
      </c>
      <c r="H2" s="622" t="s">
        <v>183</v>
      </c>
      <c r="I2" s="622" t="s">
        <v>184</v>
      </c>
      <c r="J2" s="622" t="s">
        <v>185</v>
      </c>
      <c r="K2" s="622" t="s">
        <v>186</v>
      </c>
      <c r="L2" s="622" t="s">
        <v>187</v>
      </c>
      <c r="M2" s="622" t="s">
        <v>188</v>
      </c>
      <c r="N2" s="622" t="s">
        <v>189</v>
      </c>
      <c r="O2" s="622" t="s">
        <v>190</v>
      </c>
      <c r="P2" s="622" t="s">
        <v>191</v>
      </c>
      <c r="Q2" s="622" t="s">
        <v>175</v>
      </c>
      <c r="R2" s="622" t="s">
        <v>176</v>
      </c>
      <c r="S2" s="622" t="s">
        <v>177</v>
      </c>
      <c r="T2" s="622" t="s">
        <v>763</v>
      </c>
      <c r="U2" s="622" t="s">
        <v>764</v>
      </c>
      <c r="V2" s="622" t="s">
        <v>765</v>
      </c>
    </row>
    <row r="3" spans="1:23" x14ac:dyDescent="0.35">
      <c r="A3" s="755">
        <v>3</v>
      </c>
      <c r="B3" s="755" t="s">
        <v>526</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x14ac:dyDescent="0.35">
      <c r="A4" s="755">
        <v>5</v>
      </c>
      <c r="B4" s="33" t="s">
        <v>673</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x14ac:dyDescent="0.35">
      <c r="A5" s="755">
        <v>6</v>
      </c>
      <c r="B5" s="33" t="s">
        <v>674</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x14ac:dyDescent="0.35">
      <c r="A6" s="755">
        <v>7</v>
      </c>
      <c r="B6" s="33" t="s">
        <v>766</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x14ac:dyDescent="0.35">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x14ac:dyDescent="0.35">
      <c r="A8" s="755">
        <v>9</v>
      </c>
      <c r="B8" s="1210" t="s">
        <v>347</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x14ac:dyDescent="0.35">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x14ac:dyDescent="0.35">
      <c r="A10" s="1214">
        <v>11</v>
      </c>
      <c r="B10" s="1210" t="s">
        <v>363</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x14ac:dyDescent="0.35">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x14ac:dyDescent="0.35">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x14ac:dyDescent="0.35">
      <c r="A13" s="755">
        <v>15</v>
      </c>
      <c r="B13" s="755" t="s">
        <v>767</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x14ac:dyDescent="0.35">
      <c r="A14" s="755">
        <v>14</v>
      </c>
      <c r="B14" s="755" t="s">
        <v>768</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x14ac:dyDescent="0.35">
      <c r="A15" s="755">
        <v>14</v>
      </c>
      <c r="B15" s="755" t="s">
        <v>469</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x14ac:dyDescent="0.35">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x14ac:dyDescent="0.35">
      <c r="A17" s="755" t="s">
        <v>769</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x14ac:dyDescent="0.35">
      <c r="B18" s="518"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x14ac:dyDescent="0.35">
      <c r="B19" s="518" t="s">
        <v>770</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x14ac:dyDescent="0.35">
      <c r="B20" s="518"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x14ac:dyDescent="0.35">
      <c r="B21" s="1215" t="s">
        <v>412</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x14ac:dyDescent="0.35">
      <c r="B22" s="1215" t="s">
        <v>771</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x14ac:dyDescent="0.35">
      <c r="B23" s="518" t="s">
        <v>424</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x14ac:dyDescent="0.35">
      <c r="B24" s="518" t="s">
        <v>425</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x14ac:dyDescent="0.35">
      <c r="B25" s="518" t="s">
        <v>311</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x14ac:dyDescent="0.35">
      <c r="D26" s="1207">
        <f>D6-D25</f>
        <v>0</v>
      </c>
      <c r="E26" s="1207">
        <f t="shared" ref="E26:M26" si="40">E6-E25</f>
        <v>0</v>
      </c>
      <c r="F26" s="1207">
        <f t="shared" si="40"/>
        <v>0</v>
      </c>
      <c r="G26" s="1207">
        <f t="shared" si="40"/>
        <v>0</v>
      </c>
      <c r="H26" s="1207">
        <f t="shared" si="40"/>
        <v>0</v>
      </c>
      <c r="I26" s="1207">
        <f t="shared" si="40"/>
        <v>0</v>
      </c>
      <c r="J26" s="1207">
        <f t="shared" si="40"/>
        <v>0.36400000000000077</v>
      </c>
      <c r="K26" s="1207">
        <f t="shared" si="40"/>
        <v>0.36400000000000077</v>
      </c>
      <c r="L26" s="1207">
        <f t="shared" si="40"/>
        <v>0.36400000000000077</v>
      </c>
      <c r="M26" s="1207">
        <f t="shared" si="40"/>
        <v>0.36400000000000077</v>
      </c>
    </row>
    <row r="27" spans="1:23" x14ac:dyDescent="0.35">
      <c r="B27" s="755" t="s">
        <v>772</v>
      </c>
      <c r="D27" s="622" t="s">
        <v>250</v>
      </c>
      <c r="E27" s="622" t="s">
        <v>180</v>
      </c>
      <c r="F27" s="622" t="s">
        <v>181</v>
      </c>
      <c r="G27" s="622" t="s">
        <v>182</v>
      </c>
      <c r="H27" s="622" t="s">
        <v>183</v>
      </c>
      <c r="I27" s="622" t="s">
        <v>184</v>
      </c>
      <c r="J27" s="622" t="s">
        <v>185</v>
      </c>
      <c r="K27" s="622" t="s">
        <v>186</v>
      </c>
      <c r="L27" s="622" t="s">
        <v>187</v>
      </c>
      <c r="M27" s="622" t="s">
        <v>188</v>
      </c>
      <c r="N27" s="622" t="s">
        <v>189</v>
      </c>
      <c r="O27" s="622" t="s">
        <v>190</v>
      </c>
      <c r="P27" s="622" t="s">
        <v>191</v>
      </c>
      <c r="Q27" s="622" t="s">
        <v>175</v>
      </c>
      <c r="R27" s="622" t="s">
        <v>176</v>
      </c>
      <c r="S27" s="622" t="s">
        <v>177</v>
      </c>
      <c r="T27" s="622" t="s">
        <v>763</v>
      </c>
      <c r="U27" s="622" t="s">
        <v>764</v>
      </c>
      <c r="V27" s="622" t="s">
        <v>765</v>
      </c>
    </row>
    <row r="28" spans="1:23" x14ac:dyDescent="0.35">
      <c r="B28" s="33"/>
      <c r="C28" s="1207" t="s">
        <v>311</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x14ac:dyDescent="0.35">
      <c r="A29" s="755">
        <v>2021</v>
      </c>
      <c r="B29" s="33" t="s">
        <v>773</v>
      </c>
      <c r="C29" s="1207"/>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x14ac:dyDescent="0.35">
      <c r="B30" s="33" t="s">
        <v>330</v>
      </c>
      <c r="C30" s="1207"/>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x14ac:dyDescent="0.35">
      <c r="B31" s="33" t="s">
        <v>774</v>
      </c>
      <c r="C31" s="1207"/>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x14ac:dyDescent="0.35">
      <c r="A32" s="755">
        <v>2022</v>
      </c>
      <c r="B32" s="33" t="s">
        <v>240</v>
      </c>
      <c r="C32" s="1207"/>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x14ac:dyDescent="0.35">
      <c r="B33" s="33" t="s">
        <v>241</v>
      </c>
      <c r="C33" s="1207"/>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x14ac:dyDescent="0.35">
      <c r="B34" s="33" t="s">
        <v>330</v>
      </c>
      <c r="C34" s="1207"/>
      <c r="H34" s="1207"/>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x14ac:dyDescent="0.35">
      <c r="B35" s="33" t="s">
        <v>774</v>
      </c>
      <c r="C35" s="1207"/>
      <c r="H35" s="1207"/>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x14ac:dyDescent="0.35">
      <c r="A36" s="755">
        <v>2023</v>
      </c>
      <c r="B36" s="33" t="s">
        <v>240</v>
      </c>
      <c r="C36" s="1207"/>
      <c r="H36" s="1207"/>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x14ac:dyDescent="0.35">
      <c r="B37" s="33" t="s">
        <v>241</v>
      </c>
      <c r="C37" s="1207"/>
      <c r="H37" s="1207"/>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x14ac:dyDescent="0.35">
      <c r="B38" s="33" t="s">
        <v>330</v>
      </c>
      <c r="C38" s="1207"/>
      <c r="H38" s="1207"/>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x14ac:dyDescent="0.35">
      <c r="B39" s="33" t="s">
        <v>774</v>
      </c>
      <c r="C39" s="1207"/>
      <c r="H39" s="1207"/>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x14ac:dyDescent="0.35">
      <c r="A40" s="755">
        <v>2024</v>
      </c>
      <c r="B40" s="33" t="s">
        <v>240</v>
      </c>
      <c r="C40" s="1207"/>
      <c r="H40" s="1207"/>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x14ac:dyDescent="0.35">
      <c r="B41" s="33" t="s">
        <v>241</v>
      </c>
      <c r="C41" s="1207"/>
      <c r="H41" s="1207"/>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x14ac:dyDescent="0.35">
      <c r="B42" s="33" t="s">
        <v>330</v>
      </c>
      <c r="C42" s="1207"/>
      <c r="H42" s="1207"/>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x14ac:dyDescent="0.35">
      <c r="B43" s="33" t="s">
        <v>774</v>
      </c>
      <c r="C43" s="1207"/>
      <c r="H43" s="1207"/>
      <c r="R43" s="755">
        <f>($R$9+$R$10)*'ARP Timing'!B$16</f>
        <v>1.9374600000000002</v>
      </c>
      <c r="S43" s="755">
        <f>($R$9+$R$10)*'ARP Timing'!C$16</f>
        <v>1.9374600000000002</v>
      </c>
      <c r="T43" s="755">
        <f>($R$9+$R$10)*'ARP Timing'!D$16</f>
        <v>1.356222</v>
      </c>
      <c r="U43" s="755">
        <f>($R$9+$R$10)*'ARP Timing'!E$16</f>
        <v>1.356222</v>
      </c>
      <c r="V43" s="755">
        <f>($R$9+$R$10)*'ARP Timing'!F$16</f>
        <v>1.356222</v>
      </c>
    </row>
    <row r="44" spans="1:23" x14ac:dyDescent="0.35">
      <c r="S44" s="755">
        <f>($S$9+$S$10)*'ARP Timing'!B$16</f>
        <v>1.9374600000000002</v>
      </c>
      <c r="T44" s="755">
        <f>($S$9+$S$10)*'ARP Timing'!C$16</f>
        <v>1.9374600000000002</v>
      </c>
      <c r="U44" s="755">
        <f>($S$9+$S$10)*'ARP Timing'!D$16</f>
        <v>1.356222</v>
      </c>
      <c r="V44" s="755">
        <f>($S$9+$S$10)*'ARP Timing'!E$16</f>
        <v>1.356222</v>
      </c>
    </row>
    <row r="46" spans="1:23" x14ac:dyDescent="0.35">
      <c r="B46" s="755" t="s">
        <v>775</v>
      </c>
      <c r="D46" s="622" t="s">
        <v>250</v>
      </c>
      <c r="E46" s="622" t="s">
        <v>180</v>
      </c>
      <c r="F46" s="622" t="s">
        <v>181</v>
      </c>
      <c r="G46" s="622" t="s">
        <v>182</v>
      </c>
      <c r="H46" s="622" t="s">
        <v>183</v>
      </c>
      <c r="I46" s="622" t="s">
        <v>184</v>
      </c>
      <c r="J46" s="622" t="s">
        <v>185</v>
      </c>
      <c r="K46" s="622" t="s">
        <v>186</v>
      </c>
      <c r="L46" s="622" t="s">
        <v>187</v>
      </c>
      <c r="M46" s="622" t="s">
        <v>188</v>
      </c>
      <c r="N46" s="622" t="s">
        <v>189</v>
      </c>
      <c r="O46" s="622" t="s">
        <v>190</v>
      </c>
      <c r="P46" s="622" t="s">
        <v>191</v>
      </c>
      <c r="Q46" s="622" t="s">
        <v>175</v>
      </c>
      <c r="R46" s="622" t="s">
        <v>176</v>
      </c>
      <c r="S46" s="622" t="s">
        <v>177</v>
      </c>
      <c r="T46" s="622" t="s">
        <v>763</v>
      </c>
      <c r="U46" s="622" t="s">
        <v>764</v>
      </c>
      <c r="V46" s="622" t="s">
        <v>765</v>
      </c>
    </row>
    <row r="47" spans="1:23" x14ac:dyDescent="0.35">
      <c r="B47" s="33"/>
      <c r="C47" s="1207" t="s">
        <v>311</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x14ac:dyDescent="0.35">
      <c r="A48" s="755">
        <v>2021</v>
      </c>
      <c r="B48" s="33" t="s">
        <v>773</v>
      </c>
      <c r="C48" s="1207"/>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x14ac:dyDescent="0.35">
      <c r="B49" s="33" t="s">
        <v>330</v>
      </c>
      <c r="C49" s="1207"/>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x14ac:dyDescent="0.35">
      <c r="B50" s="33" t="s">
        <v>774</v>
      </c>
      <c r="C50" s="1207"/>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x14ac:dyDescent="0.35">
      <c r="A51" s="755">
        <v>2022</v>
      </c>
      <c r="B51" s="33" t="s">
        <v>240</v>
      </c>
      <c r="C51" s="1207"/>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x14ac:dyDescent="0.35">
      <c r="B52" s="33" t="s">
        <v>241</v>
      </c>
      <c r="C52" s="1207"/>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x14ac:dyDescent="0.35">
      <c r="B53" s="33" t="s">
        <v>330</v>
      </c>
      <c r="C53" s="1207"/>
      <c r="H53" s="1207"/>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x14ac:dyDescent="0.35">
      <c r="B54" s="33" t="s">
        <v>774</v>
      </c>
      <c r="C54" s="1207"/>
      <c r="H54" s="1207"/>
    </row>
    <row r="55" spans="1:22" x14ac:dyDescent="0.35">
      <c r="A55" s="755">
        <v>2023</v>
      </c>
      <c r="B55" s="33" t="s">
        <v>240</v>
      </c>
      <c r="C55" s="1207"/>
      <c r="H55" s="1207"/>
    </row>
    <row r="56" spans="1:22" x14ac:dyDescent="0.35">
      <c r="B56" s="33" t="s">
        <v>241</v>
      </c>
      <c r="C56" s="1207"/>
      <c r="H56" s="1207"/>
    </row>
    <row r="57" spans="1:22" x14ac:dyDescent="0.35">
      <c r="B57" s="33" t="s">
        <v>330</v>
      </c>
      <c r="C57" s="1207"/>
      <c r="H57" s="1207"/>
    </row>
    <row r="58" spans="1:22" x14ac:dyDescent="0.35">
      <c r="B58" s="33" t="s">
        <v>774</v>
      </c>
      <c r="C58" s="1207"/>
      <c r="H58" s="1207"/>
    </row>
    <row r="59" spans="1:22" x14ac:dyDescent="0.35">
      <c r="A59" s="755">
        <v>2024</v>
      </c>
      <c r="B59" s="33" t="s">
        <v>240</v>
      </c>
      <c r="C59" s="1207"/>
      <c r="H59" s="1207"/>
    </row>
    <row r="60" spans="1:22" x14ac:dyDescent="0.35">
      <c r="B60" s="33" t="s">
        <v>241</v>
      </c>
      <c r="C60" s="1207"/>
      <c r="H60" s="1207"/>
    </row>
    <row r="61" spans="1:22" x14ac:dyDescent="0.35">
      <c r="B61" s="33" t="s">
        <v>330</v>
      </c>
      <c r="C61" s="1207"/>
      <c r="H61" s="1207"/>
    </row>
    <row r="62" spans="1:22" x14ac:dyDescent="0.35">
      <c r="B62" s="33" t="s">
        <v>774</v>
      </c>
      <c r="C62" s="1207"/>
      <c r="H62" s="1207"/>
    </row>
    <row r="63" spans="1:22" x14ac:dyDescent="0.35">
      <c r="A63" t="s">
        <v>887</v>
      </c>
      <c r="B63" s="33"/>
      <c r="C63" s="1207"/>
      <c r="G63">
        <v>5</v>
      </c>
      <c r="H63" s="1207">
        <v>10</v>
      </c>
      <c r="I63">
        <v>15</v>
      </c>
      <c r="J63">
        <v>8</v>
      </c>
      <c r="K63">
        <v>0</v>
      </c>
      <c r="L63">
        <v>-10</v>
      </c>
      <c r="M63">
        <v>-10</v>
      </c>
      <c r="N63">
        <v>-10</v>
      </c>
      <c r="O63">
        <v>-8</v>
      </c>
    </row>
    <row r="64" spans="1:22" x14ac:dyDescent="0.35">
      <c r="B64" s="33"/>
      <c r="C64" s="1207"/>
      <c r="H64" s="1207"/>
    </row>
    <row r="65" spans="2:24" x14ac:dyDescent="0.35">
      <c r="B65" s="33"/>
      <c r="C65" s="1207"/>
      <c r="H65" s="1207"/>
    </row>
    <row r="66" spans="2:24" x14ac:dyDescent="0.35">
      <c r="B66" s="33"/>
      <c r="C66" s="1207"/>
      <c r="H66" s="1207"/>
    </row>
    <row r="67" spans="2:24" x14ac:dyDescent="0.35">
      <c r="B67" s="33"/>
      <c r="C67" s="1207"/>
      <c r="H67" s="1207"/>
    </row>
    <row r="68" spans="2:24" x14ac:dyDescent="0.35">
      <c r="B68" s="33"/>
      <c r="C68" s="1207"/>
      <c r="H68" s="1207"/>
    </row>
    <row r="69" spans="2:24" x14ac:dyDescent="0.35">
      <c r="B69" s="33"/>
      <c r="C69" s="1207"/>
      <c r="H69" s="1207"/>
    </row>
    <row r="70" spans="2:24" x14ac:dyDescent="0.35">
      <c r="B70" s="33"/>
      <c r="C70" s="1207"/>
      <c r="H70" s="1207"/>
    </row>
    <row r="71" spans="2:24" x14ac:dyDescent="0.35">
      <c r="B71" s="33"/>
      <c r="C71" s="1207"/>
      <c r="H71" s="1207"/>
    </row>
    <row r="72" spans="2:24" x14ac:dyDescent="0.35">
      <c r="B72" s="33"/>
      <c r="C72" s="1207"/>
      <c r="H72" s="1207"/>
    </row>
    <row r="73" spans="2:24" x14ac:dyDescent="0.35">
      <c r="B73" s="33" t="s">
        <v>776</v>
      </c>
      <c r="C73" s="1208">
        <v>2021</v>
      </c>
      <c r="D73" s="1208">
        <v>2022</v>
      </c>
      <c r="E73" s="1208">
        <v>2023</v>
      </c>
      <c r="F73" s="1208">
        <v>2024</v>
      </c>
      <c r="G73" s="1208">
        <v>2025</v>
      </c>
      <c r="H73" s="1207"/>
    </row>
    <row r="74" spans="2:24" x14ac:dyDescent="0.35">
      <c r="B74" s="33" t="s">
        <v>673</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x14ac:dyDescent="0.35">
      <c r="B75" s="33" t="s">
        <v>674</v>
      </c>
      <c r="C75" s="1212">
        <f t="shared" si="43"/>
        <v>19.722000000000016</v>
      </c>
      <c r="D75" s="1212">
        <f t="shared" si="44"/>
        <v>52.756999999999998</v>
      </c>
      <c r="E75" s="1212">
        <f t="shared" si="45"/>
        <v>12</v>
      </c>
      <c r="F75" s="1212">
        <f t="shared" si="46"/>
        <v>4.2219999999999995</v>
      </c>
      <c r="G75" s="1212">
        <f t="shared" si="47"/>
        <v>2.3719999999999999</v>
      </c>
      <c r="H75" s="1207"/>
    </row>
    <row r="76" spans="2:24" x14ac:dyDescent="0.35">
      <c r="B76" s="33" t="s">
        <v>52</v>
      </c>
      <c r="C76" s="1212">
        <f t="shared" si="43"/>
        <v>81.643000000000001</v>
      </c>
      <c r="D76" s="1212">
        <f t="shared" si="44"/>
        <v>110.24799999999999</v>
      </c>
      <c r="E76" s="1212">
        <f t="shared" si="45"/>
        <v>12.726000000000001</v>
      </c>
      <c r="F76" s="1212">
        <f t="shared" si="46"/>
        <v>1.365</v>
      </c>
      <c r="G76" s="1212">
        <f t="shared" si="47"/>
        <v>-0.90100000000000025</v>
      </c>
      <c r="H76" s="1207"/>
      <c r="O76" s="33"/>
      <c r="P76" s="33"/>
      <c r="Q76" s="33"/>
      <c r="R76" s="33"/>
      <c r="S76" s="1213"/>
      <c r="T76" s="1213"/>
      <c r="U76" s="1213"/>
      <c r="V76" s="14"/>
      <c r="W76" s="33"/>
      <c r="X76" s="33"/>
    </row>
    <row r="77" spans="2:24" x14ac:dyDescent="0.35">
      <c r="B77" s="33" t="s">
        <v>131</v>
      </c>
      <c r="C77" s="1212">
        <f t="shared" si="43"/>
        <v>7.798</v>
      </c>
      <c r="D77" s="1212">
        <f t="shared" si="44"/>
        <v>7.9489999999999998</v>
      </c>
      <c r="E77" s="1212">
        <f t="shared" si="45"/>
        <v>4.7519999999999998</v>
      </c>
      <c r="F77" s="1212">
        <f t="shared" si="46"/>
        <v>4.637999999999999</v>
      </c>
      <c r="G77" s="1212">
        <f t="shared" si="47"/>
        <v>1.8800000000000001</v>
      </c>
      <c r="H77" s="1207"/>
    </row>
    <row r="78" spans="2:24" x14ac:dyDescent="0.35">
      <c r="B78" s="1210" t="s">
        <v>347</v>
      </c>
      <c r="C78" s="1212">
        <f t="shared" si="43"/>
        <v>247.29179999999997</v>
      </c>
      <c r="D78" s="1212">
        <f t="shared" si="44"/>
        <v>164.8612</v>
      </c>
      <c r="E78" s="1212">
        <f t="shared" si="45"/>
        <v>0</v>
      </c>
      <c r="F78" s="1212">
        <f t="shared" si="46"/>
        <v>0</v>
      </c>
      <c r="G78" s="1212">
        <f t="shared" si="47"/>
        <v>0</v>
      </c>
      <c r="H78" s="1207"/>
      <c r="R78" s="1178"/>
      <c r="S78" s="1178"/>
    </row>
    <row r="79" spans="2:24" x14ac:dyDescent="0.35">
      <c r="B79" s="1210" t="s">
        <v>150</v>
      </c>
      <c r="C79" s="1212">
        <f t="shared" si="43"/>
        <v>12.347</v>
      </c>
      <c r="D79" s="1212">
        <f t="shared" si="44"/>
        <v>46.79</v>
      </c>
      <c r="E79" s="1212">
        <f t="shared" si="45"/>
        <v>38.595999999999997</v>
      </c>
      <c r="F79" s="1212">
        <f t="shared" si="46"/>
        <v>31.911000000000001</v>
      </c>
      <c r="G79" s="1212">
        <f t="shared" si="47"/>
        <v>23.099</v>
      </c>
      <c r="H79" s="1207"/>
      <c r="R79" s="1178"/>
      <c r="S79" s="1178"/>
    </row>
    <row r="80" spans="2:24" x14ac:dyDescent="0.35">
      <c r="B80" s="1210" t="s">
        <v>363</v>
      </c>
      <c r="C80" s="1212">
        <f t="shared" si="43"/>
        <v>29.628</v>
      </c>
      <c r="D80" s="1212">
        <f t="shared" si="44"/>
        <v>35.671000000000006</v>
      </c>
      <c r="E80" s="1212">
        <f t="shared" si="45"/>
        <v>24.216000000000001</v>
      </c>
      <c r="F80" s="1212">
        <f t="shared" si="46"/>
        <v>9.6430000000000007</v>
      </c>
      <c r="G80" s="1212">
        <f t="shared" si="47"/>
        <v>4.5789999999999997</v>
      </c>
      <c r="H80" s="1207"/>
      <c r="R80" s="1178"/>
      <c r="S80" s="1178"/>
    </row>
    <row r="81" spans="2:19" x14ac:dyDescent="0.35">
      <c r="B81" s="14" t="s">
        <v>159</v>
      </c>
      <c r="C81" s="1212">
        <f t="shared" si="43"/>
        <v>25.75</v>
      </c>
      <c r="D81" s="1212">
        <f t="shared" si="44"/>
        <v>0</v>
      </c>
      <c r="E81" s="1212">
        <f t="shared" si="45"/>
        <v>0</v>
      </c>
      <c r="F81" s="1212">
        <f t="shared" si="46"/>
        <v>0</v>
      </c>
      <c r="G81" s="1212">
        <f t="shared" si="47"/>
        <v>0</v>
      </c>
      <c r="H81" s="1207"/>
      <c r="R81" s="1178"/>
      <c r="S81" s="1178"/>
    </row>
    <row r="82" spans="2:19" x14ac:dyDescent="0.35">
      <c r="B82" s="33" t="s">
        <v>109</v>
      </c>
      <c r="C82" s="1212">
        <f t="shared" si="43"/>
        <v>31.939</v>
      </c>
      <c r="D82" s="1212">
        <f t="shared" si="44"/>
        <v>56.413000000000004</v>
      </c>
      <c r="E82" s="1212">
        <f t="shared" si="45"/>
        <v>15.652999999999999</v>
      </c>
      <c r="F82" s="1212">
        <f t="shared" si="46"/>
        <v>3.9320000000000004</v>
      </c>
      <c r="G82" s="1212">
        <f t="shared" si="47"/>
        <v>-0.74299999999999988</v>
      </c>
      <c r="R82" s="1178"/>
      <c r="S82" s="1178"/>
    </row>
    <row r="83" spans="2:19" x14ac:dyDescent="0.35">
      <c r="B83" s="755" t="s">
        <v>767</v>
      </c>
      <c r="C83" s="1212">
        <f t="shared" si="43"/>
        <v>1.02</v>
      </c>
      <c r="D83" s="1212">
        <f t="shared" si="44"/>
        <v>1.5299999999999998</v>
      </c>
      <c r="E83" s="1212">
        <f t="shared" si="45"/>
        <v>0</v>
      </c>
      <c r="F83" s="1212">
        <f t="shared" si="46"/>
        <v>0</v>
      </c>
      <c r="G83" s="1212">
        <f t="shared" si="47"/>
        <v>0</v>
      </c>
      <c r="R83" s="1178"/>
      <c r="S83" s="1178"/>
    </row>
    <row r="84" spans="2:19" x14ac:dyDescent="0.35">
      <c r="B84" s="755" t="s">
        <v>768</v>
      </c>
      <c r="C84" s="1212">
        <f t="shared" si="43"/>
        <v>0.67999999999999994</v>
      </c>
      <c r="D84" s="1212">
        <f t="shared" si="44"/>
        <v>1.02</v>
      </c>
      <c r="E84" s="1212">
        <f t="shared" si="45"/>
        <v>0</v>
      </c>
      <c r="F84" s="1212">
        <f t="shared" si="46"/>
        <v>0</v>
      </c>
      <c r="G84" s="1212">
        <f t="shared" si="47"/>
        <v>0</v>
      </c>
      <c r="R84" s="1178"/>
      <c r="S84" s="1178"/>
    </row>
    <row r="85" spans="2:19" x14ac:dyDescent="0.35">
      <c r="B85" s="755" t="s">
        <v>469</v>
      </c>
      <c r="C85" s="1212">
        <f t="shared" si="43"/>
        <v>1.6999999999999997</v>
      </c>
      <c r="D85" s="1212">
        <f t="shared" si="44"/>
        <v>2.5499999999999998</v>
      </c>
      <c r="E85" s="1212">
        <f t="shared" si="45"/>
        <v>0</v>
      </c>
      <c r="F85" s="1212">
        <f t="shared" si="46"/>
        <v>0</v>
      </c>
      <c r="G85" s="1212">
        <f t="shared" si="47"/>
        <v>0</v>
      </c>
      <c r="R85" s="1178"/>
      <c r="S85" s="1178"/>
    </row>
    <row r="86" spans="2:19" x14ac:dyDescent="0.35">
      <c r="C86" s="1208">
        <v>2021</v>
      </c>
      <c r="D86" s="1208">
        <v>2022</v>
      </c>
      <c r="E86" s="1208">
        <v>2023</v>
      </c>
      <c r="F86" s="1208">
        <v>2024</v>
      </c>
      <c r="G86" s="1208">
        <v>2025</v>
      </c>
      <c r="R86" s="1178"/>
      <c r="S86" s="1178"/>
    </row>
    <row r="87" spans="2:19" x14ac:dyDescent="0.35">
      <c r="B87" s="755" t="s">
        <v>777</v>
      </c>
      <c r="C87" s="1211">
        <f>SUM(C83:C85)</f>
        <v>3.3999999999999995</v>
      </c>
      <c r="D87" s="1211">
        <f t="shared" ref="D87:G87" si="48">SUM(D83:D85)</f>
        <v>5.0999999999999996</v>
      </c>
      <c r="E87" s="1211">
        <f t="shared" si="48"/>
        <v>0</v>
      </c>
      <c r="F87" s="1211">
        <f t="shared" si="48"/>
        <v>0</v>
      </c>
      <c r="G87" s="1211">
        <f t="shared" si="48"/>
        <v>0</v>
      </c>
      <c r="R87" s="1178"/>
      <c r="S87" s="1178"/>
    </row>
    <row r="90" spans="2:19" x14ac:dyDescent="0.35">
      <c r="B90" s="755" t="s">
        <v>673</v>
      </c>
      <c r="C90" s="1212">
        <v>26.636000000000024</v>
      </c>
      <c r="D90" s="1212">
        <v>98.978999999999999</v>
      </c>
      <c r="E90" s="1212">
        <v>2.1159999999999997</v>
      </c>
      <c r="F90" s="1212">
        <v>2.1789999999999998</v>
      </c>
      <c r="G90" s="1212">
        <v>2.33</v>
      </c>
      <c r="H90" s="1212"/>
      <c r="I90" s="1212"/>
      <c r="J90" s="1212"/>
      <c r="K90" s="1212"/>
      <c r="L90" s="1212"/>
      <c r="M90" s="1212"/>
    </row>
    <row r="91" spans="2:19" x14ac:dyDescent="0.35">
      <c r="B91" s="755" t="s">
        <v>674</v>
      </c>
      <c r="C91" s="1212">
        <v>47.722000000000016</v>
      </c>
      <c r="D91" s="1212">
        <v>52.756999999999998</v>
      </c>
      <c r="E91" s="1212">
        <v>12</v>
      </c>
      <c r="F91" s="1212">
        <v>4.2219999999999995</v>
      </c>
      <c r="G91" s="1212">
        <v>2.3719999999999999</v>
      </c>
      <c r="H91" s="1212"/>
      <c r="I91" s="1212"/>
      <c r="J91" s="1212"/>
      <c r="K91" s="1212"/>
      <c r="L91" s="1212"/>
      <c r="M91" s="1212"/>
    </row>
    <row r="92" spans="2:19" x14ac:dyDescent="0.35">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x14ac:dyDescent="0.35">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x14ac:dyDescent="0.35">
      <c r="B94" s="755" t="s">
        <v>347</v>
      </c>
      <c r="C94" s="1212">
        <v>283.95749999999998</v>
      </c>
      <c r="D94" s="1212">
        <v>77.092500000000001</v>
      </c>
      <c r="E94" s="1212">
        <v>1</v>
      </c>
      <c r="F94" s="1212">
        <v>0</v>
      </c>
      <c r="G94" s="1212">
        <v>0</v>
      </c>
      <c r="H94" s="1212"/>
      <c r="I94" s="1212"/>
      <c r="J94" s="1212"/>
      <c r="K94" s="1212"/>
      <c r="L94" s="1212"/>
      <c r="M94" s="1212"/>
    </row>
    <row r="95" spans="2:19" x14ac:dyDescent="0.35">
      <c r="B95" s="755" t="s">
        <v>150</v>
      </c>
      <c r="C95" s="1212">
        <v>12.347</v>
      </c>
      <c r="D95" s="1212">
        <v>46.79</v>
      </c>
      <c r="E95" s="1212">
        <v>38.595999999999997</v>
      </c>
      <c r="F95" s="1212">
        <v>31.911000000000001</v>
      </c>
      <c r="G95" s="1212">
        <v>23.099</v>
      </c>
      <c r="H95" s="1212"/>
      <c r="I95" s="1212"/>
      <c r="J95" s="1212"/>
      <c r="K95" s="1212"/>
      <c r="L95" s="1212"/>
      <c r="M95" s="1212"/>
    </row>
    <row r="96" spans="2:19" x14ac:dyDescent="0.35">
      <c r="B96" s="755" t="s">
        <v>363</v>
      </c>
      <c r="C96" s="1212">
        <v>2.286</v>
      </c>
      <c r="D96" s="1212">
        <v>4.6049999999999995</v>
      </c>
      <c r="E96" s="1212">
        <v>1.349</v>
      </c>
      <c r="F96" s="1212">
        <v>0.441</v>
      </c>
      <c r="G96" s="1212">
        <v>0.313</v>
      </c>
      <c r="H96" s="1212"/>
      <c r="I96" s="1212"/>
      <c r="J96" s="1212"/>
      <c r="K96" s="1212"/>
      <c r="L96" s="1212"/>
      <c r="M96" s="1212"/>
    </row>
    <row r="97" spans="2:13" x14ac:dyDescent="0.35">
      <c r="B97" s="755" t="s">
        <v>159</v>
      </c>
      <c r="C97" s="1212">
        <v>25.75</v>
      </c>
      <c r="D97" s="1212">
        <v>0</v>
      </c>
      <c r="E97" s="1212">
        <v>0</v>
      </c>
      <c r="F97" s="1212">
        <v>0</v>
      </c>
      <c r="G97" s="1212">
        <v>0</v>
      </c>
      <c r="H97" s="1212"/>
      <c r="I97" s="1212"/>
      <c r="J97" s="1212"/>
      <c r="K97" s="1212"/>
      <c r="L97" s="1212"/>
      <c r="M97" s="1212"/>
    </row>
    <row r="98" spans="2:13" x14ac:dyDescent="0.35">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x14ac:dyDescent="0.35">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2" t="s">
        <v>1431</v>
      </c>
      <c r="B1" s="72" t="s">
        <v>1432</v>
      </c>
      <c r="C1" s="72" t="s">
        <v>1433</v>
      </c>
      <c r="D1" s="72" t="s">
        <v>1434</v>
      </c>
      <c r="E1" s="72" t="s">
        <v>1435</v>
      </c>
      <c r="F1" s="72" t="s">
        <v>1436</v>
      </c>
      <c r="G1" s="72" t="s">
        <v>920</v>
      </c>
      <c r="H1" s="72" t="s">
        <v>921</v>
      </c>
      <c r="I1" s="72" t="s">
        <v>922</v>
      </c>
      <c r="J1" s="72" t="s">
        <v>923</v>
      </c>
      <c r="K1" s="72" t="s">
        <v>924</v>
      </c>
      <c r="L1" s="72" t="s">
        <v>925</v>
      </c>
    </row>
    <row r="2" spans="1:12" x14ac:dyDescent="0.35">
      <c r="A2">
        <v>4.5079018442711401E-2</v>
      </c>
      <c r="B2">
        <v>5.3878515900577198E-2</v>
      </c>
      <c r="C2">
        <v>8.2063006909154398E-2</v>
      </c>
      <c r="D2">
        <v>0.104421067414309</v>
      </c>
      <c r="E2" t="s">
        <v>1437</v>
      </c>
      <c r="F2" t="s">
        <v>1438</v>
      </c>
      <c r="G2">
        <v>13.106999999999999</v>
      </c>
      <c r="H2">
        <v>1.9913023575188999E-2</v>
      </c>
      <c r="I2">
        <v>16.824999999999999</v>
      </c>
      <c r="J2">
        <v>2.51411589895989E-2</v>
      </c>
      <c r="K2" t="s">
        <v>926</v>
      </c>
      <c r="L2" t="s">
        <v>927</v>
      </c>
    </row>
    <row r="3" spans="1:12" x14ac:dyDescent="0.35">
      <c r="A3">
        <v>4.5079018442711401E-2</v>
      </c>
      <c r="B3">
        <v>5.3878515900577198E-2</v>
      </c>
      <c r="C3">
        <v>8.2063006909154398E-2</v>
      </c>
      <c r="D3">
        <v>0.104421067414309</v>
      </c>
      <c r="E3" t="s">
        <v>1439</v>
      </c>
      <c r="F3" t="s">
        <v>1438</v>
      </c>
      <c r="G3">
        <v>13.368</v>
      </c>
      <c r="H3">
        <v>1.9913023575188999E-2</v>
      </c>
      <c r="I3">
        <v>17.248000000000001</v>
      </c>
      <c r="J3">
        <v>2.51411589895989E-2</v>
      </c>
      <c r="K3" t="s">
        <v>928</v>
      </c>
      <c r="L3" t="s">
        <v>927</v>
      </c>
    </row>
    <row r="4" spans="1:12" x14ac:dyDescent="0.35">
      <c r="A4">
        <v>3.9419555818651898E-2</v>
      </c>
      <c r="B4">
        <v>6.9938689583740596E-2</v>
      </c>
      <c r="C4">
        <v>7.2508506661211405E-2</v>
      </c>
      <c r="D4">
        <v>7.9737360467493398E-2</v>
      </c>
      <c r="E4" t="s">
        <v>1440</v>
      </c>
      <c r="F4" t="s">
        <v>1438</v>
      </c>
      <c r="G4">
        <v>13.603999999999999</v>
      </c>
      <c r="H4">
        <v>1.7654099341711402E-2</v>
      </c>
      <c r="I4">
        <v>17.582000000000001</v>
      </c>
      <c r="J4">
        <v>1.9364564007421099E-2</v>
      </c>
      <c r="K4" t="s">
        <v>929</v>
      </c>
      <c r="L4" t="s">
        <v>927</v>
      </c>
    </row>
    <row r="5" spans="1:12" x14ac:dyDescent="0.35">
      <c r="A5">
        <v>5.2824828770235303E-2</v>
      </c>
      <c r="B5">
        <v>5.1823422551402501E-2</v>
      </c>
      <c r="C5">
        <v>6.9052453854286294E-2</v>
      </c>
      <c r="D5">
        <v>0.10539397910227</v>
      </c>
      <c r="E5" t="s">
        <v>1441</v>
      </c>
      <c r="F5" t="s">
        <v>1438</v>
      </c>
      <c r="G5">
        <v>13.833</v>
      </c>
      <c r="H5">
        <v>1.6833284328138898E-2</v>
      </c>
      <c r="I5">
        <v>18.027999999999999</v>
      </c>
      <c r="J5">
        <v>2.5366852462745899E-2</v>
      </c>
      <c r="K5" t="s">
        <v>930</v>
      </c>
      <c r="L5" t="s">
        <v>927</v>
      </c>
    </row>
    <row r="6" spans="1:12" x14ac:dyDescent="0.35">
      <c r="A6">
        <v>3.85286878692137E-2</v>
      </c>
      <c r="B6">
        <v>0.132788480581229</v>
      </c>
      <c r="C6">
        <v>0.10231116414477499</v>
      </c>
      <c r="D6">
        <v>6.9175988166702701E-2</v>
      </c>
      <c r="E6" t="s">
        <v>1442</v>
      </c>
      <c r="F6" t="s">
        <v>1438</v>
      </c>
      <c r="G6">
        <v>14.173999999999999</v>
      </c>
      <c r="H6">
        <v>2.4651196414371399E-2</v>
      </c>
      <c r="I6">
        <v>18.332000000000001</v>
      </c>
      <c r="J6">
        <v>1.6862658087419598E-2</v>
      </c>
      <c r="K6" t="s">
        <v>931</v>
      </c>
      <c r="L6" t="s">
        <v>927</v>
      </c>
    </row>
    <row r="7" spans="1:12" x14ac:dyDescent="0.35">
      <c r="A7">
        <v>4.6230845754161802E-2</v>
      </c>
      <c r="B7">
        <v>7.6806429060699302E-2</v>
      </c>
      <c r="C7">
        <v>7.6908368677740299E-2</v>
      </c>
      <c r="D7">
        <v>6.5481053360561203E-2</v>
      </c>
      <c r="E7" t="s">
        <v>1443</v>
      </c>
      <c r="F7" t="s">
        <v>1438</v>
      </c>
      <c r="G7">
        <v>14.439</v>
      </c>
      <c r="H7">
        <v>1.8696204317764999E-2</v>
      </c>
      <c r="I7">
        <v>18.625</v>
      </c>
      <c r="J7">
        <v>1.59829805804057E-2</v>
      </c>
      <c r="K7" t="s">
        <v>932</v>
      </c>
      <c r="L7" t="s">
        <v>927</v>
      </c>
    </row>
    <row r="8" spans="1:12" x14ac:dyDescent="0.35">
      <c r="A8">
        <v>4.0000704948734103E-2</v>
      </c>
      <c r="B8">
        <v>5.9184461037305798E-2</v>
      </c>
      <c r="C8">
        <v>6.1773509542664397E-2</v>
      </c>
      <c r="D8">
        <v>4.4315280925248897E-2</v>
      </c>
      <c r="E8" t="s">
        <v>1444</v>
      </c>
      <c r="F8" t="s">
        <v>1438</v>
      </c>
      <c r="G8">
        <v>14.657</v>
      </c>
      <c r="H8">
        <v>1.5097998476348899E-2</v>
      </c>
      <c r="I8">
        <v>18.827999999999999</v>
      </c>
      <c r="J8">
        <v>1.0899328859060401E-2</v>
      </c>
      <c r="K8" t="s">
        <v>933</v>
      </c>
      <c r="L8" t="s">
        <v>927</v>
      </c>
    </row>
    <row r="9" spans="1:12" x14ac:dyDescent="0.35">
      <c r="A9">
        <v>2.5035607973723999E-2</v>
      </c>
      <c r="B9">
        <v>8.3819893360376693E-2</v>
      </c>
      <c r="C9">
        <v>3.6793688078589702E-2</v>
      </c>
      <c r="D9">
        <v>7.0854524877743894E-2</v>
      </c>
      <c r="E9" t="s">
        <v>1445</v>
      </c>
      <c r="F9" t="s">
        <v>1438</v>
      </c>
      <c r="G9">
        <v>14.79</v>
      </c>
      <c r="H9">
        <v>9.0741625162038507E-3</v>
      </c>
      <c r="I9">
        <v>19.152999999999999</v>
      </c>
      <c r="J9">
        <v>1.7261525387720401E-2</v>
      </c>
      <c r="K9" t="s">
        <v>934</v>
      </c>
      <c r="L9" t="s">
        <v>927</v>
      </c>
    </row>
    <row r="10" spans="1:12" x14ac:dyDescent="0.35">
      <c r="A10">
        <v>4.2906681103859E-2</v>
      </c>
      <c r="B10">
        <v>0.175097239288524</v>
      </c>
      <c r="C10">
        <v>0.10446834522691199</v>
      </c>
      <c r="D10">
        <v>5.2157088254066501E-2</v>
      </c>
      <c r="E10" t="s">
        <v>1446</v>
      </c>
      <c r="F10" t="s">
        <v>1438</v>
      </c>
      <c r="G10">
        <v>15.162000000000001</v>
      </c>
      <c r="H10">
        <v>2.5152129817444399E-2</v>
      </c>
      <c r="I10">
        <v>19.398</v>
      </c>
      <c r="J10">
        <v>1.27917297551299E-2</v>
      </c>
      <c r="K10" t="s">
        <v>935</v>
      </c>
      <c r="L10" t="s">
        <v>927</v>
      </c>
    </row>
    <row r="11" spans="1:12" x14ac:dyDescent="0.35">
      <c r="A11">
        <v>2.3157030840978501E-2</v>
      </c>
      <c r="B11">
        <v>4.0963848741786497E-2</v>
      </c>
      <c r="C11">
        <v>5.35423244430666E-2</v>
      </c>
      <c r="D11">
        <v>2.83404365976123E-2</v>
      </c>
      <c r="E11" t="s">
        <v>1447</v>
      </c>
      <c r="F11" t="s">
        <v>1438</v>
      </c>
      <c r="G11">
        <v>15.361000000000001</v>
      </c>
      <c r="H11">
        <v>1.3124917557050499E-2</v>
      </c>
      <c r="I11">
        <v>19.533999999999999</v>
      </c>
      <c r="J11">
        <v>7.0110320651612899E-3</v>
      </c>
      <c r="K11" t="s">
        <v>936</v>
      </c>
      <c r="L11" t="s">
        <v>927</v>
      </c>
    </row>
    <row r="12" spans="1:12" x14ac:dyDescent="0.35">
      <c r="A12">
        <v>3.55986781186481E-2</v>
      </c>
      <c r="B12">
        <v>3.3186191278740597E-2</v>
      </c>
      <c r="C12">
        <v>6.3703129067968198E-2</v>
      </c>
      <c r="D12">
        <v>5.6658506033298299E-2</v>
      </c>
      <c r="E12" t="s">
        <v>1448</v>
      </c>
      <c r="F12" t="s">
        <v>1438</v>
      </c>
      <c r="G12">
        <v>15.6</v>
      </c>
      <c r="H12">
        <v>1.5558882885228701E-2</v>
      </c>
      <c r="I12">
        <v>19.805</v>
      </c>
      <c r="J12">
        <v>1.38732466468721E-2</v>
      </c>
      <c r="K12" t="s">
        <v>937</v>
      </c>
      <c r="L12" t="s">
        <v>927</v>
      </c>
    </row>
    <row r="13" spans="1:12" x14ac:dyDescent="0.35">
      <c r="A13">
        <v>3.3109052200751603E-2</v>
      </c>
      <c r="B13">
        <v>8.9944620716435594E-2</v>
      </c>
      <c r="C13">
        <v>5.0679215853917103E-2</v>
      </c>
      <c r="D13">
        <v>7.6848944278385095E-2</v>
      </c>
      <c r="E13" t="s">
        <v>1449</v>
      </c>
      <c r="F13" t="s">
        <v>1438</v>
      </c>
      <c r="G13">
        <v>15.794</v>
      </c>
      <c r="H13">
        <v>1.2435897435897601E-2</v>
      </c>
      <c r="I13">
        <v>20.175000000000001</v>
      </c>
      <c r="J13">
        <v>1.8682150971976799E-2</v>
      </c>
      <c r="K13" t="s">
        <v>938</v>
      </c>
      <c r="L13" t="s">
        <v>927</v>
      </c>
    </row>
    <row r="14" spans="1:12" x14ac:dyDescent="0.35">
      <c r="A14">
        <v>4.91014015888558E-2</v>
      </c>
      <c r="B14">
        <v>6.5908483031781095E-2</v>
      </c>
      <c r="C14">
        <v>8.1389738888574495E-2</v>
      </c>
      <c r="D14">
        <v>7.93845743471608E-2</v>
      </c>
      <c r="E14" t="s">
        <v>1450</v>
      </c>
      <c r="F14" t="s">
        <v>1438</v>
      </c>
      <c r="G14">
        <v>16.106000000000002</v>
      </c>
      <c r="H14">
        <v>1.9754337090034199E-2</v>
      </c>
      <c r="I14">
        <v>20.564</v>
      </c>
      <c r="J14">
        <v>1.9281288723668001E-2</v>
      </c>
      <c r="K14" t="s">
        <v>939</v>
      </c>
      <c r="L14" t="s">
        <v>927</v>
      </c>
    </row>
    <row r="15" spans="1:12" x14ac:dyDescent="0.35">
      <c r="A15">
        <v>7.9177652454341899E-2</v>
      </c>
      <c r="B15">
        <v>7.1493559288280994E-2</v>
      </c>
      <c r="C15">
        <v>6.9283063617710403E-2</v>
      </c>
      <c r="D15">
        <v>8.6922582910256702E-2</v>
      </c>
      <c r="E15" t="s">
        <v>1451</v>
      </c>
      <c r="F15" t="s">
        <v>1438</v>
      </c>
      <c r="G15">
        <v>16.378</v>
      </c>
      <c r="H15">
        <v>1.68881162299763E-2</v>
      </c>
      <c r="I15">
        <v>20.997</v>
      </c>
      <c r="J15">
        <v>2.1056214744213299E-2</v>
      </c>
      <c r="K15" t="s">
        <v>940</v>
      </c>
      <c r="L15" t="s">
        <v>927</v>
      </c>
    </row>
    <row r="16" spans="1:12" x14ac:dyDescent="0.35">
      <c r="A16">
        <v>7.4767520593947104E-2</v>
      </c>
      <c r="B16">
        <v>8.5362600720222198E-2</v>
      </c>
      <c r="C16">
        <v>4.7217464684975501E-2</v>
      </c>
      <c r="D16">
        <v>8.4062519785650797E-2</v>
      </c>
      <c r="E16" t="s">
        <v>1452</v>
      </c>
      <c r="F16" t="s">
        <v>1438</v>
      </c>
      <c r="G16">
        <v>16.568000000000001</v>
      </c>
      <c r="H16">
        <v>1.1600928074246E-2</v>
      </c>
      <c r="I16">
        <v>21.425000000000001</v>
      </c>
      <c r="J16">
        <v>2.03838643615755E-2</v>
      </c>
      <c r="K16" t="s">
        <v>941</v>
      </c>
      <c r="L16" t="s">
        <v>927</v>
      </c>
    </row>
    <row r="17" spans="1:12" x14ac:dyDescent="0.35">
      <c r="A17">
        <v>8.4354048501589896E-2</v>
      </c>
      <c r="B17">
        <v>8.8313277531109999E-2</v>
      </c>
      <c r="C17">
        <v>6.8825586736247696E-2</v>
      </c>
      <c r="D17">
        <v>0.111750672708145</v>
      </c>
      <c r="E17" t="s">
        <v>1453</v>
      </c>
      <c r="F17" t="s">
        <v>1438</v>
      </c>
      <c r="G17">
        <v>16.846</v>
      </c>
      <c r="H17">
        <v>1.6779333655238898E-2</v>
      </c>
      <c r="I17">
        <v>22</v>
      </c>
      <c r="J17">
        <v>2.68378063010501E-2</v>
      </c>
      <c r="K17" t="s">
        <v>942</v>
      </c>
      <c r="L17" t="s">
        <v>927</v>
      </c>
    </row>
    <row r="18" spans="1:12" x14ac:dyDescent="0.35">
      <c r="A18">
        <v>0.124536540877934</v>
      </c>
      <c r="B18">
        <v>4.1616768277239702E-2</v>
      </c>
      <c r="C18">
        <v>0.100709384145876</v>
      </c>
      <c r="D18">
        <v>0.19875533747763099</v>
      </c>
      <c r="E18" t="s">
        <v>1454</v>
      </c>
      <c r="F18" t="s">
        <v>1438</v>
      </c>
      <c r="G18">
        <v>17.254999999999999</v>
      </c>
      <c r="H18">
        <v>2.42787605366259E-2</v>
      </c>
      <c r="I18">
        <v>23.02</v>
      </c>
      <c r="J18">
        <v>4.6363636363636399E-2</v>
      </c>
      <c r="K18" t="s">
        <v>943</v>
      </c>
      <c r="L18" t="s">
        <v>927</v>
      </c>
    </row>
    <row r="19" spans="1:12" x14ac:dyDescent="0.35">
      <c r="A19">
        <v>0.118186339709689</v>
      </c>
      <c r="B19">
        <v>7.4336480554695494E-2</v>
      </c>
      <c r="C19">
        <v>0.111980004946894</v>
      </c>
      <c r="D19">
        <v>0.27614966476000502</v>
      </c>
      <c r="E19" t="s">
        <v>1455</v>
      </c>
      <c r="F19" t="s">
        <v>1438</v>
      </c>
      <c r="G19">
        <v>17.719000000000001</v>
      </c>
      <c r="H19">
        <v>2.68907563025211E-2</v>
      </c>
      <c r="I19">
        <v>24.466999999999999</v>
      </c>
      <c r="J19">
        <v>6.2858384013900995E-2</v>
      </c>
      <c r="K19" t="s">
        <v>944</v>
      </c>
      <c r="L19" t="s">
        <v>927</v>
      </c>
    </row>
    <row r="20" spans="1:12" x14ac:dyDescent="0.35">
      <c r="A20">
        <v>0.112285409166716</v>
      </c>
      <c r="B20">
        <v>0.121923532437656</v>
      </c>
      <c r="C20">
        <v>0.119951580753957</v>
      </c>
      <c r="D20">
        <v>0.28126959643585903</v>
      </c>
      <c r="E20" t="s">
        <v>1456</v>
      </c>
      <c r="F20" t="s">
        <v>1438</v>
      </c>
      <c r="G20">
        <v>18.228000000000002</v>
      </c>
      <c r="H20">
        <v>2.8726226084993398E-2</v>
      </c>
      <c r="I20">
        <v>26.030999999999999</v>
      </c>
      <c r="J20">
        <v>6.3922834838762405E-2</v>
      </c>
      <c r="K20" t="s">
        <v>945</v>
      </c>
      <c r="L20" t="s">
        <v>927</v>
      </c>
    </row>
    <row r="21" spans="1:12" x14ac:dyDescent="0.35">
      <c r="A21">
        <v>0.10564888426900799</v>
      </c>
      <c r="B21">
        <v>0.139689749601554</v>
      </c>
      <c r="C21">
        <v>0.10861792322335199</v>
      </c>
      <c r="D21">
        <v>0.17691984955710299</v>
      </c>
      <c r="E21" t="s">
        <v>1457</v>
      </c>
      <c r="F21" t="s">
        <v>1438</v>
      </c>
      <c r="G21">
        <v>18.704000000000001</v>
      </c>
      <c r="H21">
        <v>2.6113671274961399E-2</v>
      </c>
      <c r="I21">
        <v>27.113</v>
      </c>
      <c r="J21">
        <v>4.15658253620683E-2</v>
      </c>
      <c r="K21" t="s">
        <v>946</v>
      </c>
      <c r="L21" t="s">
        <v>927</v>
      </c>
    </row>
    <row r="22" spans="1:12" x14ac:dyDescent="0.35">
      <c r="A22">
        <v>7.7418031911128199E-2</v>
      </c>
      <c r="B22">
        <v>7.47377264200315E-2</v>
      </c>
      <c r="C22">
        <v>8.2414004288707196E-2</v>
      </c>
      <c r="D22">
        <v>8.77241949354641E-2</v>
      </c>
      <c r="E22" t="s">
        <v>1458</v>
      </c>
      <c r="F22" t="s">
        <v>1438</v>
      </c>
      <c r="G22">
        <v>19.077999999999999</v>
      </c>
      <c r="H22">
        <v>1.99957228400343E-2</v>
      </c>
      <c r="I22">
        <v>27.689</v>
      </c>
      <c r="J22">
        <v>2.1244421495223698E-2</v>
      </c>
      <c r="K22" t="s">
        <v>947</v>
      </c>
      <c r="L22" t="s">
        <v>927</v>
      </c>
    </row>
    <row r="23" spans="1:12" x14ac:dyDescent="0.35">
      <c r="A23">
        <v>5.00188837807687E-2</v>
      </c>
      <c r="B23">
        <v>5.9076854521070303E-2</v>
      </c>
      <c r="C23">
        <v>9.99907756879512E-2</v>
      </c>
      <c r="D23">
        <v>1.9938623083631101E-2</v>
      </c>
      <c r="E23" t="s">
        <v>1459</v>
      </c>
      <c r="F23" t="s">
        <v>1438</v>
      </c>
      <c r="G23">
        <v>19.538</v>
      </c>
      <c r="H23">
        <v>2.4111542090365898E-2</v>
      </c>
      <c r="I23">
        <v>27.826000000000001</v>
      </c>
      <c r="J23">
        <v>4.9478132110223304E-3</v>
      </c>
      <c r="K23" t="s">
        <v>948</v>
      </c>
      <c r="L23" t="s">
        <v>927</v>
      </c>
    </row>
    <row r="24" spans="1:12" x14ac:dyDescent="0.35">
      <c r="A24">
        <v>7.6956317974106001E-2</v>
      </c>
      <c r="B24">
        <v>5.5091330920863602E-2</v>
      </c>
      <c r="C24">
        <v>6.2847909413525901E-2</v>
      </c>
      <c r="D24">
        <v>1.2710174962932599E-2</v>
      </c>
      <c r="E24" t="s">
        <v>1460</v>
      </c>
      <c r="F24" t="s">
        <v>1438</v>
      </c>
      <c r="G24">
        <v>19.838000000000001</v>
      </c>
      <c r="H24">
        <v>1.5354693417954699E-2</v>
      </c>
      <c r="I24">
        <v>27.914000000000001</v>
      </c>
      <c r="J24">
        <v>3.16250988284339E-3</v>
      </c>
      <c r="K24" t="s">
        <v>949</v>
      </c>
      <c r="L24" t="s">
        <v>927</v>
      </c>
    </row>
    <row r="25" spans="1:12" x14ac:dyDescent="0.35">
      <c r="A25">
        <v>6.8882772668885706E-2</v>
      </c>
      <c r="B25">
        <v>9.5097426388938394E-2</v>
      </c>
      <c r="C25">
        <v>5.9557775023163499E-2</v>
      </c>
      <c r="D25">
        <v>2.4583979224767301E-2</v>
      </c>
      <c r="E25" t="s">
        <v>1461</v>
      </c>
      <c r="F25" t="s">
        <v>1438</v>
      </c>
      <c r="G25">
        <v>20.126999999999999</v>
      </c>
      <c r="H25">
        <v>1.45680008065328E-2</v>
      </c>
      <c r="I25">
        <v>28.084</v>
      </c>
      <c r="J25">
        <v>6.0901339829475499E-3</v>
      </c>
      <c r="K25" t="s">
        <v>950</v>
      </c>
      <c r="L25" t="s">
        <v>927</v>
      </c>
    </row>
    <row r="26" spans="1:12" x14ac:dyDescent="0.35">
      <c r="A26">
        <v>4.46796784787249E-2</v>
      </c>
      <c r="B26">
        <v>5.9702158874865199E-2</v>
      </c>
      <c r="C26">
        <v>5.3094918319799497E-2</v>
      </c>
      <c r="D26">
        <v>1.9800669277978002E-2</v>
      </c>
      <c r="E26" t="s">
        <v>1462</v>
      </c>
      <c r="F26" t="s">
        <v>1438</v>
      </c>
      <c r="G26">
        <v>20.388999999999999</v>
      </c>
      <c r="H26">
        <v>1.30173398916877E-2</v>
      </c>
      <c r="I26">
        <v>28.222000000000001</v>
      </c>
      <c r="J26">
        <v>4.91382993875522E-3</v>
      </c>
      <c r="K26" t="s">
        <v>951</v>
      </c>
      <c r="L26" t="s">
        <v>927</v>
      </c>
    </row>
    <row r="27" spans="1:12" x14ac:dyDescent="0.35">
      <c r="A27">
        <v>3.3979822161052303E-2</v>
      </c>
      <c r="B27">
        <v>3.3961135638896502E-2</v>
      </c>
      <c r="C27">
        <v>5.3215140717762302E-2</v>
      </c>
      <c r="D27">
        <v>3.4743180507705002E-2</v>
      </c>
      <c r="E27" t="s">
        <v>1463</v>
      </c>
      <c r="F27" t="s">
        <v>1438</v>
      </c>
      <c r="G27">
        <v>20.655000000000001</v>
      </c>
      <c r="H27">
        <v>1.3046250429153101E-2</v>
      </c>
      <c r="I27">
        <v>28.463999999999999</v>
      </c>
      <c r="J27">
        <v>8.5748706682728902E-3</v>
      </c>
      <c r="K27" t="s">
        <v>952</v>
      </c>
      <c r="L27" t="s">
        <v>927</v>
      </c>
    </row>
    <row r="28" spans="1:12" x14ac:dyDescent="0.35">
      <c r="A28">
        <v>6.2157602764701697E-2</v>
      </c>
      <c r="B28">
        <v>4.6572413553721298E-2</v>
      </c>
      <c r="C28">
        <v>3.5515485276211803E-2</v>
      </c>
      <c r="D28">
        <v>8.7412684077270396E-3</v>
      </c>
      <c r="E28" t="s">
        <v>1464</v>
      </c>
      <c r="F28" t="s">
        <v>1438</v>
      </c>
      <c r="G28">
        <v>20.835999999999999</v>
      </c>
      <c r="H28">
        <v>8.7630113773904394E-3</v>
      </c>
      <c r="I28">
        <v>28.526</v>
      </c>
      <c r="J28">
        <v>2.17818999437891E-3</v>
      </c>
      <c r="K28" t="s">
        <v>953</v>
      </c>
      <c r="L28" t="s">
        <v>927</v>
      </c>
    </row>
    <row r="29" spans="1:12" x14ac:dyDescent="0.35">
      <c r="A29">
        <v>6.4679796349943294E-2</v>
      </c>
      <c r="B29">
        <v>0.11140543202132699</v>
      </c>
      <c r="C29">
        <v>5.3847641567893498E-2</v>
      </c>
      <c r="D29">
        <v>2.7482019859727602E-2</v>
      </c>
      <c r="E29" t="s">
        <v>1465</v>
      </c>
      <c r="F29" t="s">
        <v>1438</v>
      </c>
      <c r="G29">
        <v>21.111000000000001</v>
      </c>
      <c r="H29">
        <v>1.31983106162412E-2</v>
      </c>
      <c r="I29">
        <v>28.72</v>
      </c>
      <c r="J29">
        <v>6.8008132931360902E-3</v>
      </c>
      <c r="K29" t="s">
        <v>954</v>
      </c>
      <c r="L29" t="s">
        <v>927</v>
      </c>
    </row>
    <row r="30" spans="1:12" x14ac:dyDescent="0.35">
      <c r="A30">
        <v>7.4088172350420103E-2</v>
      </c>
      <c r="B30">
        <v>5.7739458159661701E-2</v>
      </c>
      <c r="C30">
        <v>8.3796072481744796E-2</v>
      </c>
      <c r="D30">
        <v>5.2825931688943499E-2</v>
      </c>
      <c r="E30" t="s">
        <v>1466</v>
      </c>
      <c r="F30" t="s">
        <v>1438</v>
      </c>
      <c r="G30">
        <v>21.54</v>
      </c>
      <c r="H30">
        <v>2.0321159585050302E-2</v>
      </c>
      <c r="I30">
        <v>29.091999999999999</v>
      </c>
      <c r="J30">
        <v>1.2952646239554401E-2</v>
      </c>
      <c r="K30" t="s">
        <v>955</v>
      </c>
      <c r="L30" t="s">
        <v>927</v>
      </c>
    </row>
    <row r="31" spans="1:12" x14ac:dyDescent="0.35">
      <c r="A31">
        <v>7.0308632461715301E-2</v>
      </c>
      <c r="B31">
        <v>4.6296846180206901E-2</v>
      </c>
      <c r="C31">
        <v>8.1880476726010801E-2</v>
      </c>
      <c r="D31">
        <v>4.0048809702137603E-2</v>
      </c>
      <c r="E31" t="s">
        <v>1467</v>
      </c>
      <c r="F31" t="s">
        <v>1438</v>
      </c>
      <c r="G31">
        <v>21.968</v>
      </c>
      <c r="H31">
        <v>1.9870009285051001E-2</v>
      </c>
      <c r="I31">
        <v>29.379000000000001</v>
      </c>
      <c r="J31">
        <v>9.8652550529356696E-3</v>
      </c>
      <c r="K31" t="s">
        <v>956</v>
      </c>
      <c r="L31" t="s">
        <v>927</v>
      </c>
    </row>
    <row r="32" spans="1:12" x14ac:dyDescent="0.35">
      <c r="A32">
        <v>6.1553542794543503E-2</v>
      </c>
      <c r="B32">
        <v>1.98663105662467E-2</v>
      </c>
      <c r="C32">
        <v>7.3501873886998997E-2</v>
      </c>
      <c r="D32">
        <v>5.4874269706492597E-2</v>
      </c>
      <c r="E32" t="s">
        <v>1468</v>
      </c>
      <c r="F32" t="s">
        <v>1438</v>
      </c>
      <c r="G32">
        <v>22.361000000000001</v>
      </c>
      <c r="H32">
        <v>1.7889657683903801E-2</v>
      </c>
      <c r="I32">
        <v>29.774000000000001</v>
      </c>
      <c r="J32">
        <v>1.3444977705163501E-2</v>
      </c>
      <c r="K32" t="s">
        <v>957</v>
      </c>
      <c r="L32" t="s">
        <v>927</v>
      </c>
    </row>
    <row r="33" spans="1:12" x14ac:dyDescent="0.35">
      <c r="A33">
        <v>5.8025197908700303E-2</v>
      </c>
      <c r="B33">
        <v>0.12112082718011299</v>
      </c>
      <c r="C33">
        <v>7.5383891455237398E-2</v>
      </c>
      <c r="D33">
        <v>4.34111575180351E-2</v>
      </c>
      <c r="E33" t="s">
        <v>1469</v>
      </c>
      <c r="F33" t="s">
        <v>1438</v>
      </c>
      <c r="G33">
        <v>22.771000000000001</v>
      </c>
      <c r="H33">
        <v>1.83354948347569E-2</v>
      </c>
      <c r="I33">
        <v>30.091999999999999</v>
      </c>
      <c r="J33">
        <v>1.0680459461274799E-2</v>
      </c>
      <c r="K33" t="s">
        <v>958</v>
      </c>
      <c r="L33" t="s">
        <v>927</v>
      </c>
    </row>
    <row r="34" spans="1:12" x14ac:dyDescent="0.35">
      <c r="A34">
        <v>6.7326294927223501E-2</v>
      </c>
      <c r="B34">
        <v>4.65097292728067E-2</v>
      </c>
      <c r="C34">
        <v>5.9424238450433299E-2</v>
      </c>
      <c r="D34">
        <v>5.0510789433123801E-2</v>
      </c>
      <c r="E34" t="s">
        <v>1470</v>
      </c>
      <c r="F34" t="s">
        <v>1438</v>
      </c>
      <c r="G34">
        <v>23.102</v>
      </c>
      <c r="H34">
        <v>1.4536032673137E-2</v>
      </c>
      <c r="I34">
        <v>30.465</v>
      </c>
      <c r="J34">
        <v>1.23953210155523E-2</v>
      </c>
      <c r="K34" t="s">
        <v>959</v>
      </c>
      <c r="L34" t="s">
        <v>927</v>
      </c>
    </row>
    <row r="35" spans="1:12" x14ac:dyDescent="0.35">
      <c r="A35">
        <v>8.4675701203493298E-2</v>
      </c>
      <c r="B35">
        <v>8.09066486989478E-2</v>
      </c>
      <c r="C35">
        <v>6.5619276167123694E-2</v>
      </c>
      <c r="D35">
        <v>8.0997725857898203E-2</v>
      </c>
      <c r="E35" t="s">
        <v>1471</v>
      </c>
      <c r="F35" t="s">
        <v>1438</v>
      </c>
      <c r="G35">
        <v>23.472000000000001</v>
      </c>
      <c r="H35">
        <v>1.6015929356765699E-2</v>
      </c>
      <c r="I35">
        <v>31.064</v>
      </c>
      <c r="J35">
        <v>1.9661907106515601E-2</v>
      </c>
      <c r="K35" t="s">
        <v>960</v>
      </c>
      <c r="L35" t="s">
        <v>927</v>
      </c>
    </row>
    <row r="36" spans="1:12" x14ac:dyDescent="0.35">
      <c r="A36">
        <v>7.2050406034996906E-2</v>
      </c>
      <c r="B36">
        <v>6.8549166168664605E-2</v>
      </c>
      <c r="C36">
        <v>5.8500992246239197E-2</v>
      </c>
      <c r="D36">
        <v>7.8709215306017405E-2</v>
      </c>
      <c r="E36" t="s">
        <v>1472</v>
      </c>
      <c r="F36" t="s">
        <v>1438</v>
      </c>
      <c r="G36">
        <v>23.808</v>
      </c>
      <c r="H36">
        <v>1.4314928425357899E-2</v>
      </c>
      <c r="I36">
        <v>31.658000000000001</v>
      </c>
      <c r="J36">
        <v>1.9121813031161401E-2</v>
      </c>
      <c r="K36" t="s">
        <v>961</v>
      </c>
      <c r="L36" t="s">
        <v>927</v>
      </c>
    </row>
    <row r="37" spans="1:12" x14ac:dyDescent="0.35">
      <c r="A37">
        <v>7.7759817693589403E-2</v>
      </c>
      <c r="B37">
        <v>7.0826828171957498E-2</v>
      </c>
      <c r="C37">
        <v>5.4682260590980698E-2</v>
      </c>
      <c r="D37">
        <v>7.3455131593814296E-2</v>
      </c>
      <c r="E37" t="s">
        <v>1473</v>
      </c>
      <c r="F37" t="s">
        <v>1438</v>
      </c>
      <c r="G37">
        <v>24.126999999999999</v>
      </c>
      <c r="H37">
        <v>1.33988575268817E-2</v>
      </c>
      <c r="I37">
        <v>32.223999999999997</v>
      </c>
      <c r="J37">
        <v>1.78785772948384E-2</v>
      </c>
      <c r="K37" t="s">
        <v>962</v>
      </c>
      <c r="L37" t="s">
        <v>927</v>
      </c>
    </row>
    <row r="38" spans="1:12" x14ac:dyDescent="0.35">
      <c r="A38">
        <v>7.7602845525897898E-2</v>
      </c>
      <c r="B38">
        <v>7.5755853629737399E-2</v>
      </c>
      <c r="C38">
        <v>0.101819091447914</v>
      </c>
      <c r="D38">
        <v>8.5137769356933707E-2</v>
      </c>
      <c r="E38" t="s">
        <v>1474</v>
      </c>
      <c r="F38" t="s">
        <v>1438</v>
      </c>
      <c r="G38">
        <v>24.719000000000001</v>
      </c>
      <c r="H38">
        <v>2.4536825962614601E-2</v>
      </c>
      <c r="I38">
        <v>32.889000000000003</v>
      </c>
      <c r="J38">
        <v>2.0636792452830299E-2</v>
      </c>
      <c r="K38" t="s">
        <v>963</v>
      </c>
      <c r="L38" t="s">
        <v>927</v>
      </c>
    </row>
    <row r="39" spans="1:12" x14ac:dyDescent="0.35">
      <c r="A39">
        <v>0.113838252689951</v>
      </c>
      <c r="B39">
        <v>6.1815502695247999E-2</v>
      </c>
      <c r="C39">
        <v>9.0287471336475605E-2</v>
      </c>
      <c r="D39">
        <v>0.11311171886032199</v>
      </c>
      <c r="E39" t="s">
        <v>1475</v>
      </c>
      <c r="F39" t="s">
        <v>1438</v>
      </c>
      <c r="G39">
        <v>25.259</v>
      </c>
      <c r="H39">
        <v>2.18455439135887E-2</v>
      </c>
      <c r="I39">
        <v>33.781999999999996</v>
      </c>
      <c r="J39">
        <v>2.7151935297515601E-2</v>
      </c>
      <c r="K39" t="s">
        <v>964</v>
      </c>
      <c r="L39" t="s">
        <v>927</v>
      </c>
    </row>
    <row r="40" spans="1:12" x14ac:dyDescent="0.35">
      <c r="A40">
        <v>0.10293672514128201</v>
      </c>
      <c r="B40">
        <v>9.6664179784869297E-2</v>
      </c>
      <c r="C40">
        <v>0.148038402658868</v>
      </c>
      <c r="D40">
        <v>0.121960082107911</v>
      </c>
      <c r="E40" t="s">
        <v>1476</v>
      </c>
      <c r="F40" t="s">
        <v>1438</v>
      </c>
      <c r="G40">
        <v>26.146000000000001</v>
      </c>
      <c r="H40">
        <v>3.5116196207292602E-2</v>
      </c>
      <c r="I40">
        <v>34.768000000000001</v>
      </c>
      <c r="J40">
        <v>2.9187141081049101E-2</v>
      </c>
      <c r="K40" t="s">
        <v>965</v>
      </c>
      <c r="L40" t="s">
        <v>927</v>
      </c>
    </row>
    <row r="41" spans="1:12" x14ac:dyDescent="0.35">
      <c r="A41">
        <v>0.100470180706661</v>
      </c>
      <c r="B41">
        <v>9.1027084037313494E-2</v>
      </c>
      <c r="C41">
        <v>7.0641984000731503E-2</v>
      </c>
      <c r="D41">
        <v>0.118355060703055</v>
      </c>
      <c r="E41" t="s">
        <v>1477</v>
      </c>
      <c r="F41" t="s">
        <v>1438</v>
      </c>
      <c r="G41">
        <v>26.596</v>
      </c>
      <c r="H41">
        <v>1.7211045666641198E-2</v>
      </c>
      <c r="I41">
        <v>35.753999999999998</v>
      </c>
      <c r="J41">
        <v>2.83594109526E-2</v>
      </c>
      <c r="K41" t="s">
        <v>966</v>
      </c>
      <c r="L41" t="s">
        <v>927</v>
      </c>
    </row>
    <row r="42" spans="1:12" x14ac:dyDescent="0.35">
      <c r="A42">
        <v>0.12552467874009099</v>
      </c>
      <c r="B42">
        <v>8.1451601423466094E-2</v>
      </c>
      <c r="C42">
        <v>0.106909632651843</v>
      </c>
      <c r="D42">
        <v>0.113864763230328</v>
      </c>
      <c r="E42" t="s">
        <v>1478</v>
      </c>
      <c r="F42" t="s">
        <v>1438</v>
      </c>
      <c r="G42">
        <v>27.28</v>
      </c>
      <c r="H42">
        <v>2.5718153105730199E-2</v>
      </c>
      <c r="I42">
        <v>36.731000000000002</v>
      </c>
      <c r="J42">
        <v>2.7325613917324101E-2</v>
      </c>
      <c r="K42" t="s">
        <v>967</v>
      </c>
      <c r="L42" t="s">
        <v>927</v>
      </c>
    </row>
    <row r="43" spans="1:12" x14ac:dyDescent="0.35">
      <c r="A43">
        <v>0.101539889707692</v>
      </c>
      <c r="B43">
        <v>0.163874229132176</v>
      </c>
      <c r="C43">
        <v>0.11299973225785501</v>
      </c>
      <c r="D43">
        <v>0.119816075191493</v>
      </c>
      <c r="E43" t="s">
        <v>1479</v>
      </c>
      <c r="F43" t="s">
        <v>1438</v>
      </c>
      <c r="G43">
        <v>28.02</v>
      </c>
      <c r="H43">
        <v>2.7126099706744799E-2</v>
      </c>
      <c r="I43">
        <v>37.784999999999997</v>
      </c>
      <c r="J43">
        <v>2.8695107674715899E-2</v>
      </c>
      <c r="K43" t="s">
        <v>968</v>
      </c>
      <c r="L43" t="s">
        <v>927</v>
      </c>
    </row>
    <row r="44" spans="1:12" x14ac:dyDescent="0.35">
      <c r="A44">
        <v>9.6919062654431398E-2</v>
      </c>
      <c r="B44">
        <v>4.1150587007602997E-2</v>
      </c>
      <c r="C44">
        <v>0.115930396885483</v>
      </c>
      <c r="D44">
        <v>0.138106666956619</v>
      </c>
      <c r="E44" t="s">
        <v>1480</v>
      </c>
      <c r="F44" t="s">
        <v>1438</v>
      </c>
      <c r="G44">
        <v>28.798999999999999</v>
      </c>
      <c r="H44">
        <v>2.7801570306923699E-2</v>
      </c>
      <c r="I44">
        <v>39.027000000000001</v>
      </c>
      <c r="J44">
        <v>3.2870186581977198E-2</v>
      </c>
      <c r="K44" t="s">
        <v>969</v>
      </c>
      <c r="L44" t="s">
        <v>927</v>
      </c>
    </row>
    <row r="45" spans="1:12" x14ac:dyDescent="0.35">
      <c r="A45">
        <v>0.102667735598145</v>
      </c>
      <c r="B45">
        <v>0.12591483160208999</v>
      </c>
      <c r="C45">
        <v>0.11071312036879399</v>
      </c>
      <c r="D45">
        <v>0.12373918134004901</v>
      </c>
      <c r="E45" t="s">
        <v>1481</v>
      </c>
      <c r="F45" t="s">
        <v>1438</v>
      </c>
      <c r="G45">
        <v>29.565000000000001</v>
      </c>
      <c r="H45">
        <v>2.65981457689504E-2</v>
      </c>
      <c r="I45">
        <v>40.182000000000002</v>
      </c>
      <c r="J45">
        <v>2.9594895841340601E-2</v>
      </c>
      <c r="K45" t="s">
        <v>970</v>
      </c>
      <c r="L45" t="s">
        <v>927</v>
      </c>
    </row>
    <row r="46" spans="1:12" x14ac:dyDescent="0.35">
      <c r="A46">
        <v>0.107873886984393</v>
      </c>
      <c r="B46">
        <v>8.2350511297398302E-2</v>
      </c>
      <c r="C46">
        <v>0.14097064786198199</v>
      </c>
      <c r="D46">
        <v>0.118188584098933</v>
      </c>
      <c r="E46" t="s">
        <v>1482</v>
      </c>
      <c r="F46" t="s">
        <v>1438</v>
      </c>
      <c r="G46">
        <v>30.556000000000001</v>
      </c>
      <c r="H46">
        <v>3.3519364112971399E-2</v>
      </c>
      <c r="I46">
        <v>41.32</v>
      </c>
      <c r="J46">
        <v>2.8321138818376401E-2</v>
      </c>
      <c r="K46" t="s">
        <v>971</v>
      </c>
      <c r="L46" t="s">
        <v>927</v>
      </c>
    </row>
    <row r="47" spans="1:12" x14ac:dyDescent="0.35">
      <c r="A47">
        <v>6.8864078536554199E-2</v>
      </c>
      <c r="B47">
        <v>9.6264819656522296E-2</v>
      </c>
      <c r="C47">
        <v>8.6310442735713797E-2</v>
      </c>
      <c r="D47">
        <v>9.9129163647753094E-2</v>
      </c>
      <c r="E47" t="s">
        <v>1483</v>
      </c>
      <c r="F47" t="s">
        <v>1438</v>
      </c>
      <c r="G47">
        <v>31.195</v>
      </c>
      <c r="H47">
        <v>2.0912423092027701E-2</v>
      </c>
      <c r="I47">
        <v>42.308</v>
      </c>
      <c r="J47">
        <v>2.39109390125847E-2</v>
      </c>
      <c r="K47" t="s">
        <v>972</v>
      </c>
      <c r="L47" t="s">
        <v>927</v>
      </c>
    </row>
    <row r="48" spans="1:12" x14ac:dyDescent="0.35">
      <c r="A48">
        <v>6.7510216956085903E-2</v>
      </c>
      <c r="B48">
        <v>9.0754628296435505E-2</v>
      </c>
      <c r="C48">
        <v>4.8692861535788202E-2</v>
      </c>
      <c r="D48">
        <v>8.4524586959714404E-2</v>
      </c>
      <c r="E48" t="s">
        <v>1484</v>
      </c>
      <c r="F48" t="s">
        <v>1438</v>
      </c>
      <c r="G48">
        <v>31.568000000000001</v>
      </c>
      <c r="H48">
        <v>1.1957044398140699E-2</v>
      </c>
      <c r="I48">
        <v>43.174999999999997</v>
      </c>
      <c r="J48">
        <v>2.0492578235794499E-2</v>
      </c>
      <c r="K48" t="s">
        <v>973</v>
      </c>
      <c r="L48" t="s">
        <v>927</v>
      </c>
    </row>
    <row r="49" spans="1:12" x14ac:dyDescent="0.35">
      <c r="A49">
        <v>6.2684205945477106E-2</v>
      </c>
      <c r="B49">
        <v>7.8781408158281802E-2</v>
      </c>
      <c r="C49">
        <v>6.2752816594642893E-2</v>
      </c>
      <c r="D49">
        <v>7.3171075998094998E-2</v>
      </c>
      <c r="E49" t="s">
        <v>1485</v>
      </c>
      <c r="F49" t="s">
        <v>1438</v>
      </c>
      <c r="G49">
        <v>32.052</v>
      </c>
      <c r="H49">
        <v>1.53319817536746E-2</v>
      </c>
      <c r="I49">
        <v>43.944000000000003</v>
      </c>
      <c r="J49">
        <v>1.7811233352634799E-2</v>
      </c>
      <c r="K49" t="s">
        <v>974</v>
      </c>
      <c r="L49" t="s">
        <v>927</v>
      </c>
    </row>
    <row r="50" spans="1:12" x14ac:dyDescent="0.35">
      <c r="A50">
        <v>5.1825632418063497E-2</v>
      </c>
      <c r="B50">
        <v>6.5520529029189395E-2</v>
      </c>
      <c r="C50">
        <v>7.2002334651775995E-2</v>
      </c>
      <c r="D50">
        <v>5.7261419360111997E-2</v>
      </c>
      <c r="E50" t="s">
        <v>1486</v>
      </c>
      <c r="F50" t="s">
        <v>1438</v>
      </c>
      <c r="G50">
        <v>32.613999999999997</v>
      </c>
      <c r="H50">
        <v>1.7534007238237701E-2</v>
      </c>
      <c r="I50">
        <v>44.56</v>
      </c>
      <c r="J50">
        <v>1.40178408884035E-2</v>
      </c>
      <c r="K50" t="s">
        <v>975</v>
      </c>
      <c r="L50" t="s">
        <v>927</v>
      </c>
    </row>
    <row r="51" spans="1:12" x14ac:dyDescent="0.35">
      <c r="A51">
        <v>3.9076838958162399E-2</v>
      </c>
      <c r="B51">
        <v>8.1541548822787496E-2</v>
      </c>
      <c r="C51">
        <v>6.5317850608274997E-2</v>
      </c>
      <c r="D51">
        <v>6.8572049720328196E-2</v>
      </c>
      <c r="E51" t="s">
        <v>1487</v>
      </c>
      <c r="F51" t="s">
        <v>1438</v>
      </c>
      <c r="G51">
        <v>33.134</v>
      </c>
      <c r="H51">
        <v>1.5944073097442901E-2</v>
      </c>
      <c r="I51">
        <v>45.305</v>
      </c>
      <c r="J51">
        <v>1.6719030520646199E-2</v>
      </c>
      <c r="K51" t="s">
        <v>976</v>
      </c>
      <c r="L51" t="s">
        <v>927</v>
      </c>
    </row>
    <row r="52" spans="1:12" x14ac:dyDescent="0.35">
      <c r="A52">
        <v>6.4698202701339205E-2</v>
      </c>
      <c r="B52">
        <v>3.4072636599968002E-2</v>
      </c>
      <c r="C52">
        <v>6.8068638365729198E-2</v>
      </c>
      <c r="D52">
        <v>4.8078704643683703E-2</v>
      </c>
      <c r="E52" t="s">
        <v>1488</v>
      </c>
      <c r="F52" t="s">
        <v>1438</v>
      </c>
      <c r="G52">
        <v>33.683999999999997</v>
      </c>
      <c r="H52">
        <v>1.65992635963059E-2</v>
      </c>
      <c r="I52">
        <v>45.84</v>
      </c>
      <c r="J52">
        <v>1.1808851120185501E-2</v>
      </c>
      <c r="K52" t="s">
        <v>977</v>
      </c>
      <c r="L52" t="s">
        <v>927</v>
      </c>
    </row>
    <row r="53" spans="1:12" x14ac:dyDescent="0.35">
      <c r="A53">
        <v>4.4829664945906803E-2</v>
      </c>
      <c r="B53">
        <v>4.8009313734526098E-2</v>
      </c>
      <c r="C53">
        <v>6.1455443169872802E-2</v>
      </c>
      <c r="D53">
        <v>1.01606507354322E-2</v>
      </c>
      <c r="E53" t="s">
        <v>1489</v>
      </c>
      <c r="F53" t="s">
        <v>1438</v>
      </c>
      <c r="G53">
        <v>34.19</v>
      </c>
      <c r="H53">
        <v>1.5021968887305399E-2</v>
      </c>
      <c r="I53">
        <v>45.956000000000003</v>
      </c>
      <c r="J53">
        <v>2.5305410122164998E-3</v>
      </c>
      <c r="K53" t="s">
        <v>978</v>
      </c>
      <c r="L53" t="s">
        <v>927</v>
      </c>
    </row>
    <row r="54" spans="1:12" x14ac:dyDescent="0.35">
      <c r="A54">
        <v>3.3496613159939903E-2</v>
      </c>
      <c r="B54">
        <v>7.5539459294806698E-3</v>
      </c>
      <c r="C54">
        <v>3.4722196261408399E-2</v>
      </c>
      <c r="D54">
        <v>3.7479666516224701E-3</v>
      </c>
      <c r="E54" t="s">
        <v>1490</v>
      </c>
      <c r="F54" t="s">
        <v>1438</v>
      </c>
      <c r="G54">
        <v>34.482999999999997</v>
      </c>
      <c r="H54">
        <v>8.5697572389587008E-3</v>
      </c>
      <c r="I54">
        <v>45.999000000000002</v>
      </c>
      <c r="J54">
        <v>9.3567760466539696E-4</v>
      </c>
      <c r="K54" t="s">
        <v>979</v>
      </c>
      <c r="L54" t="s">
        <v>927</v>
      </c>
    </row>
    <row r="55" spans="1:12" x14ac:dyDescent="0.35">
      <c r="A55">
        <v>3.7100673423204902E-2</v>
      </c>
      <c r="B55">
        <v>3.1269437697415199E-2</v>
      </c>
      <c r="C55">
        <v>5.5765239502398901E-2</v>
      </c>
      <c r="D55">
        <v>-5.3805310591299397E-3</v>
      </c>
      <c r="E55" t="s">
        <v>1491</v>
      </c>
      <c r="F55" t="s">
        <v>1438</v>
      </c>
      <c r="G55">
        <v>34.954000000000001</v>
      </c>
      <c r="H55">
        <v>1.36589043876694E-2</v>
      </c>
      <c r="I55">
        <v>45.936999999999998</v>
      </c>
      <c r="J55">
        <v>-1.3478553881607299E-3</v>
      </c>
      <c r="K55" t="s">
        <v>980</v>
      </c>
      <c r="L55" t="s">
        <v>927</v>
      </c>
    </row>
    <row r="56" spans="1:12" x14ac:dyDescent="0.35">
      <c r="A56">
        <v>5.3607020035561601E-2</v>
      </c>
      <c r="B56">
        <v>4.5007889346835098E-2</v>
      </c>
      <c r="C56">
        <v>4.7632291898301399E-2</v>
      </c>
      <c r="D56">
        <v>2.2658930308778699E-3</v>
      </c>
      <c r="E56" t="s">
        <v>1492</v>
      </c>
      <c r="F56" t="s">
        <v>1438</v>
      </c>
      <c r="G56">
        <v>35.363</v>
      </c>
      <c r="H56">
        <v>1.17010928649082E-2</v>
      </c>
      <c r="I56">
        <v>45.963000000000001</v>
      </c>
      <c r="J56">
        <v>5.6599255502098899E-4</v>
      </c>
      <c r="K56" t="s">
        <v>981</v>
      </c>
      <c r="L56" t="s">
        <v>927</v>
      </c>
    </row>
    <row r="57" spans="1:12" x14ac:dyDescent="0.35">
      <c r="A57">
        <v>2.6644627827705498E-2</v>
      </c>
      <c r="B57">
        <v>2.64126969592136E-2</v>
      </c>
      <c r="C57">
        <v>3.7969215238040602E-2</v>
      </c>
      <c r="D57">
        <v>-1.13086488994096E-3</v>
      </c>
      <c r="E57" t="s">
        <v>1493</v>
      </c>
      <c r="F57" t="s">
        <v>1438</v>
      </c>
      <c r="G57">
        <v>35.694000000000003</v>
      </c>
      <c r="H57">
        <v>9.3600656052936805E-3</v>
      </c>
      <c r="I57">
        <v>45.95</v>
      </c>
      <c r="J57">
        <v>-2.82836194330227E-4</v>
      </c>
      <c r="K57" t="s">
        <v>982</v>
      </c>
      <c r="L57" t="s">
        <v>927</v>
      </c>
    </row>
    <row r="58" spans="1:12" x14ac:dyDescent="0.35">
      <c r="A58">
        <v>4.3935723897537297E-2</v>
      </c>
      <c r="B58">
        <v>5.28225710519643E-2</v>
      </c>
      <c r="C58">
        <v>7.2018998740306803E-2</v>
      </c>
      <c r="D58">
        <v>4.3596665649268101E-3</v>
      </c>
      <c r="E58" t="s">
        <v>1494</v>
      </c>
      <c r="F58" t="s">
        <v>1438</v>
      </c>
      <c r="G58">
        <v>36.32</v>
      </c>
      <c r="H58">
        <v>1.7537961562167099E-2</v>
      </c>
      <c r="I58">
        <v>46</v>
      </c>
      <c r="J58">
        <v>1.0881392818280499E-3</v>
      </c>
      <c r="K58" t="s">
        <v>983</v>
      </c>
      <c r="L58" t="s">
        <v>927</v>
      </c>
    </row>
    <row r="59" spans="1:12" x14ac:dyDescent="0.35">
      <c r="A59">
        <v>3.93022623248813E-2</v>
      </c>
      <c r="B59">
        <v>4.0487191821635002E-2</v>
      </c>
      <c r="C59">
        <v>4.4330796852368702E-2</v>
      </c>
      <c r="D59">
        <v>1.4249428601276599E-2</v>
      </c>
      <c r="E59" t="s">
        <v>1495</v>
      </c>
      <c r="F59" t="s">
        <v>1438</v>
      </c>
      <c r="G59">
        <v>36.716000000000001</v>
      </c>
      <c r="H59">
        <v>1.09030837004405E-2</v>
      </c>
      <c r="I59">
        <v>46.162999999999997</v>
      </c>
      <c r="J59">
        <v>3.5434782608694299E-3</v>
      </c>
      <c r="K59" t="s">
        <v>984</v>
      </c>
      <c r="L59" t="s">
        <v>927</v>
      </c>
    </row>
    <row r="60" spans="1:12" x14ac:dyDescent="0.35">
      <c r="A60">
        <v>3.1206818640470101E-2</v>
      </c>
      <c r="B60">
        <v>6.08178890509075E-2</v>
      </c>
      <c r="C60">
        <v>4.3619950255883798E-2</v>
      </c>
      <c r="D60">
        <v>1.29734153291148E-2</v>
      </c>
      <c r="E60" t="s">
        <v>1496</v>
      </c>
      <c r="F60" t="s">
        <v>1438</v>
      </c>
      <c r="G60">
        <v>37.11</v>
      </c>
      <c r="H60">
        <v>1.07310164505936E-2</v>
      </c>
      <c r="I60">
        <v>46.311999999999998</v>
      </c>
      <c r="J60">
        <v>3.22769317418703E-3</v>
      </c>
      <c r="K60" t="s">
        <v>985</v>
      </c>
      <c r="L60" t="s">
        <v>927</v>
      </c>
    </row>
    <row r="61" spans="1:12" x14ac:dyDescent="0.35">
      <c r="A61">
        <v>2.4937045869749999E-2</v>
      </c>
      <c r="B61">
        <v>5.0188195911601098E-2</v>
      </c>
      <c r="C61">
        <v>4.8053419713626901E-2</v>
      </c>
      <c r="D61">
        <v>8.1435979249952998E-3</v>
      </c>
      <c r="E61" t="s">
        <v>1497</v>
      </c>
      <c r="F61" t="s">
        <v>1438</v>
      </c>
      <c r="G61">
        <v>37.548000000000002</v>
      </c>
      <c r="H61">
        <v>1.1802748585286999E-2</v>
      </c>
      <c r="I61">
        <v>46.405999999999999</v>
      </c>
      <c r="J61">
        <v>2.0297115218517198E-3</v>
      </c>
      <c r="K61" t="s">
        <v>986</v>
      </c>
      <c r="L61" t="s">
        <v>927</v>
      </c>
    </row>
    <row r="62" spans="1:12" x14ac:dyDescent="0.35">
      <c r="A62">
        <v>4.8021891562025902E-2</v>
      </c>
      <c r="B62">
        <v>-1.5869949670850401E-2</v>
      </c>
      <c r="C62">
        <v>5.3895269710959599E-2</v>
      </c>
      <c r="D62">
        <v>2.2424648618448499E-2</v>
      </c>
      <c r="E62" t="s">
        <v>1498</v>
      </c>
      <c r="F62" t="s">
        <v>1438</v>
      </c>
      <c r="G62">
        <v>38.043999999999997</v>
      </c>
      <c r="H62">
        <v>1.3209758176201E-2</v>
      </c>
      <c r="I62">
        <v>46.664000000000001</v>
      </c>
      <c r="J62">
        <v>5.5596259104426799E-3</v>
      </c>
      <c r="K62" t="s">
        <v>987</v>
      </c>
      <c r="L62" t="s">
        <v>927</v>
      </c>
    </row>
    <row r="63" spans="1:12" x14ac:dyDescent="0.35">
      <c r="A63">
        <v>3.2831975950411901E-2</v>
      </c>
      <c r="B63">
        <v>9.4485381047573203E-3</v>
      </c>
      <c r="C63">
        <v>4.6526948089148097E-2</v>
      </c>
      <c r="D63">
        <v>1.2400816449865701E-2</v>
      </c>
      <c r="E63" t="s">
        <v>1499</v>
      </c>
      <c r="F63" t="s">
        <v>1438</v>
      </c>
      <c r="G63">
        <v>38.478999999999999</v>
      </c>
      <c r="H63">
        <v>1.1434128903375E-2</v>
      </c>
      <c r="I63">
        <v>46.808</v>
      </c>
      <c r="J63">
        <v>3.0858906223212301E-3</v>
      </c>
      <c r="K63" t="s">
        <v>988</v>
      </c>
      <c r="L63" t="s">
        <v>927</v>
      </c>
    </row>
    <row r="64" spans="1:12" x14ac:dyDescent="0.35">
      <c r="A64">
        <v>3.1711964087017402E-2</v>
      </c>
      <c r="B64">
        <v>2.1519541922931699E-2</v>
      </c>
      <c r="C64">
        <v>3.7630817464174598E-2</v>
      </c>
      <c r="D64">
        <v>1.6508679737656601E-2</v>
      </c>
      <c r="E64" t="s">
        <v>1500</v>
      </c>
      <c r="F64" t="s">
        <v>1438</v>
      </c>
      <c r="G64">
        <v>38.835999999999999</v>
      </c>
      <c r="H64">
        <v>9.2777878843004497E-3</v>
      </c>
      <c r="I64">
        <v>47</v>
      </c>
      <c r="J64">
        <v>4.1018629294138397E-3</v>
      </c>
      <c r="K64" t="s">
        <v>989</v>
      </c>
      <c r="L64" t="s">
        <v>927</v>
      </c>
    </row>
    <row r="65" spans="1:12" x14ac:dyDescent="0.35">
      <c r="A65">
        <v>2.8237310351865798E-2</v>
      </c>
      <c r="B65">
        <v>2.6513418939119401E-2</v>
      </c>
      <c r="C65">
        <v>4.0884190168569902E-2</v>
      </c>
      <c r="D65">
        <v>2.40435812756121E-2</v>
      </c>
      <c r="E65" t="s">
        <v>1501</v>
      </c>
      <c r="F65" t="s">
        <v>1438</v>
      </c>
      <c r="G65">
        <v>39.226999999999997</v>
      </c>
      <c r="H65">
        <v>1.0067978164589601E-2</v>
      </c>
      <c r="I65">
        <v>47.28</v>
      </c>
      <c r="J65">
        <v>5.9574468085106204E-3</v>
      </c>
      <c r="K65" t="s">
        <v>990</v>
      </c>
      <c r="L65" t="s">
        <v>927</v>
      </c>
    </row>
    <row r="66" spans="1:12" x14ac:dyDescent="0.35">
      <c r="A66">
        <v>2.86487834236928E-2</v>
      </c>
      <c r="B66">
        <v>-1.00878062845416E-2</v>
      </c>
      <c r="C66">
        <v>1.47648166353573E-2</v>
      </c>
      <c r="D66">
        <v>2.5106061305751201E-2</v>
      </c>
      <c r="E66" t="s">
        <v>1502</v>
      </c>
      <c r="F66" t="s">
        <v>1438</v>
      </c>
      <c r="G66">
        <v>39.371000000000002</v>
      </c>
      <c r="H66">
        <v>3.6709409335409201E-3</v>
      </c>
      <c r="I66">
        <v>47.573999999999998</v>
      </c>
      <c r="J66">
        <v>6.2182741116749698E-3</v>
      </c>
      <c r="K66" t="s">
        <v>991</v>
      </c>
      <c r="L66" t="s">
        <v>927</v>
      </c>
    </row>
    <row r="67" spans="1:12" x14ac:dyDescent="0.35">
      <c r="A67">
        <v>-4.2153079272678803E-3</v>
      </c>
      <c r="B67">
        <v>-9.8843189037382002E-3</v>
      </c>
      <c r="C67">
        <v>1.2042523964300099E-2</v>
      </c>
      <c r="D67">
        <v>4.1753162692227598E-2</v>
      </c>
      <c r="E67" t="s">
        <v>1503</v>
      </c>
      <c r="F67" t="s">
        <v>1438</v>
      </c>
      <c r="G67">
        <v>39.488999999999997</v>
      </c>
      <c r="H67">
        <v>2.9971298671609401E-3</v>
      </c>
      <c r="I67">
        <v>48.063000000000002</v>
      </c>
      <c r="J67">
        <v>1.02787236725943E-2</v>
      </c>
      <c r="K67" t="s">
        <v>992</v>
      </c>
      <c r="L67" t="s">
        <v>927</v>
      </c>
    </row>
    <row r="68" spans="1:12" x14ac:dyDescent="0.35">
      <c r="A68">
        <v>2.1224970793817698E-2</v>
      </c>
      <c r="B68">
        <v>5.6401548408471199E-3</v>
      </c>
      <c r="C68">
        <v>3.4679470629119601E-2</v>
      </c>
      <c r="D68">
        <v>3.6953475595025202E-2</v>
      </c>
      <c r="E68" t="s">
        <v>1504</v>
      </c>
      <c r="F68" t="s">
        <v>1438</v>
      </c>
      <c r="G68">
        <v>39.826999999999998</v>
      </c>
      <c r="H68">
        <v>8.5593456405581598E-3</v>
      </c>
      <c r="I68">
        <v>48.500999999999998</v>
      </c>
      <c r="J68">
        <v>9.1130391361338194E-3</v>
      </c>
      <c r="K68" t="s">
        <v>993</v>
      </c>
      <c r="L68" t="s">
        <v>927</v>
      </c>
    </row>
    <row r="69" spans="1:12" x14ac:dyDescent="0.35">
      <c r="A69">
        <v>2.4413629868112598E-2</v>
      </c>
      <c r="B69">
        <v>4.55022354216461E-3</v>
      </c>
      <c r="C69">
        <v>5.3779833992726497E-2</v>
      </c>
      <c r="D69">
        <v>4.4006184582173501E-2</v>
      </c>
      <c r="E69" t="s">
        <v>1505</v>
      </c>
      <c r="F69" t="s">
        <v>1438</v>
      </c>
      <c r="G69">
        <v>40.351999999999997</v>
      </c>
      <c r="H69">
        <v>1.3182012202777E-2</v>
      </c>
      <c r="I69">
        <v>49.026000000000003</v>
      </c>
      <c r="J69">
        <v>1.08245190820808E-2</v>
      </c>
      <c r="K69" t="s">
        <v>994</v>
      </c>
      <c r="L69" t="s">
        <v>927</v>
      </c>
    </row>
    <row r="70" spans="1:12" x14ac:dyDescent="0.35">
      <c r="A70">
        <v>3.8220568833408297E-2</v>
      </c>
      <c r="B70">
        <v>-6.8268953681047701E-3</v>
      </c>
      <c r="C70">
        <v>6.6318650583382599E-2</v>
      </c>
      <c r="D70">
        <v>2.5866237951436302E-2</v>
      </c>
      <c r="E70" t="s">
        <v>1506</v>
      </c>
      <c r="F70" t="s">
        <v>1438</v>
      </c>
      <c r="G70">
        <v>41.005000000000003</v>
      </c>
      <c r="H70">
        <v>1.61825931800159E-2</v>
      </c>
      <c r="I70">
        <v>49.34</v>
      </c>
      <c r="J70">
        <v>6.4047648186675897E-3</v>
      </c>
      <c r="K70" t="s">
        <v>995</v>
      </c>
      <c r="L70" t="s">
        <v>927</v>
      </c>
    </row>
    <row r="71" spans="1:12" x14ac:dyDescent="0.35">
      <c r="A71">
        <v>3.9129087464599803E-2</v>
      </c>
      <c r="B71">
        <v>1.9164012541417402E-2</v>
      </c>
      <c r="C71">
        <v>5.3726223643289599E-2</v>
      </c>
      <c r="D71">
        <v>3.4070959420577702E-2</v>
      </c>
      <c r="E71" t="s">
        <v>1507</v>
      </c>
      <c r="F71" t="s">
        <v>1438</v>
      </c>
      <c r="G71">
        <v>41.545000000000002</v>
      </c>
      <c r="H71">
        <v>1.3169125716376E-2</v>
      </c>
      <c r="I71">
        <v>49.755000000000003</v>
      </c>
      <c r="J71">
        <v>8.4110255370895004E-3</v>
      </c>
      <c r="K71" t="s">
        <v>996</v>
      </c>
      <c r="L71" t="s">
        <v>927</v>
      </c>
    </row>
    <row r="72" spans="1:12" x14ac:dyDescent="0.35">
      <c r="A72">
        <v>3.8454021368670203E-2</v>
      </c>
      <c r="B72">
        <v>2.9219770282175001E-2</v>
      </c>
      <c r="C72">
        <v>5.1713813262120399E-2</v>
      </c>
      <c r="D72">
        <v>3.6092988240003197E-2</v>
      </c>
      <c r="E72" t="s">
        <v>1508</v>
      </c>
      <c r="F72" t="s">
        <v>1438</v>
      </c>
      <c r="G72">
        <v>42.072000000000003</v>
      </c>
      <c r="H72">
        <v>1.2685040317727899E-2</v>
      </c>
      <c r="I72">
        <v>50.198</v>
      </c>
      <c r="J72">
        <v>8.9036277761027592E-3</v>
      </c>
      <c r="K72" t="s">
        <v>997</v>
      </c>
      <c r="L72" t="s">
        <v>927</v>
      </c>
    </row>
    <row r="73" spans="1:12" x14ac:dyDescent="0.35">
      <c r="A73">
        <v>3.5013174112648898E-2</v>
      </c>
      <c r="B73">
        <v>8.3996255435596599E-3</v>
      </c>
      <c r="C73">
        <v>2.4659104438458999E-2</v>
      </c>
      <c r="D73">
        <v>2.13651369698558E-2</v>
      </c>
      <c r="E73" t="s">
        <v>1509</v>
      </c>
      <c r="F73" t="s">
        <v>1438</v>
      </c>
      <c r="G73">
        <v>42.329000000000001</v>
      </c>
      <c r="H73">
        <v>6.1085757748620103E-3</v>
      </c>
      <c r="I73">
        <v>50.463999999999999</v>
      </c>
      <c r="J73">
        <v>5.29901589704762E-3</v>
      </c>
      <c r="K73" t="s">
        <v>998</v>
      </c>
      <c r="L73" t="s">
        <v>927</v>
      </c>
    </row>
    <row r="74" spans="1:12" x14ac:dyDescent="0.35">
      <c r="A74">
        <v>3.19577361885768E-2</v>
      </c>
      <c r="B74">
        <v>5.5666299963321703E-2</v>
      </c>
      <c r="C74">
        <v>1.7884305064996799E-2</v>
      </c>
      <c r="D74">
        <v>3.2571809116936898E-2</v>
      </c>
      <c r="E74" t="s">
        <v>1510</v>
      </c>
      <c r="F74" t="s">
        <v>1438</v>
      </c>
      <c r="G74">
        <v>42.517000000000003</v>
      </c>
      <c r="H74">
        <v>4.4413995133361101E-3</v>
      </c>
      <c r="I74">
        <v>50.87</v>
      </c>
      <c r="J74">
        <v>8.0453392517438899E-3</v>
      </c>
      <c r="K74" t="s">
        <v>999</v>
      </c>
      <c r="L74" t="s">
        <v>927</v>
      </c>
    </row>
    <row r="75" spans="1:12" x14ac:dyDescent="0.35">
      <c r="A75">
        <v>4.4899260052234199E-2</v>
      </c>
      <c r="B75">
        <v>3.99278081765242E-2</v>
      </c>
      <c r="C75">
        <v>4.3789897152202203E-2</v>
      </c>
      <c r="D75">
        <v>2.2279292577718199E-2</v>
      </c>
      <c r="E75" t="s">
        <v>1511</v>
      </c>
      <c r="F75" t="s">
        <v>1438</v>
      </c>
      <c r="G75">
        <v>42.975000000000001</v>
      </c>
      <c r="H75">
        <v>1.0772161723545901E-2</v>
      </c>
      <c r="I75">
        <v>51.151000000000003</v>
      </c>
      <c r="J75">
        <v>5.5238844112444098E-3</v>
      </c>
      <c r="K75" t="s">
        <v>1000</v>
      </c>
      <c r="L75" t="s">
        <v>927</v>
      </c>
    </row>
    <row r="76" spans="1:12" x14ac:dyDescent="0.35">
      <c r="A76">
        <v>5.0215068802573502E-2</v>
      </c>
      <c r="B76">
        <v>2.3053377277420399E-2</v>
      </c>
      <c r="C76">
        <v>3.6032445200426998E-2</v>
      </c>
      <c r="D76">
        <v>2.6056753006691701E-2</v>
      </c>
      <c r="E76" t="s">
        <v>1512</v>
      </c>
      <c r="F76" t="s">
        <v>1438</v>
      </c>
      <c r="G76">
        <v>43.356999999999999</v>
      </c>
      <c r="H76">
        <v>8.8888888888889496E-3</v>
      </c>
      <c r="I76">
        <v>51.481000000000002</v>
      </c>
      <c r="J76">
        <v>6.45148677445206E-3</v>
      </c>
      <c r="K76" t="s">
        <v>1001</v>
      </c>
      <c r="L76" t="s">
        <v>927</v>
      </c>
    </row>
    <row r="77" spans="1:12" x14ac:dyDescent="0.35">
      <c r="A77">
        <v>4.1025346631292002E-2</v>
      </c>
      <c r="B77">
        <v>3.2561998713341901E-2</v>
      </c>
      <c r="C77">
        <v>5.2865449677459202E-2</v>
      </c>
      <c r="D77">
        <v>2.13020937510979E-2</v>
      </c>
      <c r="E77" t="s">
        <v>1513</v>
      </c>
      <c r="F77" t="s">
        <v>1438</v>
      </c>
      <c r="G77">
        <v>43.918999999999997</v>
      </c>
      <c r="H77">
        <v>1.29621514403671E-2</v>
      </c>
      <c r="I77">
        <v>51.753</v>
      </c>
      <c r="J77">
        <v>5.2835026514637101E-3</v>
      </c>
      <c r="K77" t="s">
        <v>1002</v>
      </c>
      <c r="L77" t="s">
        <v>927</v>
      </c>
    </row>
    <row r="78" spans="1:12" x14ac:dyDescent="0.35">
      <c r="A78">
        <v>4.6770164599538401E-2</v>
      </c>
      <c r="B78">
        <v>3.00519488200592E-2</v>
      </c>
      <c r="C78">
        <v>6.2050852369377699E-2</v>
      </c>
      <c r="D78">
        <v>1.9463013158635498E-2</v>
      </c>
      <c r="E78" t="s">
        <v>1514</v>
      </c>
      <c r="F78" t="s">
        <v>1438</v>
      </c>
      <c r="G78">
        <v>44.585000000000001</v>
      </c>
      <c r="H78">
        <v>1.5164279696714401E-2</v>
      </c>
      <c r="I78">
        <v>52.003</v>
      </c>
      <c r="J78">
        <v>4.8306378374200999E-3</v>
      </c>
      <c r="K78" t="s">
        <v>1003</v>
      </c>
      <c r="L78" t="s">
        <v>927</v>
      </c>
    </row>
    <row r="79" spans="1:12" x14ac:dyDescent="0.35">
      <c r="A79">
        <v>5.4994617531312101E-2</v>
      </c>
      <c r="B79">
        <v>2.9679316947533299E-2</v>
      </c>
      <c r="C79">
        <v>6.0821876360983101E-2</v>
      </c>
      <c r="D79">
        <v>3.2856918868300999E-2</v>
      </c>
      <c r="E79" t="s">
        <v>1515</v>
      </c>
      <c r="F79" t="s">
        <v>1438</v>
      </c>
      <c r="G79">
        <v>45.247999999999998</v>
      </c>
      <c r="H79">
        <v>1.48704721318829E-2</v>
      </c>
      <c r="I79">
        <v>52.424999999999997</v>
      </c>
      <c r="J79">
        <v>8.1149164471279196E-3</v>
      </c>
      <c r="K79" t="s">
        <v>1004</v>
      </c>
      <c r="L79" t="s">
        <v>927</v>
      </c>
    </row>
    <row r="80" spans="1:12" x14ac:dyDescent="0.35">
      <c r="A80">
        <v>2.3822978628153201E-2</v>
      </c>
      <c r="B80">
        <v>2.0057150963272801E-2</v>
      </c>
      <c r="C80">
        <v>3.9922896172757301E-2</v>
      </c>
      <c r="D80">
        <v>3.0012482573731999E-2</v>
      </c>
      <c r="E80" t="s">
        <v>1516</v>
      </c>
      <c r="F80" t="s">
        <v>1438</v>
      </c>
      <c r="G80">
        <v>45.692999999999998</v>
      </c>
      <c r="H80">
        <v>9.8346888260254506E-3</v>
      </c>
      <c r="I80">
        <v>52.814</v>
      </c>
      <c r="J80">
        <v>7.4201239866476002E-3</v>
      </c>
      <c r="K80" t="s">
        <v>1005</v>
      </c>
      <c r="L80" t="s">
        <v>927</v>
      </c>
    </row>
    <row r="81" spans="1:12" x14ac:dyDescent="0.35">
      <c r="A81">
        <v>3.1803231650019199E-2</v>
      </c>
      <c r="B81">
        <v>1.4432124176051201E-2</v>
      </c>
      <c r="C81">
        <v>6.0046453160524503E-2</v>
      </c>
      <c r="D81">
        <v>2.2222434897181301E-2</v>
      </c>
      <c r="E81" t="s">
        <v>1517</v>
      </c>
      <c r="F81" t="s">
        <v>1438</v>
      </c>
      <c r="G81">
        <v>46.363999999999997</v>
      </c>
      <c r="H81">
        <v>1.46849626857506E-2</v>
      </c>
      <c r="I81">
        <v>53.104999999999997</v>
      </c>
      <c r="J81">
        <v>5.5099026773204303E-3</v>
      </c>
      <c r="K81" t="s">
        <v>1006</v>
      </c>
      <c r="L81" t="s">
        <v>927</v>
      </c>
    </row>
    <row r="82" spans="1:12" x14ac:dyDescent="0.35">
      <c r="A82">
        <v>5.92740793130948E-2</v>
      </c>
      <c r="B82">
        <v>2.8330647899498702E-2</v>
      </c>
      <c r="C82">
        <v>6.4935137330784501E-2</v>
      </c>
      <c r="D82">
        <v>2.9085137772108E-2</v>
      </c>
      <c r="E82" t="s">
        <v>1518</v>
      </c>
      <c r="F82" t="s">
        <v>1438</v>
      </c>
      <c r="G82">
        <v>47.098999999999997</v>
      </c>
      <c r="H82">
        <v>1.5852816840652199E-2</v>
      </c>
      <c r="I82">
        <v>53.487000000000002</v>
      </c>
      <c r="J82">
        <v>7.1932962997835999E-3</v>
      </c>
      <c r="K82" t="s">
        <v>1007</v>
      </c>
      <c r="L82" t="s">
        <v>927</v>
      </c>
    </row>
    <row r="83" spans="1:12" x14ac:dyDescent="0.35">
      <c r="A83">
        <v>3.6833081072387398E-2</v>
      </c>
      <c r="B83">
        <v>7.0464261662823505E-2</v>
      </c>
      <c r="C83">
        <v>4.34077415784246E-2</v>
      </c>
      <c r="D83">
        <v>3.5768290293157798E-2</v>
      </c>
      <c r="E83" t="s">
        <v>1519</v>
      </c>
      <c r="F83" t="s">
        <v>1438</v>
      </c>
      <c r="G83">
        <v>47.601999999999997</v>
      </c>
      <c r="H83">
        <v>1.0679632263954599E-2</v>
      </c>
      <c r="I83">
        <v>53.959000000000003</v>
      </c>
      <c r="J83">
        <v>8.8245741955990092E-3</v>
      </c>
      <c r="K83" t="s">
        <v>1008</v>
      </c>
      <c r="L83" t="s">
        <v>927</v>
      </c>
    </row>
    <row r="84" spans="1:12" x14ac:dyDescent="0.35">
      <c r="A84">
        <v>5.1769155239957503E-2</v>
      </c>
      <c r="B84">
        <v>5.3870047588526803E-3</v>
      </c>
      <c r="C84">
        <v>5.9429132401131797E-2</v>
      </c>
      <c r="D84">
        <v>3.9413809912278698E-2</v>
      </c>
      <c r="E84" t="s">
        <v>1520</v>
      </c>
      <c r="F84" t="s">
        <v>1438</v>
      </c>
      <c r="G84">
        <v>48.293999999999997</v>
      </c>
      <c r="H84">
        <v>1.4537204319146299E-2</v>
      </c>
      <c r="I84">
        <v>54.482999999999997</v>
      </c>
      <c r="J84">
        <v>9.7110769287791499E-3</v>
      </c>
      <c r="K84" t="s">
        <v>1009</v>
      </c>
      <c r="L84" t="s">
        <v>927</v>
      </c>
    </row>
    <row r="85" spans="1:12" x14ac:dyDescent="0.35">
      <c r="A85">
        <v>5.3985249536158401E-2</v>
      </c>
      <c r="B85">
        <v>4.8480456964960797E-2</v>
      </c>
      <c r="C85">
        <v>7.7879333039596599E-2</v>
      </c>
      <c r="D85">
        <v>1.0688095589023601E-2</v>
      </c>
      <c r="E85" t="s">
        <v>1521</v>
      </c>
      <c r="F85" t="s">
        <v>1438</v>
      </c>
      <c r="G85">
        <v>49.207999999999998</v>
      </c>
      <c r="H85">
        <v>1.8925746469540702E-2</v>
      </c>
      <c r="I85">
        <v>54.628</v>
      </c>
      <c r="J85">
        <v>2.66138061413668E-3</v>
      </c>
      <c r="K85" t="s">
        <v>1010</v>
      </c>
      <c r="L85" t="s">
        <v>927</v>
      </c>
    </row>
    <row r="86" spans="1:12" x14ac:dyDescent="0.35">
      <c r="A86">
        <v>2.1158982786186002E-2</v>
      </c>
      <c r="B86">
        <v>3.6386290478485302E-2</v>
      </c>
      <c r="C86">
        <v>1.91574066493869E-2</v>
      </c>
      <c r="D86">
        <v>7.9315148019272197E-3</v>
      </c>
      <c r="E86" t="s">
        <v>1522</v>
      </c>
      <c r="F86" t="s">
        <v>1438</v>
      </c>
      <c r="G86">
        <v>49.442</v>
      </c>
      <c r="H86">
        <v>4.7553243375060301E-3</v>
      </c>
      <c r="I86">
        <v>54.735999999999997</v>
      </c>
      <c r="J86">
        <v>1.9770081276999601E-3</v>
      </c>
      <c r="K86" t="s">
        <v>1011</v>
      </c>
      <c r="L86" t="s">
        <v>927</v>
      </c>
    </row>
    <row r="87" spans="1:12" x14ac:dyDescent="0.35">
      <c r="A87">
        <v>2.2052154501282398E-2</v>
      </c>
      <c r="B87">
        <v>1.9883287825612099E-2</v>
      </c>
      <c r="C87">
        <v>2.5316754451185201E-2</v>
      </c>
      <c r="D87">
        <v>2.0767815828135701E-2</v>
      </c>
      <c r="E87" t="s">
        <v>1523</v>
      </c>
      <c r="F87" t="s">
        <v>1438</v>
      </c>
      <c r="G87">
        <v>49.752000000000002</v>
      </c>
      <c r="H87">
        <v>6.2699728975366097E-3</v>
      </c>
      <c r="I87">
        <v>55.018000000000001</v>
      </c>
      <c r="J87">
        <v>5.1520023384976597E-3</v>
      </c>
      <c r="K87" t="s">
        <v>1012</v>
      </c>
      <c r="L87" t="s">
        <v>927</v>
      </c>
    </row>
    <row r="88" spans="1:12" x14ac:dyDescent="0.35">
      <c r="A88">
        <v>2.7438615126695699E-2</v>
      </c>
      <c r="B88">
        <v>5.2374465161812503E-2</v>
      </c>
      <c r="C88">
        <v>3.8739820782161899E-2</v>
      </c>
      <c r="D88">
        <v>1.0657034721188501E-2</v>
      </c>
      <c r="E88" t="s">
        <v>1524</v>
      </c>
      <c r="F88" t="s">
        <v>1438</v>
      </c>
      <c r="G88">
        <v>50.226999999999997</v>
      </c>
      <c r="H88">
        <v>9.5473548802056402E-3</v>
      </c>
      <c r="I88">
        <v>55.164000000000001</v>
      </c>
      <c r="J88">
        <v>2.6536769784435399E-3</v>
      </c>
      <c r="K88" t="s">
        <v>1013</v>
      </c>
      <c r="L88" t="s">
        <v>927</v>
      </c>
    </row>
    <row r="89" spans="1:12" x14ac:dyDescent="0.35">
      <c r="A89">
        <v>2.9370792816648401E-2</v>
      </c>
      <c r="B89">
        <v>4.1076934031538899E-2</v>
      </c>
      <c r="C89">
        <v>4.6254885206873202E-2</v>
      </c>
      <c r="D89">
        <v>-9.9690396175571294E-3</v>
      </c>
      <c r="E89" t="s">
        <v>1525</v>
      </c>
      <c r="F89" t="s">
        <v>1438</v>
      </c>
      <c r="G89">
        <v>50.798000000000002</v>
      </c>
      <c r="H89">
        <v>1.13683875206563E-2</v>
      </c>
      <c r="I89">
        <v>55.026000000000003</v>
      </c>
      <c r="J89">
        <v>-2.5016314988035599E-3</v>
      </c>
      <c r="K89" t="s">
        <v>1014</v>
      </c>
      <c r="L89" t="s">
        <v>927</v>
      </c>
    </row>
    <row r="90" spans="1:12" x14ac:dyDescent="0.35">
      <c r="A90">
        <v>2.5261592124571599E-2</v>
      </c>
      <c r="B90">
        <v>5.8581566563336001E-3</v>
      </c>
      <c r="C90">
        <v>3.8335869645315497E-2</v>
      </c>
      <c r="D90">
        <v>-1.04267601108922E-2</v>
      </c>
      <c r="E90" t="s">
        <v>1526</v>
      </c>
      <c r="F90" t="s">
        <v>1438</v>
      </c>
      <c r="G90">
        <v>51.277999999999999</v>
      </c>
      <c r="H90">
        <v>9.4491909130280903E-3</v>
      </c>
      <c r="I90">
        <v>54.881999999999998</v>
      </c>
      <c r="J90">
        <v>-2.61694471704299E-3</v>
      </c>
      <c r="K90" t="s">
        <v>1015</v>
      </c>
      <c r="L90" t="s">
        <v>927</v>
      </c>
    </row>
    <row r="91" spans="1:12" x14ac:dyDescent="0.35">
      <c r="A91">
        <v>2.6883329197386899E-2</v>
      </c>
      <c r="B91">
        <v>1.4672046081608801E-2</v>
      </c>
      <c r="C91">
        <v>5.5488923116520997E-2</v>
      </c>
      <c r="D91">
        <v>1.90848323659343E-2</v>
      </c>
      <c r="E91" t="s">
        <v>1527</v>
      </c>
      <c r="F91" t="s">
        <v>1438</v>
      </c>
      <c r="G91">
        <v>51.975000000000001</v>
      </c>
      <c r="H91">
        <v>1.35925738133313E-2</v>
      </c>
      <c r="I91">
        <v>55.142000000000003</v>
      </c>
      <c r="J91">
        <v>4.7374366823367299E-3</v>
      </c>
      <c r="K91" t="s">
        <v>1016</v>
      </c>
      <c r="L91" t="s">
        <v>927</v>
      </c>
    </row>
    <row r="92" spans="1:12" x14ac:dyDescent="0.35">
      <c r="A92">
        <v>2.57889573012124E-2</v>
      </c>
      <c r="B92">
        <v>3.5352763805176303E-2</v>
      </c>
      <c r="C92">
        <v>3.4689577494526398E-2</v>
      </c>
      <c r="D92">
        <v>8.1492648352745594E-3</v>
      </c>
      <c r="E92" t="s">
        <v>1528</v>
      </c>
      <c r="F92" t="s">
        <v>1438</v>
      </c>
      <c r="G92">
        <v>52.42</v>
      </c>
      <c r="H92">
        <v>8.5618085618086592E-3</v>
      </c>
      <c r="I92">
        <v>55.253999999999998</v>
      </c>
      <c r="J92">
        <v>2.03111965470959E-3</v>
      </c>
      <c r="K92" t="s">
        <v>1017</v>
      </c>
      <c r="L92" t="s">
        <v>927</v>
      </c>
    </row>
    <row r="93" spans="1:12" x14ac:dyDescent="0.35">
      <c r="A93">
        <v>2.8170464275272301E-2</v>
      </c>
      <c r="B93">
        <v>2.5395981622951001E-2</v>
      </c>
      <c r="C93">
        <v>2.9547347848341E-2</v>
      </c>
      <c r="D93">
        <v>1.8368205985927599E-2</v>
      </c>
      <c r="E93" t="s">
        <v>1529</v>
      </c>
      <c r="F93" t="s">
        <v>1438</v>
      </c>
      <c r="G93">
        <v>52.802999999999997</v>
      </c>
      <c r="H93">
        <v>7.3063716138877001E-3</v>
      </c>
      <c r="I93">
        <v>55.506</v>
      </c>
      <c r="J93">
        <v>4.5607557823867896E-3</v>
      </c>
      <c r="K93" t="s">
        <v>1018</v>
      </c>
      <c r="L93" t="s">
        <v>927</v>
      </c>
    </row>
    <row r="94" spans="1:12" x14ac:dyDescent="0.35">
      <c r="A94">
        <v>2.40619409805858E-2</v>
      </c>
      <c r="B94">
        <v>9.9983702538513092E-3</v>
      </c>
      <c r="C94">
        <v>2.2073085991106502E-2</v>
      </c>
      <c r="D94">
        <v>3.0096377482488099E-2</v>
      </c>
      <c r="E94" t="s">
        <v>1530</v>
      </c>
      <c r="F94" t="s">
        <v>1438</v>
      </c>
      <c r="G94">
        <v>53.091999999999999</v>
      </c>
      <c r="H94">
        <v>5.4731738726967504E-3</v>
      </c>
      <c r="I94">
        <v>55.918999999999997</v>
      </c>
      <c r="J94">
        <v>7.4406370482469298E-3</v>
      </c>
      <c r="K94" t="s">
        <v>1019</v>
      </c>
      <c r="L94" t="s">
        <v>927</v>
      </c>
    </row>
    <row r="95" spans="1:12" x14ac:dyDescent="0.35">
      <c r="A95">
        <v>2.70873737268695E-2</v>
      </c>
      <c r="B95">
        <v>1.7716185249098602E-2</v>
      </c>
      <c r="C95">
        <v>2.3867747826854101E-2</v>
      </c>
      <c r="D95">
        <v>2.3524161594785199E-2</v>
      </c>
      <c r="E95" t="s">
        <v>1531</v>
      </c>
      <c r="F95" t="s">
        <v>1438</v>
      </c>
      <c r="G95">
        <v>53.405999999999999</v>
      </c>
      <c r="H95">
        <v>5.91426203571155E-3</v>
      </c>
      <c r="I95">
        <v>56.244999999999997</v>
      </c>
      <c r="J95">
        <v>5.8298610490172802E-3</v>
      </c>
      <c r="K95" t="s">
        <v>1020</v>
      </c>
      <c r="L95" t="s">
        <v>927</v>
      </c>
    </row>
    <row r="96" spans="1:12" x14ac:dyDescent="0.35">
      <c r="A96">
        <v>1.7542540867755401E-2</v>
      </c>
      <c r="B96">
        <v>2.9283418694515902E-2</v>
      </c>
      <c r="C96">
        <v>1.3096071782226999E-2</v>
      </c>
      <c r="D96">
        <v>4.0598599880798903E-3</v>
      </c>
      <c r="E96" t="s">
        <v>1532</v>
      </c>
      <c r="F96" t="s">
        <v>1438</v>
      </c>
      <c r="G96">
        <v>53.58</v>
      </c>
      <c r="H96">
        <v>3.2580608920345102E-3</v>
      </c>
      <c r="I96">
        <v>56.302</v>
      </c>
      <c r="J96">
        <v>1.01342341541466E-3</v>
      </c>
      <c r="K96" t="s">
        <v>1021</v>
      </c>
      <c r="L96" t="s">
        <v>927</v>
      </c>
    </row>
    <row r="97" spans="1:12" x14ac:dyDescent="0.35">
      <c r="A97">
        <v>2.3240038949048102E-2</v>
      </c>
      <c r="B97">
        <v>3.6370296177081797E-2</v>
      </c>
      <c r="C97">
        <v>2.0612838101556001E-2</v>
      </c>
      <c r="D97">
        <v>1.8816279960193898E-2</v>
      </c>
      <c r="E97" t="s">
        <v>1533</v>
      </c>
      <c r="F97" t="s">
        <v>1438</v>
      </c>
      <c r="G97">
        <v>53.853999999999999</v>
      </c>
      <c r="H97">
        <v>5.1138484509145599E-3</v>
      </c>
      <c r="I97">
        <v>56.564999999999998</v>
      </c>
      <c r="J97">
        <v>4.6712372562254202E-3</v>
      </c>
      <c r="K97" t="s">
        <v>1022</v>
      </c>
      <c r="L97" t="s">
        <v>927</v>
      </c>
    </row>
    <row r="98" spans="1:12" x14ac:dyDescent="0.35">
      <c r="A98">
        <v>1.4387423449919501E-2</v>
      </c>
      <c r="B98">
        <v>1.8449816517922799E-2</v>
      </c>
      <c r="C98">
        <v>3.3921123111567301E-2</v>
      </c>
      <c r="D98">
        <v>2.9526755688726598E-2</v>
      </c>
      <c r="E98" t="s">
        <v>1534</v>
      </c>
      <c r="F98" t="s">
        <v>1438</v>
      </c>
      <c r="G98">
        <v>54.305</v>
      </c>
      <c r="H98">
        <v>8.3744940023024999E-3</v>
      </c>
      <c r="I98">
        <v>56.978000000000002</v>
      </c>
      <c r="J98">
        <v>7.3013347476356101E-3</v>
      </c>
      <c r="K98" t="s">
        <v>1023</v>
      </c>
      <c r="L98" t="s">
        <v>927</v>
      </c>
    </row>
    <row r="99" spans="1:12" x14ac:dyDescent="0.35">
      <c r="A99">
        <v>2.2496438657089599E-2</v>
      </c>
      <c r="B99">
        <v>3.3991498444716703E-2</v>
      </c>
      <c r="C99">
        <v>2.3479894269272002E-2</v>
      </c>
      <c r="D99">
        <v>1.7453105874537699E-2</v>
      </c>
      <c r="E99" t="s">
        <v>1535</v>
      </c>
      <c r="F99" t="s">
        <v>1438</v>
      </c>
      <c r="G99">
        <v>54.621000000000002</v>
      </c>
      <c r="H99">
        <v>5.8189853604639899E-3</v>
      </c>
      <c r="I99">
        <v>57.225000000000001</v>
      </c>
      <c r="J99">
        <v>4.3350064937344203E-3</v>
      </c>
      <c r="K99" t="s">
        <v>1024</v>
      </c>
      <c r="L99" t="s">
        <v>927</v>
      </c>
    </row>
    <row r="100" spans="1:12" x14ac:dyDescent="0.35">
      <c r="A100">
        <v>2.90726218207682E-2</v>
      </c>
      <c r="B100">
        <v>2.3185974053502999E-2</v>
      </c>
      <c r="C100">
        <v>3.5391871305663798E-2</v>
      </c>
      <c r="D100">
        <v>3.5482240520336501E-2</v>
      </c>
      <c r="E100" t="s">
        <v>1536</v>
      </c>
      <c r="F100" t="s">
        <v>1438</v>
      </c>
      <c r="G100">
        <v>55.097999999999999</v>
      </c>
      <c r="H100">
        <v>8.7329049266764401E-3</v>
      </c>
      <c r="I100">
        <v>57.725999999999999</v>
      </c>
      <c r="J100">
        <v>8.7549148099605994E-3</v>
      </c>
      <c r="K100" t="s">
        <v>1025</v>
      </c>
      <c r="L100" t="s">
        <v>927</v>
      </c>
    </row>
    <row r="101" spans="1:12" x14ac:dyDescent="0.35">
      <c r="A101">
        <v>1.88663260541506E-2</v>
      </c>
      <c r="B101">
        <v>3.3254108726641599E-2</v>
      </c>
      <c r="C101">
        <v>3.4634574022881899E-2</v>
      </c>
      <c r="D101">
        <v>3.3748767658719397E-2</v>
      </c>
      <c r="E101" t="s">
        <v>1537</v>
      </c>
      <c r="F101" t="s">
        <v>1438</v>
      </c>
      <c r="G101">
        <v>55.569000000000003</v>
      </c>
      <c r="H101">
        <v>8.5484046607862095E-3</v>
      </c>
      <c r="I101">
        <v>58.207000000000001</v>
      </c>
      <c r="J101">
        <v>8.3324671725046907E-3</v>
      </c>
      <c r="K101" t="s">
        <v>1026</v>
      </c>
      <c r="L101" t="s">
        <v>927</v>
      </c>
    </row>
    <row r="102" spans="1:12" x14ac:dyDescent="0.35">
      <c r="A102">
        <v>1.9752209109685798E-2</v>
      </c>
      <c r="B102">
        <v>3.4122786590531799E-2</v>
      </c>
      <c r="C102">
        <v>1.8555272424330301E-2</v>
      </c>
      <c r="D102">
        <v>4.0528253340275301E-2</v>
      </c>
      <c r="E102" t="s">
        <v>1538</v>
      </c>
      <c r="F102" t="s">
        <v>1438</v>
      </c>
      <c r="G102">
        <v>55.825000000000003</v>
      </c>
      <c r="H102">
        <v>4.6068851337977001E-3</v>
      </c>
      <c r="I102">
        <v>58.787999999999997</v>
      </c>
      <c r="J102">
        <v>9.9816173312487991E-3</v>
      </c>
      <c r="K102" t="s">
        <v>1027</v>
      </c>
      <c r="L102" t="s">
        <v>927</v>
      </c>
    </row>
    <row r="103" spans="1:12" x14ac:dyDescent="0.35">
      <c r="A103">
        <v>2.3426148348960799E-2</v>
      </c>
      <c r="B103">
        <v>2.6924495262994098E-2</v>
      </c>
      <c r="C103">
        <v>3.10950653969519E-2</v>
      </c>
      <c r="D103">
        <v>2.8884969324625399E-2</v>
      </c>
      <c r="E103" t="s">
        <v>1539</v>
      </c>
      <c r="F103" t="s">
        <v>1438</v>
      </c>
      <c r="G103">
        <v>56.253999999999998</v>
      </c>
      <c r="H103">
        <v>7.6847290640393896E-3</v>
      </c>
      <c r="I103">
        <v>59.207999999999998</v>
      </c>
      <c r="J103">
        <v>7.1443151663605998E-3</v>
      </c>
      <c r="K103" t="s">
        <v>1028</v>
      </c>
      <c r="L103" t="s">
        <v>927</v>
      </c>
    </row>
    <row r="104" spans="1:12" x14ac:dyDescent="0.35">
      <c r="A104">
        <v>1.6481276503132601E-2</v>
      </c>
      <c r="B104">
        <v>2.0844963333619401E-2</v>
      </c>
      <c r="C104">
        <v>1.5303746558651399E-2</v>
      </c>
      <c r="D104">
        <v>2.2275298720186399E-2</v>
      </c>
      <c r="E104" t="s">
        <v>1540</v>
      </c>
      <c r="F104" t="s">
        <v>1438</v>
      </c>
      <c r="G104">
        <v>56.468000000000004</v>
      </c>
      <c r="H104">
        <v>3.8041739254097702E-3</v>
      </c>
      <c r="I104">
        <v>59.534999999999997</v>
      </c>
      <c r="J104">
        <v>5.5229023104985701E-3</v>
      </c>
      <c r="K104" t="s">
        <v>1029</v>
      </c>
      <c r="L104" t="s">
        <v>927</v>
      </c>
    </row>
    <row r="105" spans="1:12" x14ac:dyDescent="0.35">
      <c r="A105">
        <v>1.77105887350755E-2</v>
      </c>
      <c r="B105">
        <v>5.6392491810183902E-2</v>
      </c>
      <c r="C105">
        <v>1.3670147091618101E-2</v>
      </c>
      <c r="D105">
        <v>2.3245190160411201E-2</v>
      </c>
      <c r="E105" t="s">
        <v>1541</v>
      </c>
      <c r="F105" t="s">
        <v>1438</v>
      </c>
      <c r="G105">
        <v>56.66</v>
      </c>
      <c r="H105">
        <v>3.4001558404759299E-3</v>
      </c>
      <c r="I105">
        <v>59.878</v>
      </c>
      <c r="J105">
        <v>5.7613168724279804E-3</v>
      </c>
      <c r="K105" t="s">
        <v>1030</v>
      </c>
      <c r="L105" t="s">
        <v>927</v>
      </c>
    </row>
    <row r="106" spans="1:12" x14ac:dyDescent="0.35">
      <c r="A106">
        <v>2.24149830534284E-2</v>
      </c>
      <c r="B106">
        <v>9.43340099661172E-3</v>
      </c>
      <c r="C106">
        <v>4.4785324127958097E-2</v>
      </c>
      <c r="D106">
        <v>2.1616654614663E-2</v>
      </c>
      <c r="E106" t="s">
        <v>1542</v>
      </c>
      <c r="F106" t="s">
        <v>1438</v>
      </c>
      <c r="G106">
        <v>57.283999999999999</v>
      </c>
      <c r="H106">
        <v>1.1013060360042499E-2</v>
      </c>
      <c r="I106">
        <v>60.198999999999998</v>
      </c>
      <c r="J106">
        <v>5.3609004976786804E-3</v>
      </c>
      <c r="K106" t="s">
        <v>1031</v>
      </c>
      <c r="L106" t="s">
        <v>927</v>
      </c>
    </row>
    <row r="107" spans="1:12" x14ac:dyDescent="0.35">
      <c r="A107">
        <v>2.7006131410312901E-2</v>
      </c>
      <c r="B107">
        <v>-2.1272525988481301E-2</v>
      </c>
      <c r="C107">
        <v>5.7381634098421204E-3</v>
      </c>
      <c r="D107">
        <v>4.4593389946305803E-3</v>
      </c>
      <c r="E107" t="s">
        <v>1543</v>
      </c>
      <c r="F107" t="s">
        <v>1438</v>
      </c>
      <c r="G107">
        <v>57.366</v>
      </c>
      <c r="H107">
        <v>1.4314642832204999E-3</v>
      </c>
      <c r="I107">
        <v>60.265999999999998</v>
      </c>
      <c r="J107">
        <v>1.1129752985929999E-3</v>
      </c>
      <c r="K107" t="s">
        <v>1032</v>
      </c>
      <c r="L107" t="s">
        <v>927</v>
      </c>
    </row>
    <row r="108" spans="1:12" x14ac:dyDescent="0.35">
      <c r="A108">
        <v>1.7195373350960198E-2</v>
      </c>
      <c r="B108">
        <v>2.3444846886997699E-2</v>
      </c>
      <c r="C108">
        <v>2.6760970425558899E-2</v>
      </c>
      <c r="D108">
        <v>1.9993530620905801E-2</v>
      </c>
      <c r="E108" t="s">
        <v>1544</v>
      </c>
      <c r="F108" t="s">
        <v>1438</v>
      </c>
      <c r="G108">
        <v>57.746000000000002</v>
      </c>
      <c r="H108">
        <v>6.62413276156615E-3</v>
      </c>
      <c r="I108">
        <v>60.564999999999998</v>
      </c>
      <c r="J108">
        <v>4.9613380678989998E-3</v>
      </c>
      <c r="K108" t="s">
        <v>1033</v>
      </c>
      <c r="L108" t="s">
        <v>927</v>
      </c>
    </row>
    <row r="109" spans="1:12" x14ac:dyDescent="0.35">
      <c r="A109">
        <v>2.7544322225657499E-2</v>
      </c>
      <c r="B109">
        <v>1.3803868113502E-2</v>
      </c>
      <c r="C109">
        <v>3.2814056779429501E-2</v>
      </c>
      <c r="D109">
        <v>1.3007743413415899E-2</v>
      </c>
      <c r="E109" t="s">
        <v>1545</v>
      </c>
      <c r="F109" t="s">
        <v>1438</v>
      </c>
      <c r="G109">
        <v>58.213999999999999</v>
      </c>
      <c r="H109">
        <v>8.1044574515982699E-3</v>
      </c>
      <c r="I109">
        <v>60.761000000000003</v>
      </c>
      <c r="J109">
        <v>3.2361925204327201E-3</v>
      </c>
      <c r="K109" t="s">
        <v>1034</v>
      </c>
      <c r="L109" t="s">
        <v>927</v>
      </c>
    </row>
    <row r="110" spans="1:12" x14ac:dyDescent="0.35">
      <c r="A110">
        <v>1.7773223680601899E-2</v>
      </c>
      <c r="B110">
        <v>1.36962800731413E-2</v>
      </c>
      <c r="C110">
        <v>2.76992412803541E-2</v>
      </c>
      <c r="D110">
        <v>2.2772194889475902E-2</v>
      </c>
      <c r="E110" t="s">
        <v>1546</v>
      </c>
      <c r="F110" t="s">
        <v>1438</v>
      </c>
      <c r="G110">
        <v>58.613</v>
      </c>
      <c r="H110">
        <v>6.8540213694301402E-3</v>
      </c>
      <c r="I110">
        <v>61.103999999999999</v>
      </c>
      <c r="J110">
        <v>5.6450683826796402E-3</v>
      </c>
      <c r="K110" t="s">
        <v>1035</v>
      </c>
      <c r="L110" t="s">
        <v>927</v>
      </c>
    </row>
    <row r="111" spans="1:12" x14ac:dyDescent="0.35">
      <c r="A111">
        <v>1.0067171002752701E-2</v>
      </c>
      <c r="B111">
        <v>2.65913479501769E-2</v>
      </c>
      <c r="C111">
        <v>9.5884799897107999E-3</v>
      </c>
      <c r="D111">
        <v>2.7578432526699701E-2</v>
      </c>
      <c r="E111" t="s">
        <v>1547</v>
      </c>
      <c r="F111" t="s">
        <v>1438</v>
      </c>
      <c r="G111">
        <v>58.753</v>
      </c>
      <c r="H111">
        <v>2.3885486154948698E-3</v>
      </c>
      <c r="I111">
        <v>61.521000000000001</v>
      </c>
      <c r="J111">
        <v>6.8244304791831301E-3</v>
      </c>
      <c r="K111" t="s">
        <v>1036</v>
      </c>
      <c r="L111" t="s">
        <v>927</v>
      </c>
    </row>
    <row r="112" spans="1:12" x14ac:dyDescent="0.35">
      <c r="A112">
        <v>1.05839184448571E-2</v>
      </c>
      <c r="B112">
        <v>9.2223862003817398E-3</v>
      </c>
      <c r="C112">
        <v>1.9268623425193102E-2</v>
      </c>
      <c r="D112">
        <v>1.0181522541022199E-2</v>
      </c>
      <c r="E112" t="s">
        <v>1548</v>
      </c>
      <c r="F112" t="s">
        <v>1438</v>
      </c>
      <c r="G112">
        <v>59.033999999999999</v>
      </c>
      <c r="H112">
        <v>4.7827344986639498E-3</v>
      </c>
      <c r="I112">
        <v>61.677</v>
      </c>
      <c r="J112">
        <v>2.5357195104109801E-3</v>
      </c>
      <c r="K112" t="s">
        <v>1037</v>
      </c>
      <c r="L112" t="s">
        <v>927</v>
      </c>
    </row>
    <row r="113" spans="1:12" x14ac:dyDescent="0.35">
      <c r="A113">
        <v>1.26121897911931E-2</v>
      </c>
      <c r="B113">
        <v>2.8333969394931401E-2</v>
      </c>
      <c r="C113">
        <v>3.3061309623051399E-2</v>
      </c>
      <c r="D113">
        <v>2.5996696664996499E-2</v>
      </c>
      <c r="E113" t="s">
        <v>1549</v>
      </c>
      <c r="F113" t="s">
        <v>1438</v>
      </c>
      <c r="G113">
        <v>59.515999999999998</v>
      </c>
      <c r="H113">
        <v>8.1647863942813093E-3</v>
      </c>
      <c r="I113">
        <v>62.073999999999998</v>
      </c>
      <c r="J113">
        <v>6.4367592457479396E-3</v>
      </c>
      <c r="K113" t="s">
        <v>1038</v>
      </c>
      <c r="L113" t="s">
        <v>927</v>
      </c>
    </row>
    <row r="114" spans="1:12" x14ac:dyDescent="0.35">
      <c r="A114">
        <v>3.2090280398078302E-4</v>
      </c>
      <c r="B114">
        <v>-1.66473304304918E-2</v>
      </c>
      <c r="C114">
        <v>6.3326118015940604E-3</v>
      </c>
      <c r="D114">
        <v>1.3539104320199301E-3</v>
      </c>
      <c r="E114" t="s">
        <v>1550</v>
      </c>
      <c r="F114" t="s">
        <v>1438</v>
      </c>
      <c r="G114">
        <v>59.61</v>
      </c>
      <c r="H114">
        <v>1.57940721822714E-3</v>
      </c>
      <c r="I114">
        <v>62.094999999999999</v>
      </c>
      <c r="J114">
        <v>3.3830589296646201E-4</v>
      </c>
      <c r="K114" t="s">
        <v>1039</v>
      </c>
      <c r="L114" t="s">
        <v>927</v>
      </c>
    </row>
    <row r="115" spans="1:12" x14ac:dyDescent="0.35">
      <c r="A115">
        <v>7.2384308298694099E-3</v>
      </c>
      <c r="B115">
        <v>2.5981704959145799E-2</v>
      </c>
      <c r="C115">
        <v>2.14418814289523E-2</v>
      </c>
      <c r="D115">
        <v>2.5146473935451202E-3</v>
      </c>
      <c r="E115" t="s">
        <v>1551</v>
      </c>
      <c r="F115" t="s">
        <v>1438</v>
      </c>
      <c r="G115">
        <v>59.927</v>
      </c>
      <c r="H115">
        <v>5.3178996812615099E-3</v>
      </c>
      <c r="I115">
        <v>62.134</v>
      </c>
      <c r="J115">
        <v>6.2806989290598004E-4</v>
      </c>
      <c r="K115" t="s">
        <v>1040</v>
      </c>
      <c r="L115" t="s">
        <v>927</v>
      </c>
    </row>
    <row r="116" spans="1:12" x14ac:dyDescent="0.35">
      <c r="A116">
        <v>1.2387156771827E-2</v>
      </c>
      <c r="B116">
        <v>2.6407820145390601E-2</v>
      </c>
      <c r="C116">
        <v>3.1605845001569703E-2</v>
      </c>
      <c r="D116">
        <v>2.4885302644445099E-2</v>
      </c>
      <c r="E116" t="s">
        <v>1552</v>
      </c>
      <c r="F116" t="s">
        <v>1438</v>
      </c>
      <c r="G116">
        <v>60.395000000000003</v>
      </c>
      <c r="H116">
        <v>7.8095015602317498E-3</v>
      </c>
      <c r="I116">
        <v>62.517000000000003</v>
      </c>
      <c r="J116">
        <v>6.1640969517495802E-3</v>
      </c>
      <c r="K116" t="s">
        <v>1041</v>
      </c>
      <c r="L116" t="s">
        <v>927</v>
      </c>
    </row>
    <row r="117" spans="1:12" x14ac:dyDescent="0.35">
      <c r="A117">
        <v>1.0631455336088899E-2</v>
      </c>
      <c r="B117">
        <v>1.29075602616771E-2</v>
      </c>
      <c r="C117">
        <v>3.6519198475668799E-2</v>
      </c>
      <c r="D117">
        <v>2.2777873103542599E-2</v>
      </c>
      <c r="E117" t="s">
        <v>1553</v>
      </c>
      <c r="F117" t="s">
        <v>1438</v>
      </c>
      <c r="G117">
        <v>60.939</v>
      </c>
      <c r="H117">
        <v>9.0073681596158899E-3</v>
      </c>
      <c r="I117">
        <v>62.87</v>
      </c>
      <c r="J117">
        <v>5.6464641617479704E-3</v>
      </c>
      <c r="K117" t="s">
        <v>1042</v>
      </c>
      <c r="L117" t="s">
        <v>927</v>
      </c>
    </row>
    <row r="118" spans="1:12" x14ac:dyDescent="0.35">
      <c r="A118">
        <v>7.8778546175835001E-3</v>
      </c>
      <c r="B118">
        <v>1.19346323256166E-2</v>
      </c>
      <c r="C118">
        <v>3.4639204699016303E-2</v>
      </c>
      <c r="D118">
        <v>1.61297394114919E-2</v>
      </c>
      <c r="E118" t="s">
        <v>1554</v>
      </c>
      <c r="F118" t="s">
        <v>1438</v>
      </c>
      <c r="G118">
        <v>61.46</v>
      </c>
      <c r="H118">
        <v>8.5495331396971998E-3</v>
      </c>
      <c r="I118">
        <v>63.122</v>
      </c>
      <c r="J118">
        <v>4.0082710354700799E-3</v>
      </c>
      <c r="K118" t="s">
        <v>1043</v>
      </c>
      <c r="L118" t="s">
        <v>927</v>
      </c>
    </row>
    <row r="119" spans="1:12" x14ac:dyDescent="0.35">
      <c r="A119">
        <v>2.2971603454798002E-2</v>
      </c>
      <c r="B119">
        <v>3.4068264295770097E-2</v>
      </c>
      <c r="C119">
        <v>6.1370356227924201E-2</v>
      </c>
      <c r="D119">
        <v>2.99883116478201E-2</v>
      </c>
      <c r="E119" t="s">
        <v>1555</v>
      </c>
      <c r="F119" t="s">
        <v>1438</v>
      </c>
      <c r="G119">
        <v>62.381999999999998</v>
      </c>
      <c r="H119">
        <v>1.5001627074519901E-2</v>
      </c>
      <c r="I119">
        <v>63.59</v>
      </c>
      <c r="J119">
        <v>7.4142137448116596E-3</v>
      </c>
      <c r="K119" t="s">
        <v>1044</v>
      </c>
      <c r="L119" t="s">
        <v>927</v>
      </c>
    </row>
    <row r="120" spans="1:12" x14ac:dyDescent="0.35">
      <c r="A120">
        <v>2.21977740334749E-2</v>
      </c>
      <c r="B120">
        <v>3.6824162588046098E-2</v>
      </c>
      <c r="C120">
        <v>5.6562220210462498E-2</v>
      </c>
      <c r="D120">
        <v>1.6964868305367399E-2</v>
      </c>
      <c r="E120" t="s">
        <v>1556</v>
      </c>
      <c r="F120" t="s">
        <v>1438</v>
      </c>
      <c r="G120">
        <v>63.246000000000002</v>
      </c>
      <c r="H120">
        <v>1.3850149081466E-2</v>
      </c>
      <c r="I120">
        <v>63.857999999999997</v>
      </c>
      <c r="J120">
        <v>4.2144991350840898E-3</v>
      </c>
      <c r="K120" t="s">
        <v>1045</v>
      </c>
      <c r="L120" t="s">
        <v>927</v>
      </c>
    </row>
    <row r="121" spans="1:12" x14ac:dyDescent="0.35">
      <c r="A121">
        <v>2.4473399596212499E-2</v>
      </c>
      <c r="B121">
        <v>5.00811045761866E-2</v>
      </c>
      <c r="C121">
        <v>4.9726482376824199E-2</v>
      </c>
      <c r="D121">
        <v>3.4513513517111301E-2</v>
      </c>
      <c r="E121" t="s">
        <v>1557</v>
      </c>
      <c r="F121" t="s">
        <v>1438</v>
      </c>
      <c r="G121">
        <v>64.018000000000001</v>
      </c>
      <c r="H121">
        <v>1.2206305537109099E-2</v>
      </c>
      <c r="I121">
        <v>64.402000000000001</v>
      </c>
      <c r="J121">
        <v>8.5189013122866104E-3</v>
      </c>
      <c r="K121" t="s">
        <v>1046</v>
      </c>
      <c r="L121" t="s">
        <v>927</v>
      </c>
    </row>
    <row r="122" spans="1:12" x14ac:dyDescent="0.35">
      <c r="A122">
        <v>3.2886107964122897E-2</v>
      </c>
      <c r="B122">
        <v>3.9540884737924602E-2</v>
      </c>
      <c r="C122">
        <v>5.7040318663066601E-2</v>
      </c>
      <c r="D122">
        <v>3.2054289459933799E-2</v>
      </c>
      <c r="E122" t="s">
        <v>1558</v>
      </c>
      <c r="F122" t="s">
        <v>1438</v>
      </c>
      <c r="G122">
        <v>64.912000000000006</v>
      </c>
      <c r="H122">
        <v>1.3964822393701899E-2</v>
      </c>
      <c r="I122">
        <v>64.912000000000006</v>
      </c>
      <c r="J122">
        <v>7.9190087264371396E-3</v>
      </c>
      <c r="K122" t="s">
        <v>1047</v>
      </c>
      <c r="L122" t="s">
        <v>927</v>
      </c>
    </row>
    <row r="123" spans="1:12" x14ac:dyDescent="0.35">
      <c r="A123">
        <v>1.9193585341739101E-2</v>
      </c>
      <c r="B123">
        <v>1.5459188057563401E-2</v>
      </c>
      <c r="C123">
        <v>4.2438786901308999E-2</v>
      </c>
      <c r="D123">
        <v>4.6322155050911397E-2</v>
      </c>
      <c r="E123" t="s">
        <v>1559</v>
      </c>
      <c r="F123" t="s">
        <v>1438</v>
      </c>
      <c r="G123">
        <v>65.59</v>
      </c>
      <c r="H123">
        <v>1.0444910032043399E-2</v>
      </c>
      <c r="I123">
        <v>65.650999999999996</v>
      </c>
      <c r="J123">
        <v>1.13846438254868E-2</v>
      </c>
      <c r="K123" t="s">
        <v>1048</v>
      </c>
      <c r="L123" t="s">
        <v>927</v>
      </c>
    </row>
    <row r="124" spans="1:12" x14ac:dyDescent="0.35">
      <c r="A124">
        <v>2.6053548554263901E-2</v>
      </c>
      <c r="B124">
        <v>2.8949345820011199E-2</v>
      </c>
      <c r="C124">
        <v>4.7728620369875199E-2</v>
      </c>
      <c r="D124">
        <v>2.6457667912965801E-2</v>
      </c>
      <c r="E124" t="s">
        <v>1560</v>
      </c>
      <c r="F124" t="s">
        <v>1438</v>
      </c>
      <c r="G124">
        <v>66.358999999999995</v>
      </c>
      <c r="H124">
        <v>1.1724348223814501E-2</v>
      </c>
      <c r="I124">
        <v>66.081000000000003</v>
      </c>
      <c r="J124">
        <v>6.5497859895509202E-3</v>
      </c>
      <c r="K124" t="s">
        <v>1049</v>
      </c>
      <c r="L124" t="s">
        <v>927</v>
      </c>
    </row>
    <row r="125" spans="1:12" x14ac:dyDescent="0.35">
      <c r="A125">
        <v>2.2816932316492001E-2</v>
      </c>
      <c r="B125">
        <v>1.82242710503548E-2</v>
      </c>
      <c r="C125">
        <v>5.7499642478727998E-2</v>
      </c>
      <c r="D125">
        <v>2.3755596803619598E-2</v>
      </c>
      <c r="E125" t="s">
        <v>1561</v>
      </c>
      <c r="F125" t="s">
        <v>1438</v>
      </c>
      <c r="G125">
        <v>67.293000000000006</v>
      </c>
      <c r="H125">
        <v>1.40749559215783E-2</v>
      </c>
      <c r="I125">
        <v>66.47</v>
      </c>
      <c r="J125">
        <v>5.8867147894250396E-3</v>
      </c>
      <c r="K125" t="s">
        <v>1050</v>
      </c>
      <c r="L125" t="s">
        <v>927</v>
      </c>
    </row>
    <row r="126" spans="1:12" x14ac:dyDescent="0.35">
      <c r="A126">
        <v>2.9937016463394299E-2</v>
      </c>
      <c r="B126">
        <v>6.8223280329673397E-3</v>
      </c>
      <c r="C126">
        <v>5.4456520671492398E-2</v>
      </c>
      <c r="D126">
        <v>2.4902004743710501E-2</v>
      </c>
      <c r="E126" t="s">
        <v>1562</v>
      </c>
      <c r="F126" t="s">
        <v>1438</v>
      </c>
      <c r="G126">
        <v>68.191000000000003</v>
      </c>
      <c r="H126">
        <v>1.33446272272004E-2</v>
      </c>
      <c r="I126">
        <v>66.88</v>
      </c>
      <c r="J126">
        <v>6.16819617872721E-3</v>
      </c>
      <c r="K126" t="s">
        <v>1051</v>
      </c>
      <c r="L126" t="s">
        <v>927</v>
      </c>
    </row>
    <row r="127" spans="1:12" x14ac:dyDescent="0.35">
      <c r="A127">
        <v>1.8884884410707199E-2</v>
      </c>
      <c r="B127">
        <v>2.1198789662036002E-2</v>
      </c>
      <c r="C127">
        <v>1.7060457300781501E-2</v>
      </c>
      <c r="D127">
        <v>1.0326833438175601E-2</v>
      </c>
      <c r="E127" t="s">
        <v>1563</v>
      </c>
      <c r="F127" t="s">
        <v>1438</v>
      </c>
      <c r="G127">
        <v>68.48</v>
      </c>
      <c r="H127">
        <v>4.2380959364138899E-3</v>
      </c>
      <c r="I127">
        <v>67.052000000000007</v>
      </c>
      <c r="J127">
        <v>2.5717703349283898E-3</v>
      </c>
      <c r="K127" t="s">
        <v>1052</v>
      </c>
      <c r="L127" t="s">
        <v>927</v>
      </c>
    </row>
    <row r="128" spans="1:12" x14ac:dyDescent="0.35">
      <c r="A128">
        <v>2.0085104332627801E-3</v>
      </c>
      <c r="B128">
        <v>2.5873085754739799E-2</v>
      </c>
      <c r="C128">
        <v>1.0084643678167899E-2</v>
      </c>
      <c r="D128">
        <v>1.25865662000337E-2</v>
      </c>
      <c r="E128" t="s">
        <v>1564</v>
      </c>
      <c r="F128" t="s">
        <v>1438</v>
      </c>
      <c r="G128">
        <v>68.652000000000001</v>
      </c>
      <c r="H128">
        <v>2.5116822429906999E-3</v>
      </c>
      <c r="I128">
        <v>67.262</v>
      </c>
      <c r="J128">
        <v>3.1318976316887502E-3</v>
      </c>
      <c r="K128" t="s">
        <v>1053</v>
      </c>
      <c r="L128" t="s">
        <v>927</v>
      </c>
    </row>
    <row r="129" spans="1:12" x14ac:dyDescent="0.35">
      <c r="A129">
        <v>1.65597149400032E-3</v>
      </c>
      <c r="B129">
        <v>2.61448943379867E-2</v>
      </c>
      <c r="C129">
        <v>4.4939487008062197E-3</v>
      </c>
      <c r="D129">
        <v>2.16417401943385E-2</v>
      </c>
      <c r="E129" t="s">
        <v>1565</v>
      </c>
      <c r="F129" t="s">
        <v>1438</v>
      </c>
      <c r="G129">
        <v>68.728999999999999</v>
      </c>
      <c r="H129">
        <v>1.1215987880905901E-3</v>
      </c>
      <c r="I129">
        <v>67.623000000000005</v>
      </c>
      <c r="J129">
        <v>5.3670720466236803E-3</v>
      </c>
      <c r="K129" t="s">
        <v>1054</v>
      </c>
      <c r="L129" t="s">
        <v>927</v>
      </c>
    </row>
    <row r="130" spans="1:12" x14ac:dyDescent="0.35">
      <c r="A130">
        <v>8.0448095256371293E-3</v>
      </c>
      <c r="B130">
        <v>2.6192779718551499E-2</v>
      </c>
      <c r="C130">
        <v>2.6210777008154801E-2</v>
      </c>
      <c r="D130">
        <v>1.77439998941584E-2</v>
      </c>
      <c r="E130" t="s">
        <v>1566</v>
      </c>
      <c r="F130" t="s">
        <v>1438</v>
      </c>
      <c r="G130">
        <v>69.174999999999997</v>
      </c>
      <c r="H130">
        <v>6.4892548996784401E-3</v>
      </c>
      <c r="I130">
        <v>67.921000000000006</v>
      </c>
      <c r="J130">
        <v>4.4067846738535801E-3</v>
      </c>
      <c r="K130" t="s">
        <v>1055</v>
      </c>
      <c r="L130" t="s">
        <v>927</v>
      </c>
    </row>
    <row r="131" spans="1:12" x14ac:dyDescent="0.35">
      <c r="A131">
        <v>2.9998743908273201E-2</v>
      </c>
      <c r="B131">
        <v>3.8349371649444103E-2</v>
      </c>
      <c r="C131">
        <v>3.99637104830428E-2</v>
      </c>
      <c r="D131">
        <v>2.19088618142655E-2</v>
      </c>
      <c r="E131" t="s">
        <v>1567</v>
      </c>
      <c r="F131" t="s">
        <v>1438</v>
      </c>
      <c r="G131">
        <v>69.855999999999995</v>
      </c>
      <c r="H131">
        <v>9.8445970365015293E-3</v>
      </c>
      <c r="I131">
        <v>68.290000000000006</v>
      </c>
      <c r="J131">
        <v>5.4327822028532599E-3</v>
      </c>
      <c r="K131" t="s">
        <v>1056</v>
      </c>
      <c r="L131" t="s">
        <v>927</v>
      </c>
    </row>
    <row r="132" spans="1:12" x14ac:dyDescent="0.35">
      <c r="A132">
        <v>2.0869776308943801E-2</v>
      </c>
      <c r="B132">
        <v>3.4801584391165798E-2</v>
      </c>
      <c r="C132">
        <v>3.3157579483975103E-2</v>
      </c>
      <c r="D132">
        <v>1.23573378485025E-2</v>
      </c>
      <c r="E132" t="s">
        <v>1568</v>
      </c>
      <c r="F132" t="s">
        <v>1438</v>
      </c>
      <c r="G132">
        <v>70.427999999999997</v>
      </c>
      <c r="H132">
        <v>8.1882730187814393E-3</v>
      </c>
      <c r="I132">
        <v>68.5</v>
      </c>
      <c r="J132">
        <v>3.07512080831729E-3</v>
      </c>
      <c r="K132" t="s">
        <v>1057</v>
      </c>
      <c r="L132" t="s">
        <v>927</v>
      </c>
    </row>
    <row r="133" spans="1:12" x14ac:dyDescent="0.35">
      <c r="A133">
        <v>1.8806157080279301E-2</v>
      </c>
      <c r="B133">
        <v>7.6203068975526894E-2</v>
      </c>
      <c r="C133">
        <v>4.04120889716926E-2</v>
      </c>
      <c r="D133">
        <v>6.9083360828583497E-3</v>
      </c>
      <c r="E133" t="s">
        <v>1569</v>
      </c>
      <c r="F133" t="s">
        <v>1438</v>
      </c>
      <c r="G133">
        <v>71.129000000000005</v>
      </c>
      <c r="H133">
        <v>9.9534276140171903E-3</v>
      </c>
      <c r="I133">
        <v>68.617999999999995</v>
      </c>
      <c r="J133">
        <v>1.7226277372262E-3</v>
      </c>
      <c r="K133" t="s">
        <v>1058</v>
      </c>
      <c r="L133" t="s">
        <v>927</v>
      </c>
    </row>
    <row r="134" spans="1:12" x14ac:dyDescent="0.35">
      <c r="A134">
        <v>3.0939531110064901E-2</v>
      </c>
      <c r="B134">
        <v>4.5343406532494003E-2</v>
      </c>
      <c r="C134">
        <v>6.4192818314913899E-2</v>
      </c>
      <c r="D134">
        <v>3.35839967225895E-2</v>
      </c>
      <c r="E134" t="s">
        <v>1570</v>
      </c>
      <c r="F134" t="s">
        <v>1438</v>
      </c>
      <c r="G134">
        <v>72.244</v>
      </c>
      <c r="H134">
        <v>1.5675744070632099E-2</v>
      </c>
      <c r="I134">
        <v>69.186999999999998</v>
      </c>
      <c r="J134">
        <v>8.2922848232243104E-3</v>
      </c>
      <c r="K134" t="s">
        <v>1059</v>
      </c>
      <c r="L134" t="s">
        <v>927</v>
      </c>
    </row>
    <row r="135" spans="1:12" x14ac:dyDescent="0.35">
      <c r="A135">
        <v>4.0077661469082298E-3</v>
      </c>
      <c r="B135">
        <v>2.8726975579467701E-2</v>
      </c>
      <c r="C135">
        <v>2.60483280529056E-3</v>
      </c>
      <c r="D135">
        <v>4.1691340309692997E-3</v>
      </c>
      <c r="E135" t="s">
        <v>1571</v>
      </c>
      <c r="F135" t="s">
        <v>1438</v>
      </c>
      <c r="G135">
        <v>72.290999999999997</v>
      </c>
      <c r="H135">
        <v>6.5057305797022703E-4</v>
      </c>
      <c r="I135">
        <v>69.259</v>
      </c>
      <c r="J135">
        <v>1.0406579270672001E-3</v>
      </c>
      <c r="K135" t="s">
        <v>1060</v>
      </c>
      <c r="L135" t="s">
        <v>927</v>
      </c>
    </row>
    <row r="136" spans="1:12" x14ac:dyDescent="0.35">
      <c r="A136">
        <v>2.6637470683258401E-2</v>
      </c>
      <c r="B136">
        <v>3.6701160751028999E-2</v>
      </c>
      <c r="C136">
        <v>3.2537484109284899E-2</v>
      </c>
      <c r="D136">
        <v>5.0920666130191998E-3</v>
      </c>
      <c r="E136" t="s">
        <v>1572</v>
      </c>
      <c r="F136" t="s">
        <v>1438</v>
      </c>
      <c r="G136">
        <v>72.872</v>
      </c>
      <c r="H136">
        <v>8.0369617241426994E-3</v>
      </c>
      <c r="I136">
        <v>69.346999999999994</v>
      </c>
      <c r="J136">
        <v>1.2705929915244299E-3</v>
      </c>
      <c r="K136" t="s">
        <v>1061</v>
      </c>
      <c r="L136" t="s">
        <v>927</v>
      </c>
    </row>
    <row r="137" spans="1:12" x14ac:dyDescent="0.35">
      <c r="A137">
        <v>1.9809591582912799E-2</v>
      </c>
      <c r="B137">
        <v>3.0297839189273201E-2</v>
      </c>
      <c r="C137">
        <v>3.6723057880070603E-2</v>
      </c>
      <c r="D137">
        <v>1.11208187291489E-2</v>
      </c>
      <c r="E137" t="s">
        <v>1573</v>
      </c>
      <c r="F137" t="s">
        <v>1438</v>
      </c>
      <c r="G137">
        <v>73.531999999999996</v>
      </c>
      <c r="H137">
        <v>9.0569766165331505E-3</v>
      </c>
      <c r="I137">
        <v>69.539000000000001</v>
      </c>
      <c r="J137">
        <v>2.7686850188184402E-3</v>
      </c>
      <c r="K137" t="s">
        <v>1062</v>
      </c>
      <c r="L137" t="s">
        <v>927</v>
      </c>
    </row>
    <row r="138" spans="1:12" x14ac:dyDescent="0.35">
      <c r="A138">
        <v>3.1204615634115699E-2</v>
      </c>
      <c r="B138">
        <v>3.4471201135703997E-2</v>
      </c>
      <c r="C138">
        <v>5.7672124037001303E-2</v>
      </c>
      <c r="D138">
        <v>2.6313046913832801E-2</v>
      </c>
      <c r="E138" t="s">
        <v>1574</v>
      </c>
      <c r="F138" t="s">
        <v>1438</v>
      </c>
      <c r="G138">
        <v>74.569999999999993</v>
      </c>
      <c r="H138">
        <v>1.41163031061307E-2</v>
      </c>
      <c r="I138">
        <v>69.992000000000004</v>
      </c>
      <c r="J138">
        <v>6.5143300881520504E-3</v>
      </c>
      <c r="K138" t="s">
        <v>1063</v>
      </c>
      <c r="L138" t="s">
        <v>927</v>
      </c>
    </row>
    <row r="139" spans="1:12" x14ac:dyDescent="0.35">
      <c r="A139">
        <v>2.7200294389546201E-2</v>
      </c>
      <c r="B139">
        <v>3.5181669062461299E-2</v>
      </c>
      <c r="C139">
        <v>5.42271951092188E-2</v>
      </c>
      <c r="D139">
        <v>7.5544557477534205E-2</v>
      </c>
      <c r="E139" t="s">
        <v>1575</v>
      </c>
      <c r="F139" t="s">
        <v>1438</v>
      </c>
      <c r="G139">
        <v>75.561000000000007</v>
      </c>
      <c r="H139">
        <v>1.3289526619284101E-2</v>
      </c>
      <c r="I139">
        <v>71.278000000000006</v>
      </c>
      <c r="J139">
        <v>1.8373528403245999E-2</v>
      </c>
      <c r="K139" t="s">
        <v>1064</v>
      </c>
      <c r="L139" t="s">
        <v>927</v>
      </c>
    </row>
    <row r="140" spans="1:12" x14ac:dyDescent="0.35">
      <c r="A140">
        <v>1.9813936050087699E-2</v>
      </c>
      <c r="B140">
        <v>3.71188179062025E-2</v>
      </c>
      <c r="C140">
        <v>5.5705667373545202E-2</v>
      </c>
      <c r="D140">
        <v>0.112118604043563</v>
      </c>
      <c r="E140" t="s">
        <v>1576</v>
      </c>
      <c r="F140" t="s">
        <v>1438</v>
      </c>
      <c r="G140">
        <v>76.591999999999999</v>
      </c>
      <c r="H140">
        <v>1.3644605021108799E-2</v>
      </c>
      <c r="I140">
        <v>73.197000000000003</v>
      </c>
      <c r="J140">
        <v>2.6922753163668899E-2</v>
      </c>
      <c r="K140" t="s">
        <v>1065</v>
      </c>
      <c r="L140" t="s">
        <v>927</v>
      </c>
    </row>
    <row r="141" spans="1:12" x14ac:dyDescent="0.35">
      <c r="A141">
        <v>3.4620969363609901E-2</v>
      </c>
      <c r="B141">
        <v>3.9499400752586601E-2</v>
      </c>
      <c r="C141">
        <v>6.4048552869122796E-2</v>
      </c>
      <c r="D141">
        <v>9.9586266592777403E-2</v>
      </c>
      <c r="E141" t="s">
        <v>1577</v>
      </c>
      <c r="F141" t="s">
        <v>1438</v>
      </c>
      <c r="G141">
        <v>77.790000000000006</v>
      </c>
      <c r="H141">
        <v>1.5641320242323099E-2</v>
      </c>
      <c r="I141">
        <v>74.954999999999998</v>
      </c>
      <c r="J141">
        <v>2.4017377761383699E-2</v>
      </c>
      <c r="K141" t="s">
        <v>1066</v>
      </c>
      <c r="L141" t="s">
        <v>927</v>
      </c>
    </row>
    <row r="142" spans="1:12" x14ac:dyDescent="0.35">
      <c r="A142">
        <v>2.34535899973984E-2</v>
      </c>
      <c r="B142">
        <v>5.3706890981395999E-2</v>
      </c>
      <c r="C142">
        <v>3.69057460702173E-2</v>
      </c>
      <c r="D142">
        <v>3.4210597371460802E-2</v>
      </c>
      <c r="E142" t="s">
        <v>1578</v>
      </c>
      <c r="F142" t="s">
        <v>1438</v>
      </c>
      <c r="G142">
        <v>78.498000000000005</v>
      </c>
      <c r="H142">
        <v>9.1014269186271406E-3</v>
      </c>
      <c r="I142">
        <v>75.587999999999994</v>
      </c>
      <c r="J142">
        <v>8.4450670402240694E-3</v>
      </c>
      <c r="K142" t="s">
        <v>1067</v>
      </c>
      <c r="L142" t="s">
        <v>927</v>
      </c>
    </row>
    <row r="143" spans="1:12" x14ac:dyDescent="0.35">
      <c r="A143">
        <v>2.5499802950129401E-2</v>
      </c>
      <c r="B143">
        <v>3.6566859174503898E-2</v>
      </c>
      <c r="C143">
        <v>4.6392177019789503E-2</v>
      </c>
      <c r="D143">
        <v>7.7400259900339399E-2</v>
      </c>
      <c r="E143" t="s">
        <v>1579</v>
      </c>
      <c r="F143" t="s">
        <v>1438</v>
      </c>
      <c r="G143">
        <v>79.393000000000001</v>
      </c>
      <c r="H143">
        <v>1.14015643710668E-2</v>
      </c>
      <c r="I143">
        <v>77.010000000000005</v>
      </c>
      <c r="J143">
        <v>1.8812509922210102E-2</v>
      </c>
      <c r="K143" t="s">
        <v>1068</v>
      </c>
      <c r="L143" t="s">
        <v>927</v>
      </c>
    </row>
    <row r="144" spans="1:12" x14ac:dyDescent="0.35">
      <c r="A144">
        <v>4.3914132970667798E-2</v>
      </c>
      <c r="B144">
        <v>4.2425430776049898E-2</v>
      </c>
      <c r="C144">
        <v>5.93159029125543E-2</v>
      </c>
      <c r="D144">
        <v>9.2099438138909306E-2</v>
      </c>
      <c r="E144" t="s">
        <v>1580</v>
      </c>
      <c r="F144" t="s">
        <v>1438</v>
      </c>
      <c r="G144">
        <v>80.545000000000002</v>
      </c>
      <c r="H144">
        <v>1.45100953484565E-2</v>
      </c>
      <c r="I144">
        <v>78.724999999999994</v>
      </c>
      <c r="J144">
        <v>2.2269835086352399E-2</v>
      </c>
      <c r="K144" t="s">
        <v>1069</v>
      </c>
      <c r="L144" t="s">
        <v>927</v>
      </c>
    </row>
    <row r="145" spans="1:12" x14ac:dyDescent="0.35">
      <c r="A145">
        <v>3.2225013743436802E-2</v>
      </c>
      <c r="B145">
        <v>2.9052051363888599E-2</v>
      </c>
      <c r="C145">
        <v>6.9322056053448003E-2</v>
      </c>
      <c r="D145">
        <v>5.6967190258747399E-2</v>
      </c>
      <c r="E145" t="s">
        <v>1581</v>
      </c>
      <c r="F145" t="s">
        <v>1438</v>
      </c>
      <c r="G145">
        <v>81.906000000000006</v>
      </c>
      <c r="H145">
        <v>1.68973865541002E-2</v>
      </c>
      <c r="I145">
        <v>79.822999999999993</v>
      </c>
      <c r="J145">
        <v>1.39472848523341E-2</v>
      </c>
      <c r="K145" t="s">
        <v>1070</v>
      </c>
      <c r="L145" t="s">
        <v>927</v>
      </c>
    </row>
    <row r="146" spans="1:12" x14ac:dyDescent="0.35">
      <c r="A146">
        <v>2.0935342800184199E-2</v>
      </c>
      <c r="B146">
        <v>3.4093201961780999E-2</v>
      </c>
      <c r="C146">
        <v>2.9725271896635399E-2</v>
      </c>
      <c r="D146">
        <v>2.50876168066392E-2</v>
      </c>
      <c r="E146" t="s">
        <v>1582</v>
      </c>
      <c r="F146" t="s">
        <v>1438</v>
      </c>
      <c r="G146">
        <v>82.507999999999996</v>
      </c>
      <c r="H146">
        <v>7.3498888970282604E-3</v>
      </c>
      <c r="I146">
        <v>80.319000000000003</v>
      </c>
      <c r="J146">
        <v>6.2137479172670301E-3</v>
      </c>
      <c r="K146" t="s">
        <v>1071</v>
      </c>
      <c r="L146" t="s">
        <v>927</v>
      </c>
    </row>
    <row r="147" spans="1:12" x14ac:dyDescent="0.35">
      <c r="A147">
        <v>3.5555363218846101E-2</v>
      </c>
      <c r="B147">
        <v>2.8135458399094499E-2</v>
      </c>
      <c r="C147">
        <v>5.61203132204302E-2</v>
      </c>
      <c r="D147">
        <v>9.1105361450751501E-2</v>
      </c>
      <c r="E147" t="s">
        <v>1583</v>
      </c>
      <c r="F147" t="s">
        <v>1438</v>
      </c>
      <c r="G147">
        <v>83.641999999999996</v>
      </c>
      <c r="H147">
        <v>1.37441217821301E-2</v>
      </c>
      <c r="I147">
        <v>82.088999999999999</v>
      </c>
      <c r="J147">
        <v>2.20371269562618E-2</v>
      </c>
      <c r="K147" t="s">
        <v>1072</v>
      </c>
      <c r="L147" t="s">
        <v>927</v>
      </c>
    </row>
    <row r="148" spans="1:12" x14ac:dyDescent="0.35">
      <c r="A148">
        <v>2.9090990484891902E-2</v>
      </c>
      <c r="B148">
        <v>2.9966625510563099E-2</v>
      </c>
      <c r="C148">
        <v>3.6843754178801799E-2</v>
      </c>
      <c r="D148">
        <v>5.6869734933791702E-2</v>
      </c>
      <c r="E148" t="s">
        <v>1584</v>
      </c>
      <c r="F148" t="s">
        <v>1438</v>
      </c>
      <c r="G148">
        <v>84.402000000000001</v>
      </c>
      <c r="H148">
        <v>9.0863441811530592E-3</v>
      </c>
      <c r="I148">
        <v>83.231999999999999</v>
      </c>
      <c r="J148">
        <v>1.39239118517707E-2</v>
      </c>
      <c r="K148" t="s">
        <v>1073</v>
      </c>
      <c r="L148" t="s">
        <v>927</v>
      </c>
    </row>
    <row r="149" spans="1:12" x14ac:dyDescent="0.35">
      <c r="A149">
        <v>-6.5707467210734897E-3</v>
      </c>
      <c r="B149">
        <v>2.09838687014814E-2</v>
      </c>
      <c r="C149">
        <v>3.0338463665483501E-2</v>
      </c>
      <c r="D149">
        <v>9.7213617262259494E-2</v>
      </c>
      <c r="E149" t="s">
        <v>1585</v>
      </c>
      <c r="F149" t="s">
        <v>1438</v>
      </c>
      <c r="G149">
        <v>85.034999999999997</v>
      </c>
      <c r="H149">
        <v>7.4998222790929603E-3</v>
      </c>
      <c r="I149">
        <v>85.185000000000002</v>
      </c>
      <c r="J149">
        <v>2.34645328719723E-2</v>
      </c>
      <c r="K149" t="s">
        <v>1074</v>
      </c>
      <c r="L149" t="s">
        <v>927</v>
      </c>
    </row>
    <row r="150" spans="1:12" x14ac:dyDescent="0.35">
      <c r="A150">
        <v>3.7059917165470399E-2</v>
      </c>
      <c r="B150">
        <v>3.4651107406359301E-2</v>
      </c>
      <c r="C150">
        <v>7.2299496950969405E-2</v>
      </c>
      <c r="D150">
        <v>0.104792955269219</v>
      </c>
      <c r="E150" t="s">
        <v>1586</v>
      </c>
      <c r="F150" t="s">
        <v>1438</v>
      </c>
      <c r="G150">
        <v>86.531999999999996</v>
      </c>
      <c r="H150">
        <v>1.7604515787616799E-2</v>
      </c>
      <c r="I150">
        <v>87.334000000000003</v>
      </c>
      <c r="J150">
        <v>2.5227446146622E-2</v>
      </c>
      <c r="K150" t="s">
        <v>1075</v>
      </c>
      <c r="L150" t="s">
        <v>927</v>
      </c>
    </row>
    <row r="151" spans="1:12" x14ac:dyDescent="0.35">
      <c r="A151">
        <v>3.4406916686266602E-2</v>
      </c>
      <c r="B151">
        <v>3.2361806516408201E-2</v>
      </c>
      <c r="C151">
        <v>4.4022069506022297E-2</v>
      </c>
      <c r="D151">
        <v>4.2476788274359099E-2</v>
      </c>
      <c r="E151" t="s">
        <v>1587</v>
      </c>
      <c r="F151" t="s">
        <v>1438</v>
      </c>
      <c r="G151">
        <v>87.468999999999994</v>
      </c>
      <c r="H151">
        <v>1.0828364073406401E-2</v>
      </c>
      <c r="I151">
        <v>88.247</v>
      </c>
      <c r="J151">
        <v>1.0454118670849799E-2</v>
      </c>
      <c r="K151" t="s">
        <v>1076</v>
      </c>
      <c r="L151" t="s">
        <v>927</v>
      </c>
    </row>
    <row r="152" spans="1:12" x14ac:dyDescent="0.35">
      <c r="A152">
        <v>2.2795387185985401E-2</v>
      </c>
      <c r="B152">
        <v>2.78463672712683E-2</v>
      </c>
      <c r="C152">
        <v>4.5480126137950501E-2</v>
      </c>
      <c r="D152">
        <v>3.9088464000031499E-2</v>
      </c>
      <c r="E152" t="s">
        <v>1588</v>
      </c>
      <c r="F152" t="s">
        <v>1438</v>
      </c>
      <c r="G152">
        <v>88.447000000000003</v>
      </c>
      <c r="H152">
        <v>1.11811041626177E-2</v>
      </c>
      <c r="I152">
        <v>89.096999999999994</v>
      </c>
      <c r="J152">
        <v>9.6320554806394992E-3</v>
      </c>
      <c r="K152" t="s">
        <v>1077</v>
      </c>
      <c r="L152" t="s">
        <v>927</v>
      </c>
    </row>
    <row r="153" spans="1:12" x14ac:dyDescent="0.35">
      <c r="A153">
        <v>4.1308326629664098E-2</v>
      </c>
      <c r="B153">
        <v>3.2459146974833902E-2</v>
      </c>
      <c r="C153">
        <v>6.2039731527971001E-2</v>
      </c>
      <c r="D153">
        <v>4.7886506250196997E-2</v>
      </c>
      <c r="E153" t="s">
        <v>1589</v>
      </c>
      <c r="F153" t="s">
        <v>1438</v>
      </c>
      <c r="G153">
        <v>89.787999999999997</v>
      </c>
      <c r="H153">
        <v>1.51616222144335E-2</v>
      </c>
      <c r="I153">
        <v>90.144999999999996</v>
      </c>
      <c r="J153">
        <v>1.1762461137861099E-2</v>
      </c>
      <c r="K153" t="s">
        <v>1078</v>
      </c>
      <c r="L153" t="s">
        <v>927</v>
      </c>
    </row>
    <row r="154" spans="1:12" x14ac:dyDescent="0.35">
      <c r="A154">
        <v>3.2954987594988598E-2</v>
      </c>
      <c r="B154">
        <v>3.4144429632388298E-2</v>
      </c>
      <c r="C154">
        <v>7.23147883586404E-2</v>
      </c>
      <c r="D154">
        <v>3.8436409888859401E-2</v>
      </c>
      <c r="E154" t="s">
        <v>1590</v>
      </c>
      <c r="F154" t="s">
        <v>1438</v>
      </c>
      <c r="G154">
        <v>91.369</v>
      </c>
      <c r="H154">
        <v>1.7608143627210901E-2</v>
      </c>
      <c r="I154">
        <v>90.998999999999995</v>
      </c>
      <c r="J154">
        <v>9.4736258250596207E-3</v>
      </c>
      <c r="K154" t="s">
        <v>1079</v>
      </c>
      <c r="L154" t="s">
        <v>927</v>
      </c>
    </row>
    <row r="155" spans="1:12" x14ac:dyDescent="0.35">
      <c r="A155">
        <v>3.9493950261418401E-2</v>
      </c>
      <c r="B155">
        <v>4.1602053152730099E-2</v>
      </c>
      <c r="C155">
        <v>6.3263019462217004E-2</v>
      </c>
      <c r="D155">
        <v>3.1126430511134499E-2</v>
      </c>
      <c r="E155" t="s">
        <v>1591</v>
      </c>
      <c r="F155" t="s">
        <v>1438</v>
      </c>
      <c r="G155">
        <v>92.781000000000006</v>
      </c>
      <c r="H155">
        <v>1.5453819129026301E-2</v>
      </c>
      <c r="I155">
        <v>91.698999999999998</v>
      </c>
      <c r="J155">
        <v>7.6923922240903497E-3</v>
      </c>
      <c r="K155" t="s">
        <v>1080</v>
      </c>
      <c r="L155" t="s">
        <v>927</v>
      </c>
    </row>
    <row r="156" spans="1:12" x14ac:dyDescent="0.35">
      <c r="A156">
        <v>4.3386852489040402E-2</v>
      </c>
      <c r="B156">
        <v>3.03408157550791E-2</v>
      </c>
      <c r="C156">
        <v>5.52136316684275E-2</v>
      </c>
      <c r="D156">
        <v>5.2701497522020399E-2</v>
      </c>
      <c r="E156" t="s">
        <v>1592</v>
      </c>
      <c r="F156" t="s">
        <v>1438</v>
      </c>
      <c r="G156">
        <v>94.036000000000001</v>
      </c>
      <c r="H156">
        <v>1.35264763259719E-2</v>
      </c>
      <c r="I156">
        <v>92.884</v>
      </c>
      <c r="J156">
        <v>1.29227145334192E-2</v>
      </c>
      <c r="K156" t="s">
        <v>1081</v>
      </c>
      <c r="L156" t="s">
        <v>927</v>
      </c>
    </row>
    <row r="157" spans="1:12" x14ac:dyDescent="0.35">
      <c r="A157">
        <v>-6.2360196436278902E-2</v>
      </c>
      <c r="B157">
        <v>-1.8917326805224201E-2</v>
      </c>
      <c r="C157">
        <v>-7.4155067193705196E-2</v>
      </c>
      <c r="D157">
        <v>7.5335045349203197E-2</v>
      </c>
      <c r="E157" t="s">
        <v>1593</v>
      </c>
      <c r="F157" t="s">
        <v>1438</v>
      </c>
      <c r="G157">
        <v>92.242000000000004</v>
      </c>
      <c r="H157">
        <v>-1.9077799991492599E-2</v>
      </c>
      <c r="I157">
        <v>94.585999999999999</v>
      </c>
      <c r="J157">
        <v>1.8323930924594199E-2</v>
      </c>
      <c r="K157" t="s">
        <v>1082</v>
      </c>
      <c r="L157" t="s">
        <v>927</v>
      </c>
    </row>
    <row r="158" spans="1:12" x14ac:dyDescent="0.35">
      <c r="A158">
        <v>-2.6731212813050201E-2</v>
      </c>
      <c r="B158">
        <v>-3.3135327897025703E-2</v>
      </c>
      <c r="C158">
        <v>-6.8462037949067106E-2</v>
      </c>
      <c r="D158">
        <v>2.5185264843212301E-2</v>
      </c>
      <c r="E158" t="s">
        <v>1594</v>
      </c>
      <c r="F158" t="s">
        <v>1438</v>
      </c>
      <c r="G158">
        <v>90.620999999999995</v>
      </c>
      <c r="H158">
        <v>-1.7573339693415201E-2</v>
      </c>
      <c r="I158">
        <v>95.176000000000002</v>
      </c>
      <c r="J158">
        <v>6.2377095976149403E-3</v>
      </c>
      <c r="K158" t="s">
        <v>1083</v>
      </c>
      <c r="L158" t="s">
        <v>927</v>
      </c>
    </row>
    <row r="159" spans="1:12" x14ac:dyDescent="0.35">
      <c r="A159">
        <v>1.6004255010514602E-2</v>
      </c>
      <c r="B159">
        <v>7.2471101838833497E-4</v>
      </c>
      <c r="C159">
        <v>1.9832196265286098E-2</v>
      </c>
      <c r="D159">
        <v>-3.4674689642026801E-2</v>
      </c>
      <c r="E159" t="s">
        <v>1595</v>
      </c>
      <c r="F159" t="s">
        <v>1438</v>
      </c>
      <c r="G159">
        <v>91.066999999999993</v>
      </c>
      <c r="H159">
        <v>4.9215965394333603E-3</v>
      </c>
      <c r="I159">
        <v>94.34</v>
      </c>
      <c r="J159">
        <v>-8.7837269899974108E-3</v>
      </c>
      <c r="K159" t="s">
        <v>1084</v>
      </c>
      <c r="L159" t="s">
        <v>927</v>
      </c>
    </row>
    <row r="160" spans="1:12" x14ac:dyDescent="0.35">
      <c r="A160">
        <v>2.78350080421834E-2</v>
      </c>
      <c r="B160">
        <v>1.22854862155337E-2</v>
      </c>
      <c r="C160">
        <v>3.47933032481611E-2</v>
      </c>
      <c r="D160">
        <v>-3.55556982427905E-2</v>
      </c>
      <c r="E160" t="s">
        <v>1596</v>
      </c>
      <c r="F160" t="s">
        <v>1438</v>
      </c>
      <c r="G160">
        <v>91.849000000000004</v>
      </c>
      <c r="H160">
        <v>8.5870842346844594E-3</v>
      </c>
      <c r="I160">
        <v>93.49</v>
      </c>
      <c r="J160">
        <v>-9.0099639601441996E-3</v>
      </c>
      <c r="K160" t="s">
        <v>1085</v>
      </c>
      <c r="L160" t="s">
        <v>927</v>
      </c>
    </row>
    <row r="161" spans="1:12" x14ac:dyDescent="0.35">
      <c r="A161">
        <v>3.1240948480233E-2</v>
      </c>
      <c r="B161">
        <v>3.11127095791379E-2</v>
      </c>
      <c r="C161">
        <v>3.76238534925952E-2</v>
      </c>
      <c r="D161">
        <v>-3.0769865450653898E-3</v>
      </c>
      <c r="E161" t="s">
        <v>1597</v>
      </c>
      <c r="F161" t="s">
        <v>1438</v>
      </c>
      <c r="G161">
        <v>92.700999999999993</v>
      </c>
      <c r="H161">
        <v>9.2760944593843798E-3</v>
      </c>
      <c r="I161">
        <v>93.418000000000006</v>
      </c>
      <c r="J161">
        <v>-7.7013584340557305E-4</v>
      </c>
      <c r="K161" t="s">
        <v>1086</v>
      </c>
      <c r="L161" t="s">
        <v>927</v>
      </c>
    </row>
    <row r="162" spans="1:12" x14ac:dyDescent="0.35">
      <c r="A162">
        <v>1.5538458112328299E-2</v>
      </c>
      <c r="B162">
        <v>2.5706833981413501E-2</v>
      </c>
      <c r="C162">
        <v>4.6975487060338501E-2</v>
      </c>
      <c r="D162">
        <v>1.13952226394907E-2</v>
      </c>
      <c r="E162" t="s">
        <v>1598</v>
      </c>
      <c r="F162" t="s">
        <v>1438</v>
      </c>
      <c r="G162">
        <v>93.771000000000001</v>
      </c>
      <c r="H162">
        <v>1.15424860573241E-2</v>
      </c>
      <c r="I162">
        <v>93.683000000000007</v>
      </c>
      <c r="J162">
        <v>2.8367124108843499E-3</v>
      </c>
      <c r="K162" t="s">
        <v>1087</v>
      </c>
      <c r="L162" t="s">
        <v>927</v>
      </c>
    </row>
    <row r="163" spans="1:12" x14ac:dyDescent="0.35">
      <c r="A163">
        <v>6.2204942357442202E-3</v>
      </c>
      <c r="B163">
        <v>3.1017939025557401E-2</v>
      </c>
      <c r="C163">
        <v>2.9062361366274402E-2</v>
      </c>
      <c r="D163">
        <v>1.7491325837778699E-2</v>
      </c>
      <c r="E163" t="s">
        <v>1599</v>
      </c>
      <c r="F163" t="s">
        <v>1438</v>
      </c>
      <c r="G163">
        <v>94.444999999999993</v>
      </c>
      <c r="H163">
        <v>7.18772328331774E-3</v>
      </c>
      <c r="I163">
        <v>94.09</v>
      </c>
      <c r="J163">
        <v>4.3444381584705196E-3</v>
      </c>
      <c r="K163" t="s">
        <v>1088</v>
      </c>
      <c r="L163" t="s">
        <v>927</v>
      </c>
    </row>
    <row r="164" spans="1:12" x14ac:dyDescent="0.35">
      <c r="A164">
        <v>7.72594376628044E-3</v>
      </c>
      <c r="B164">
        <v>1.59750935835106E-2</v>
      </c>
      <c r="C164">
        <v>2.3067349052007899E-2</v>
      </c>
      <c r="D164">
        <v>1.2643202128826501E-2</v>
      </c>
      <c r="E164" t="s">
        <v>1600</v>
      </c>
      <c r="F164" t="s">
        <v>1438</v>
      </c>
      <c r="G164">
        <v>94.984999999999999</v>
      </c>
      <c r="H164">
        <v>5.7176134258034601E-3</v>
      </c>
      <c r="I164">
        <v>94.385999999999996</v>
      </c>
      <c r="J164">
        <v>3.1459241152087501E-3</v>
      </c>
      <c r="K164" t="s">
        <v>1089</v>
      </c>
      <c r="L164" t="s">
        <v>927</v>
      </c>
    </row>
    <row r="165" spans="1:12" x14ac:dyDescent="0.35">
      <c r="A165">
        <v>2.5862689650447499E-2</v>
      </c>
      <c r="B165">
        <v>3.29452826155043E-2</v>
      </c>
      <c r="C165">
        <v>3.7879756208726099E-2</v>
      </c>
      <c r="D165">
        <v>1.8090208281751299E-2</v>
      </c>
      <c r="E165" t="s">
        <v>1601</v>
      </c>
      <c r="F165" t="s">
        <v>1438</v>
      </c>
      <c r="G165">
        <v>95.872</v>
      </c>
      <c r="H165">
        <v>9.3383165763014607E-3</v>
      </c>
      <c r="I165">
        <v>94.81</v>
      </c>
      <c r="J165">
        <v>4.4921916385904899E-3</v>
      </c>
      <c r="K165" t="s">
        <v>1090</v>
      </c>
      <c r="L165" t="s">
        <v>927</v>
      </c>
    </row>
    <row r="166" spans="1:12" x14ac:dyDescent="0.35">
      <c r="A166">
        <v>3.4016266815046298E-2</v>
      </c>
      <c r="B166">
        <v>3.64259738306612E-2</v>
      </c>
      <c r="C166">
        <v>4.5137017344844002E-2</v>
      </c>
      <c r="D166">
        <v>2.4394704867924499E-2</v>
      </c>
      <c r="E166" t="s">
        <v>1602</v>
      </c>
      <c r="F166" t="s">
        <v>1438</v>
      </c>
      <c r="G166">
        <v>96.936000000000007</v>
      </c>
      <c r="H166">
        <v>1.10981308411215E-2</v>
      </c>
      <c r="I166">
        <v>95.382999999999996</v>
      </c>
      <c r="J166">
        <v>6.0436662799281402E-3</v>
      </c>
      <c r="K166" t="s">
        <v>1091</v>
      </c>
      <c r="L166" t="s">
        <v>927</v>
      </c>
    </row>
    <row r="167" spans="1:12" x14ac:dyDescent="0.35">
      <c r="A167">
        <v>3.9906323464895102E-2</v>
      </c>
      <c r="B167">
        <v>3.6682670107609103E-2</v>
      </c>
      <c r="C167">
        <v>5.0829697512543702E-2</v>
      </c>
      <c r="D167">
        <v>4.1043493786856698E-2</v>
      </c>
      <c r="E167" t="s">
        <v>1603</v>
      </c>
      <c r="F167" t="s">
        <v>1438</v>
      </c>
      <c r="G167">
        <v>98.144999999999996</v>
      </c>
      <c r="H167">
        <v>1.24721465709332E-2</v>
      </c>
      <c r="I167">
        <v>96.346999999999994</v>
      </c>
      <c r="J167">
        <v>1.01066227734501E-2</v>
      </c>
      <c r="K167" t="s">
        <v>1092</v>
      </c>
      <c r="L167" t="s">
        <v>927</v>
      </c>
    </row>
    <row r="168" spans="1:12" x14ac:dyDescent="0.35">
      <c r="A168">
        <v>1.8640626124373699E-2</v>
      </c>
      <c r="B168">
        <v>1.39908352832361E-2</v>
      </c>
      <c r="C168">
        <v>1.5247657751557699E-2</v>
      </c>
      <c r="D168">
        <v>4.5983903903995101E-2</v>
      </c>
      <c r="E168" t="s">
        <v>1604</v>
      </c>
      <c r="F168" t="s">
        <v>1438</v>
      </c>
      <c r="G168">
        <v>98.516999999999996</v>
      </c>
      <c r="H168">
        <v>3.7903102552345699E-3</v>
      </c>
      <c r="I168">
        <v>97.436000000000007</v>
      </c>
      <c r="J168">
        <v>1.13028947450362E-2</v>
      </c>
      <c r="K168" t="s">
        <v>1093</v>
      </c>
      <c r="L168" t="s">
        <v>927</v>
      </c>
    </row>
    <row r="169" spans="1:12" x14ac:dyDescent="0.35">
      <c r="A169">
        <v>1.32561299755005E-2</v>
      </c>
      <c r="B169">
        <v>-5.33618345022691E-3</v>
      </c>
      <c r="C169">
        <v>-1.40950235359611E-2</v>
      </c>
      <c r="D169">
        <v>3.8137779822804398E-2</v>
      </c>
      <c r="E169" t="s">
        <v>1605</v>
      </c>
      <c r="F169" t="s">
        <v>1438</v>
      </c>
      <c r="G169">
        <v>98.168000000000006</v>
      </c>
      <c r="H169">
        <v>-3.54253580600294E-3</v>
      </c>
      <c r="I169">
        <v>98.352000000000004</v>
      </c>
      <c r="J169">
        <v>9.4010427357444897E-3</v>
      </c>
      <c r="K169" t="s">
        <v>1094</v>
      </c>
      <c r="L169" t="s">
        <v>927</v>
      </c>
    </row>
    <row r="170" spans="1:12" x14ac:dyDescent="0.35">
      <c r="A170">
        <v>2.6761481120787502E-2</v>
      </c>
      <c r="B170">
        <v>1.39201532997375E-2</v>
      </c>
      <c r="C170">
        <v>5.4116713606157101E-2</v>
      </c>
      <c r="D170">
        <v>3.0312571909831599E-2</v>
      </c>
      <c r="E170" t="s">
        <v>1606</v>
      </c>
      <c r="F170" t="s">
        <v>1438</v>
      </c>
      <c r="G170">
        <v>99.47</v>
      </c>
      <c r="H170">
        <v>1.32629777524242E-2</v>
      </c>
      <c r="I170">
        <v>99.088999999999999</v>
      </c>
      <c r="J170">
        <v>7.4934927606962196E-3</v>
      </c>
      <c r="K170" t="s">
        <v>1095</v>
      </c>
      <c r="L170" t="s">
        <v>927</v>
      </c>
    </row>
    <row r="171" spans="1:12" x14ac:dyDescent="0.35">
      <c r="A171">
        <v>9.7203652064314899E-3</v>
      </c>
      <c r="B171">
        <v>8.8550245823753003E-3</v>
      </c>
      <c r="C171">
        <v>-6.9787462524018001E-3</v>
      </c>
      <c r="D171">
        <v>3.2273930792219303E-2</v>
      </c>
      <c r="E171" t="s">
        <v>1607</v>
      </c>
      <c r="F171" t="s">
        <v>1438</v>
      </c>
      <c r="G171">
        <v>99.296000000000006</v>
      </c>
      <c r="H171">
        <v>-1.7492711370261599E-3</v>
      </c>
      <c r="I171">
        <v>99.879000000000005</v>
      </c>
      <c r="J171">
        <v>7.9726306653615797E-3</v>
      </c>
      <c r="K171" t="s">
        <v>1096</v>
      </c>
      <c r="L171" t="s">
        <v>927</v>
      </c>
    </row>
    <row r="172" spans="1:12" x14ac:dyDescent="0.35">
      <c r="A172">
        <v>1.1676944984941699E-2</v>
      </c>
      <c r="B172">
        <v>7.7077122555302396E-3</v>
      </c>
      <c r="C172">
        <v>2.44311343320835E-2</v>
      </c>
      <c r="D172">
        <v>2.17207841742009E-2</v>
      </c>
      <c r="E172" t="s">
        <v>1608</v>
      </c>
      <c r="F172" t="s">
        <v>1438</v>
      </c>
      <c r="G172">
        <v>99.897000000000006</v>
      </c>
      <c r="H172">
        <v>6.0526103770543998E-3</v>
      </c>
      <c r="I172">
        <v>100.417</v>
      </c>
      <c r="J172">
        <v>5.3865176864005297E-3</v>
      </c>
      <c r="K172" t="s">
        <v>1097</v>
      </c>
      <c r="L172" t="s">
        <v>927</v>
      </c>
    </row>
    <row r="173" spans="1:12" x14ac:dyDescent="0.35">
      <c r="A173">
        <v>2.2614716677978E-2</v>
      </c>
      <c r="B173">
        <v>4.9632662336496196E-3</v>
      </c>
      <c r="C173">
        <v>5.8918140200379103E-2</v>
      </c>
      <c r="D173">
        <v>7.9104688711333394E-3</v>
      </c>
      <c r="E173" t="s">
        <v>1609</v>
      </c>
      <c r="F173" t="s">
        <v>1438</v>
      </c>
      <c r="G173">
        <v>101.337</v>
      </c>
      <c r="H173">
        <v>1.4414847292711501E-2</v>
      </c>
      <c r="I173">
        <v>100.61499999999999</v>
      </c>
      <c r="J173">
        <v>1.9717776870449301E-3</v>
      </c>
      <c r="K173" t="s">
        <v>1098</v>
      </c>
      <c r="L173" t="s">
        <v>927</v>
      </c>
    </row>
    <row r="174" spans="1:12" x14ac:dyDescent="0.35">
      <c r="A174">
        <v>1.45079389824292E-2</v>
      </c>
      <c r="B174">
        <v>-1.9949826125076301E-4</v>
      </c>
      <c r="C174">
        <v>5.3376513955371498E-2</v>
      </c>
      <c r="D174">
        <v>1.6319173615011201E-2</v>
      </c>
      <c r="E174" t="s">
        <v>1610</v>
      </c>
      <c r="F174" t="s">
        <v>1438</v>
      </c>
      <c r="G174">
        <v>102.663</v>
      </c>
      <c r="H174">
        <v>1.3085052843482501E-2</v>
      </c>
      <c r="I174">
        <v>101.023</v>
      </c>
      <c r="J174">
        <v>4.05506137255873E-3</v>
      </c>
      <c r="K174" t="s">
        <v>1099</v>
      </c>
      <c r="L174" t="s">
        <v>927</v>
      </c>
    </row>
    <row r="175" spans="1:12" x14ac:dyDescent="0.35">
      <c r="A175">
        <v>2.8548469670495202E-3</v>
      </c>
      <c r="B175">
        <v>7.9245575399269404E-3</v>
      </c>
      <c r="C175">
        <v>2.14833879994034E-2</v>
      </c>
      <c r="D175">
        <v>2.0547855013869399E-2</v>
      </c>
      <c r="E175" t="s">
        <v>1611</v>
      </c>
      <c r="F175" t="s">
        <v>1438</v>
      </c>
      <c r="G175">
        <v>103.21</v>
      </c>
      <c r="H175">
        <v>5.3281123676494103E-3</v>
      </c>
      <c r="I175">
        <v>101.538</v>
      </c>
      <c r="J175">
        <v>5.0978490046820202E-3</v>
      </c>
      <c r="K175" t="s">
        <v>1100</v>
      </c>
      <c r="L175" t="s">
        <v>927</v>
      </c>
    </row>
    <row r="176" spans="1:12" x14ac:dyDescent="0.35">
      <c r="A176">
        <v>1.6326843500240801E-2</v>
      </c>
      <c r="B176">
        <v>1.3006397529373E-2</v>
      </c>
      <c r="C176">
        <v>3.4225885044726997E-2</v>
      </c>
      <c r="D176">
        <v>2.1723337040250802E-2</v>
      </c>
      <c r="E176" t="s">
        <v>1612</v>
      </c>
      <c r="F176" t="s">
        <v>1438</v>
      </c>
      <c r="G176">
        <v>104.08199999999999</v>
      </c>
      <c r="H176">
        <v>8.4487937215385108E-3</v>
      </c>
      <c r="I176">
        <v>102.08499999999999</v>
      </c>
      <c r="J176">
        <v>5.3871456991470001E-3</v>
      </c>
      <c r="K176" t="s">
        <v>1101</v>
      </c>
      <c r="L176" t="s">
        <v>927</v>
      </c>
    </row>
    <row r="177" spans="1:12" x14ac:dyDescent="0.35">
      <c r="A177">
        <v>1.6859105016114002E-2</v>
      </c>
      <c r="B177">
        <v>6.2259222369993199E-2</v>
      </c>
      <c r="C177">
        <v>2.1461497744286601E-2</v>
      </c>
      <c r="D177">
        <v>3.0554089712781E-2</v>
      </c>
      <c r="E177" t="s">
        <v>1613</v>
      </c>
      <c r="F177" t="s">
        <v>1438</v>
      </c>
      <c r="G177">
        <v>104.636</v>
      </c>
      <c r="H177">
        <v>5.3227263119464104E-3</v>
      </c>
      <c r="I177">
        <v>102.85599999999999</v>
      </c>
      <c r="J177">
        <v>7.55252975461618E-3</v>
      </c>
      <c r="K177" t="s">
        <v>1102</v>
      </c>
      <c r="L177" t="s">
        <v>927</v>
      </c>
    </row>
    <row r="178" spans="1:12" x14ac:dyDescent="0.35">
      <c r="A178">
        <v>1.93744928521071E-2</v>
      </c>
      <c r="B178">
        <v>-1.02831916231174E-2</v>
      </c>
      <c r="C178">
        <v>3.4027993671362999E-2</v>
      </c>
      <c r="D178">
        <v>2.27077607090642E-2</v>
      </c>
      <c r="E178" t="s">
        <v>1614</v>
      </c>
      <c r="F178" t="s">
        <v>1438</v>
      </c>
      <c r="G178">
        <v>105.515</v>
      </c>
      <c r="H178">
        <v>8.4005504797584098E-3</v>
      </c>
      <c r="I178">
        <v>103.435</v>
      </c>
      <c r="J178">
        <v>5.6292292136579398E-3</v>
      </c>
      <c r="K178" t="s">
        <v>1103</v>
      </c>
      <c r="L178" t="s">
        <v>927</v>
      </c>
    </row>
    <row r="179" spans="1:12" x14ac:dyDescent="0.35">
      <c r="A179">
        <v>2.0192934056340501E-2</v>
      </c>
      <c r="B179">
        <v>1.7798477087045E-2</v>
      </c>
      <c r="C179">
        <v>1.2683683496116101E-2</v>
      </c>
      <c r="D179">
        <v>1.8378329285591199E-2</v>
      </c>
      <c r="E179" t="s">
        <v>1615</v>
      </c>
      <c r="F179" t="s">
        <v>1438</v>
      </c>
      <c r="G179">
        <v>105.848</v>
      </c>
      <c r="H179">
        <v>3.1559493910817702E-3</v>
      </c>
      <c r="I179">
        <v>103.907</v>
      </c>
      <c r="J179">
        <v>4.5632522840430801E-3</v>
      </c>
      <c r="K179" t="s">
        <v>1104</v>
      </c>
      <c r="L179" t="s">
        <v>927</v>
      </c>
    </row>
    <row r="180" spans="1:12" x14ac:dyDescent="0.35">
      <c r="A180">
        <v>1.13601398604235E-2</v>
      </c>
      <c r="B180">
        <v>1.8827452214838801E-2</v>
      </c>
      <c r="C180">
        <v>2.3098181930942801E-2</v>
      </c>
      <c r="D180">
        <v>1.94654703730235E-2</v>
      </c>
      <c r="E180" t="s">
        <v>1616</v>
      </c>
      <c r="F180" t="s">
        <v>1438</v>
      </c>
      <c r="G180">
        <v>106.45399999999999</v>
      </c>
      <c r="H180">
        <v>5.7251908396946903E-3</v>
      </c>
      <c r="I180">
        <v>104.40900000000001</v>
      </c>
      <c r="J180">
        <v>4.8312433233566E-3</v>
      </c>
      <c r="K180" t="s">
        <v>1105</v>
      </c>
      <c r="L180" t="s">
        <v>927</v>
      </c>
    </row>
    <row r="181" spans="1:12" x14ac:dyDescent="0.35">
      <c r="A181">
        <v>-4.6048768205230201E-3</v>
      </c>
      <c r="B181">
        <v>5.3720415632923001E-3</v>
      </c>
      <c r="C181">
        <v>-3.1150724387948299E-3</v>
      </c>
      <c r="D181">
        <v>7.0678568534106E-3</v>
      </c>
      <c r="E181" t="s">
        <v>1617</v>
      </c>
      <c r="F181" t="s">
        <v>1438</v>
      </c>
      <c r="G181">
        <v>106.371</v>
      </c>
      <c r="H181">
        <v>-7.7967948597512703E-4</v>
      </c>
      <c r="I181">
        <v>104.593</v>
      </c>
      <c r="J181">
        <v>1.76230018484991E-3</v>
      </c>
      <c r="K181" t="s">
        <v>1106</v>
      </c>
      <c r="L181" t="s">
        <v>927</v>
      </c>
    </row>
    <row r="182" spans="1:12" x14ac:dyDescent="0.35">
      <c r="A182">
        <v>-1.65067373701384E-2</v>
      </c>
      <c r="B182">
        <v>-6.4248737444822001E-3</v>
      </c>
      <c r="C182">
        <v>-3.9305105462135198E-2</v>
      </c>
      <c r="D182">
        <v>-1.18502082280647E-3</v>
      </c>
      <c r="E182" t="s">
        <v>1618</v>
      </c>
      <c r="F182" t="s">
        <v>1438</v>
      </c>
      <c r="G182">
        <v>105.31</v>
      </c>
      <c r="H182">
        <v>-9.9745231313045392E-3</v>
      </c>
      <c r="I182">
        <v>104.562</v>
      </c>
      <c r="J182">
        <v>-2.9638694750133698E-4</v>
      </c>
      <c r="K182" t="s">
        <v>1107</v>
      </c>
      <c r="L182" t="s">
        <v>927</v>
      </c>
    </row>
    <row r="183" spans="1:12" x14ac:dyDescent="0.35">
      <c r="A183">
        <v>1.9548766403745001E-2</v>
      </c>
      <c r="B183">
        <v>7.87290366046434E-3</v>
      </c>
      <c r="C183">
        <v>2.82887807392058E-2</v>
      </c>
      <c r="D183">
        <v>1.76749178700988E-2</v>
      </c>
      <c r="E183" t="s">
        <v>1619</v>
      </c>
      <c r="F183" t="s">
        <v>1438</v>
      </c>
      <c r="G183">
        <v>106.047</v>
      </c>
      <c r="H183">
        <v>6.9983857183553199E-3</v>
      </c>
      <c r="I183">
        <v>105.021</v>
      </c>
      <c r="J183">
        <v>4.3897400585299904E-3</v>
      </c>
      <c r="K183" t="s">
        <v>1108</v>
      </c>
      <c r="L183" t="s">
        <v>927</v>
      </c>
    </row>
    <row r="184" spans="1:12" x14ac:dyDescent="0.35">
      <c r="A184">
        <v>9.6917092109320997E-3</v>
      </c>
      <c r="B184">
        <v>6.1419866574232698E-3</v>
      </c>
      <c r="C184">
        <v>2.4162101667697402E-3</v>
      </c>
      <c r="D184">
        <v>1.1398511762960899E-2</v>
      </c>
      <c r="E184" t="s">
        <v>1620</v>
      </c>
      <c r="F184" t="s">
        <v>1438</v>
      </c>
      <c r="G184">
        <v>106.111</v>
      </c>
      <c r="H184">
        <v>6.0350599262592997E-4</v>
      </c>
      <c r="I184">
        <v>105.319</v>
      </c>
      <c r="J184">
        <v>2.8375277325487498E-3</v>
      </c>
      <c r="K184" t="s">
        <v>1109</v>
      </c>
      <c r="L184" t="s">
        <v>927</v>
      </c>
    </row>
    <row r="185" spans="1:12" x14ac:dyDescent="0.35">
      <c r="A185">
        <v>-3.9403871252573497E-3</v>
      </c>
      <c r="B185">
        <v>-3.1716537268759999E-3</v>
      </c>
      <c r="C185">
        <v>-1.5664221695060501E-2</v>
      </c>
      <c r="D185">
        <v>-2.2010123911118101E-3</v>
      </c>
      <c r="E185" t="s">
        <v>1621</v>
      </c>
      <c r="F185" t="s">
        <v>1438</v>
      </c>
      <c r="G185">
        <v>105.693</v>
      </c>
      <c r="H185">
        <v>-3.9392711405981098E-3</v>
      </c>
      <c r="I185">
        <v>105.261</v>
      </c>
      <c r="J185">
        <v>-5.5070784948596497E-4</v>
      </c>
      <c r="K185" t="s">
        <v>1110</v>
      </c>
      <c r="L185" t="s">
        <v>927</v>
      </c>
    </row>
    <row r="186" spans="1:12" x14ac:dyDescent="0.35">
      <c r="A186">
        <v>2.1316685833889801E-3</v>
      </c>
      <c r="B186">
        <v>-9.9615046560082004E-3</v>
      </c>
      <c r="C186">
        <v>-3.3665208430493802E-2</v>
      </c>
      <c r="D186">
        <v>-9.6550430027560995E-3</v>
      </c>
      <c r="E186" t="s">
        <v>1622</v>
      </c>
      <c r="F186" t="s">
        <v>1438</v>
      </c>
      <c r="G186">
        <v>104.792</v>
      </c>
      <c r="H186">
        <v>-8.5246894307096106E-3</v>
      </c>
      <c r="I186">
        <v>105.006</v>
      </c>
      <c r="J186">
        <v>-2.4225496622680702E-3</v>
      </c>
      <c r="K186" t="s">
        <v>1111</v>
      </c>
      <c r="L186" t="s">
        <v>927</v>
      </c>
    </row>
    <row r="187" spans="1:12" x14ac:dyDescent="0.35">
      <c r="A187">
        <v>2.5357857709627601E-2</v>
      </c>
      <c r="B187">
        <v>2.1698746196001199E-2</v>
      </c>
      <c r="C187">
        <v>3.0770998377488399E-2</v>
      </c>
      <c r="D187">
        <v>3.3008554152673703E-2</v>
      </c>
      <c r="E187" t="s">
        <v>1623</v>
      </c>
      <c r="F187" t="s">
        <v>1438</v>
      </c>
      <c r="G187">
        <v>105.589</v>
      </c>
      <c r="H187">
        <v>7.6055424078174099E-3</v>
      </c>
      <c r="I187">
        <v>105.86199999999999</v>
      </c>
      <c r="J187">
        <v>8.1519151286593202E-3</v>
      </c>
      <c r="K187" t="s">
        <v>1112</v>
      </c>
      <c r="L187" t="s">
        <v>927</v>
      </c>
    </row>
    <row r="188" spans="1:12" x14ac:dyDescent="0.35">
      <c r="A188">
        <v>1.5085753101185199E-2</v>
      </c>
      <c r="B188">
        <v>1.5625918949128799E-2</v>
      </c>
      <c r="C188">
        <v>1.5469326265677499E-2</v>
      </c>
      <c r="D188">
        <v>3.0262315011426702E-3</v>
      </c>
      <c r="E188" t="s">
        <v>1624</v>
      </c>
      <c r="F188" t="s">
        <v>1438</v>
      </c>
      <c r="G188">
        <v>105.995</v>
      </c>
      <c r="H188">
        <v>3.8450975006867299E-3</v>
      </c>
      <c r="I188">
        <v>105.94199999999999</v>
      </c>
      <c r="J188">
        <v>7.5570081804610101E-4</v>
      </c>
      <c r="K188" t="s">
        <v>1113</v>
      </c>
      <c r="L188" t="s">
        <v>927</v>
      </c>
    </row>
    <row r="189" spans="1:12" x14ac:dyDescent="0.35">
      <c r="A189">
        <v>1.9065277405527499E-2</v>
      </c>
      <c r="B189">
        <v>1.9426037707255001E-2</v>
      </c>
      <c r="C189">
        <v>1.98067429774604E-2</v>
      </c>
      <c r="D189">
        <v>1.9471921944120799E-2</v>
      </c>
      <c r="E189" t="s">
        <v>1625</v>
      </c>
      <c r="F189" t="s">
        <v>1438</v>
      </c>
      <c r="G189">
        <v>106.51600000000001</v>
      </c>
      <c r="H189">
        <v>4.9153261946317502E-3</v>
      </c>
      <c r="I189">
        <v>106.45399999999999</v>
      </c>
      <c r="J189">
        <v>4.8328330595985803E-3</v>
      </c>
      <c r="K189" t="s">
        <v>1114</v>
      </c>
      <c r="L189" t="s">
        <v>927</v>
      </c>
    </row>
    <row r="190" spans="1:12" x14ac:dyDescent="0.35">
      <c r="A190">
        <v>2.3896314746341098E-2</v>
      </c>
      <c r="B190">
        <v>1.9409885132803301E-2</v>
      </c>
      <c r="C190">
        <v>3.9514900887574103E-2</v>
      </c>
      <c r="D190">
        <v>2.7099611156277601E-2</v>
      </c>
      <c r="E190" t="s">
        <v>1626</v>
      </c>
      <c r="F190" t="s">
        <v>1438</v>
      </c>
      <c r="G190">
        <v>107.53400000000001</v>
      </c>
      <c r="H190">
        <v>9.5572496150813108E-3</v>
      </c>
      <c r="I190">
        <v>107.188</v>
      </c>
      <c r="J190">
        <v>6.8949969000695601E-3</v>
      </c>
      <c r="K190" t="s">
        <v>1115</v>
      </c>
      <c r="L190" t="s">
        <v>927</v>
      </c>
    </row>
    <row r="191" spans="1:12" x14ac:dyDescent="0.35">
      <c r="A191">
        <v>9.9328007831764892E-3</v>
      </c>
      <c r="B191">
        <v>1.3103273651826199E-2</v>
      </c>
      <c r="C191">
        <v>9.0306358829268501E-3</v>
      </c>
      <c r="D191">
        <v>2.1521193573355E-2</v>
      </c>
      <c r="E191" t="s">
        <v>1627</v>
      </c>
      <c r="F191" t="s">
        <v>1438</v>
      </c>
      <c r="G191">
        <v>107.80200000000001</v>
      </c>
      <c r="H191">
        <v>2.49223501404217E-3</v>
      </c>
      <c r="I191">
        <v>107.712</v>
      </c>
      <c r="J191">
        <v>4.8886069336120403E-3</v>
      </c>
      <c r="K191" t="s">
        <v>1116</v>
      </c>
      <c r="L191" t="s">
        <v>927</v>
      </c>
    </row>
    <row r="192" spans="1:12" x14ac:dyDescent="0.35">
      <c r="A192">
        <v>1.4603017582518699E-2</v>
      </c>
      <c r="B192">
        <v>1.7788818797953999E-2</v>
      </c>
      <c r="C192">
        <v>3.6635495652026999E-2</v>
      </c>
      <c r="D192">
        <v>3.6311211479282998E-2</v>
      </c>
      <c r="E192" t="s">
        <v>1628</v>
      </c>
      <c r="F192" t="s">
        <v>1438</v>
      </c>
      <c r="G192">
        <v>108.785</v>
      </c>
      <c r="H192">
        <v>9.1185692287711895E-3</v>
      </c>
      <c r="I192">
        <v>108.676</v>
      </c>
      <c r="J192">
        <v>8.94979203802726E-3</v>
      </c>
      <c r="K192" t="s">
        <v>1117</v>
      </c>
      <c r="L192" t="s">
        <v>927</v>
      </c>
    </row>
    <row r="193" spans="1:12" x14ac:dyDescent="0.35">
      <c r="A193">
        <v>2.5719713356744601E-2</v>
      </c>
      <c r="B193">
        <v>2.90667642529692E-2</v>
      </c>
      <c r="C193">
        <v>5.7042627848445E-2</v>
      </c>
      <c r="D193">
        <v>2.3197124388088401E-2</v>
      </c>
      <c r="E193" t="s">
        <v>1629</v>
      </c>
      <c r="F193" t="s">
        <v>1438</v>
      </c>
      <c r="G193">
        <v>110.252</v>
      </c>
      <c r="H193">
        <v>1.3485315071011699E-2</v>
      </c>
      <c r="I193">
        <v>109.285</v>
      </c>
      <c r="J193">
        <v>5.6038131694209304E-3</v>
      </c>
      <c r="K193" t="s">
        <v>1118</v>
      </c>
      <c r="L193" t="s">
        <v>927</v>
      </c>
    </row>
    <row r="194" spans="1:12" x14ac:dyDescent="0.35">
      <c r="A194">
        <v>2.9147369447939799E-2</v>
      </c>
      <c r="B194">
        <v>4.11537159385129E-2</v>
      </c>
      <c r="C194">
        <v>5.2316315130779299E-2</v>
      </c>
      <c r="D194">
        <v>3.8107075575473298E-2</v>
      </c>
      <c r="E194" t="s">
        <v>1630</v>
      </c>
      <c r="F194" t="s">
        <v>1438</v>
      </c>
      <c r="G194">
        <v>111.627</v>
      </c>
      <c r="H194">
        <v>1.24714290897217E-2</v>
      </c>
      <c r="I194">
        <v>110.291</v>
      </c>
      <c r="J194">
        <v>9.2052889234570702E-3</v>
      </c>
      <c r="K194" t="s">
        <v>1119</v>
      </c>
      <c r="L194" t="s">
        <v>927</v>
      </c>
    </row>
    <row r="195" spans="1:12" x14ac:dyDescent="0.35">
      <c r="A195">
        <v>2.1663179127611398E-2</v>
      </c>
      <c r="B195">
        <v>2.95524402709311E-2</v>
      </c>
      <c r="C195">
        <v>4.1414814571916599E-2</v>
      </c>
      <c r="D195">
        <v>5.71493007542314E-2</v>
      </c>
      <c r="E195" t="s">
        <v>1631</v>
      </c>
      <c r="F195" t="s">
        <v>1438</v>
      </c>
      <c r="G195">
        <v>112.81100000000001</v>
      </c>
      <c r="H195">
        <v>1.06067528465337E-2</v>
      </c>
      <c r="I195">
        <v>111.736</v>
      </c>
      <c r="J195">
        <v>1.3101703674824E-2</v>
      </c>
      <c r="K195" t="s">
        <v>1120</v>
      </c>
      <c r="L195" t="s">
        <v>927</v>
      </c>
    </row>
    <row r="196" spans="1:12" x14ac:dyDescent="0.35">
      <c r="A196">
        <v>1.4350946991545E-2</v>
      </c>
      <c r="B196">
        <v>2.3387558006987101E-2</v>
      </c>
      <c r="C196">
        <v>3.8836746328921902E-2</v>
      </c>
      <c r="D196">
        <v>2.9745006586506799E-2</v>
      </c>
      <c r="E196" t="s">
        <v>1632</v>
      </c>
      <c r="F196" t="s">
        <v>1438</v>
      </c>
      <c r="G196">
        <v>113.875</v>
      </c>
      <c r="H196">
        <v>9.4317043550717905E-3</v>
      </c>
      <c r="I196">
        <v>112.542</v>
      </c>
      <c r="J196">
        <v>7.2134316603422698E-3</v>
      </c>
      <c r="K196" t="s">
        <v>1121</v>
      </c>
      <c r="L196" t="s">
        <v>927</v>
      </c>
    </row>
    <row r="197" spans="1:12" x14ac:dyDescent="0.35">
      <c r="A197">
        <v>1.51565091171486E-2</v>
      </c>
      <c r="B197">
        <v>2.9652502701153601E-2</v>
      </c>
      <c r="C197">
        <v>1.6036274889288799E-2</v>
      </c>
      <c r="D197">
        <v>4.1912016313216102E-2</v>
      </c>
      <c r="E197" t="s">
        <v>1633</v>
      </c>
      <c r="F197" t="s">
        <v>1438</v>
      </c>
      <c r="G197">
        <v>114.43899999999999</v>
      </c>
      <c r="H197">
        <v>4.9527991218440998E-3</v>
      </c>
      <c r="I197">
        <v>113.715</v>
      </c>
      <c r="J197">
        <v>1.0422775497147801E-2</v>
      </c>
      <c r="K197" t="s">
        <v>1122</v>
      </c>
      <c r="L197" t="s">
        <v>927</v>
      </c>
    </row>
    <row r="198" spans="1:12" x14ac:dyDescent="0.35">
      <c r="A198">
        <v>8.3593342288621492E-3</v>
      </c>
      <c r="B198">
        <v>4.3357912415273203E-2</v>
      </c>
      <c r="C198">
        <v>-1.6750426853228501E-2</v>
      </c>
      <c r="D198">
        <v>1.5721372171975601E-2</v>
      </c>
      <c r="E198" t="s">
        <v>1634</v>
      </c>
      <c r="F198" t="s">
        <v>1438</v>
      </c>
      <c r="G198">
        <v>113.98</v>
      </c>
      <c r="H198">
        <v>-4.0108704200489996E-3</v>
      </c>
      <c r="I198">
        <v>114.175</v>
      </c>
      <c r="J198">
        <v>4.0452007211009304E-3</v>
      </c>
      <c r="K198" t="s">
        <v>1123</v>
      </c>
      <c r="L198" t="s">
        <v>927</v>
      </c>
    </row>
    <row r="199" spans="1:12" x14ac:dyDescent="0.35">
      <c r="A199">
        <v>2.4734353401226102E-2</v>
      </c>
      <c r="B199">
        <v>-2.6343933972632301E-2</v>
      </c>
      <c r="C199">
        <v>2.5813818283005E-2</v>
      </c>
      <c r="D199">
        <v>4.8037769815769002E-2</v>
      </c>
      <c r="E199" t="s">
        <v>1635</v>
      </c>
      <c r="F199" t="s">
        <v>1438</v>
      </c>
      <c r="G199">
        <v>114.758</v>
      </c>
      <c r="H199">
        <v>6.8257589050710896E-3</v>
      </c>
      <c r="I199">
        <v>115.41800000000001</v>
      </c>
      <c r="J199">
        <v>1.0886796584191E-2</v>
      </c>
      <c r="K199" t="s">
        <v>1124</v>
      </c>
      <c r="L199" t="s">
        <v>927</v>
      </c>
    </row>
    <row r="200" spans="1:12" x14ac:dyDescent="0.35">
      <c r="A200">
        <v>1.0490970472330399E-2</v>
      </c>
      <c r="B200">
        <v>1.0018821110834301E-2</v>
      </c>
      <c r="C200">
        <v>8.6124156242581903E-3</v>
      </c>
      <c r="D200">
        <v>1.9083730667159401E-2</v>
      </c>
      <c r="E200" t="s">
        <v>1636</v>
      </c>
      <c r="F200" t="s">
        <v>1438</v>
      </c>
      <c r="G200">
        <v>114.919</v>
      </c>
      <c r="H200">
        <v>1.40295229962173E-3</v>
      </c>
      <c r="I200">
        <v>115.982</v>
      </c>
      <c r="J200">
        <v>4.8865861477411796E-3</v>
      </c>
      <c r="K200" t="s">
        <v>1125</v>
      </c>
      <c r="L200" t="s">
        <v>927</v>
      </c>
    </row>
    <row r="201" spans="1:12" x14ac:dyDescent="0.35">
      <c r="A201">
        <v>1.45690487077856E-2</v>
      </c>
      <c r="B201">
        <v>1.6245763277308499E-2</v>
      </c>
      <c r="C201">
        <v>1.6996215944869601E-2</v>
      </c>
      <c r="D201">
        <v>5.8979339636946503E-3</v>
      </c>
      <c r="E201" t="s">
        <v>1637</v>
      </c>
      <c r="F201" t="s">
        <v>1438</v>
      </c>
      <c r="G201">
        <v>115.285</v>
      </c>
      <c r="H201">
        <v>3.1848519391919298E-3</v>
      </c>
      <c r="I201">
        <v>116.167</v>
      </c>
      <c r="J201">
        <v>1.59507509785994E-3</v>
      </c>
      <c r="K201" t="s">
        <v>1126</v>
      </c>
      <c r="L201" t="s">
        <v>927</v>
      </c>
    </row>
    <row r="202" spans="1:12" x14ac:dyDescent="0.35">
      <c r="A202">
        <v>1.46624987744557E-2</v>
      </c>
      <c r="B202">
        <v>1.3591255249432201E-2</v>
      </c>
      <c r="C202">
        <v>5.0660572456327199E-2</v>
      </c>
      <c r="D202">
        <v>1.0418465412080901E-2</v>
      </c>
      <c r="E202" t="s">
        <v>1638</v>
      </c>
      <c r="F202" t="s">
        <v>1438</v>
      </c>
      <c r="G202">
        <v>116.54600000000001</v>
      </c>
      <c r="H202">
        <v>1.09381099015484E-2</v>
      </c>
      <c r="I202">
        <v>116.5</v>
      </c>
      <c r="J202">
        <v>2.86656279322006E-3</v>
      </c>
      <c r="K202" t="s">
        <v>1127</v>
      </c>
      <c r="L202" t="s">
        <v>927</v>
      </c>
    </row>
    <row r="203" spans="1:12" x14ac:dyDescent="0.35">
      <c r="A203">
        <v>-1.7940859457881899E-2</v>
      </c>
      <c r="B203">
        <v>3.31045118831508E-3</v>
      </c>
      <c r="C203">
        <v>-1.06133933402519E-3</v>
      </c>
      <c r="D203">
        <v>-7.65559802497651E-3</v>
      </c>
      <c r="E203" t="s">
        <v>1639</v>
      </c>
      <c r="F203" t="s">
        <v>1438</v>
      </c>
      <c r="G203">
        <v>116.072</v>
      </c>
      <c r="H203">
        <v>-4.0670636486881398E-3</v>
      </c>
      <c r="I203">
        <v>116.19499999999999</v>
      </c>
      <c r="J203">
        <v>-2.61802575107306E-3</v>
      </c>
      <c r="K203" t="s">
        <v>1128</v>
      </c>
      <c r="L203" t="s">
        <v>927</v>
      </c>
    </row>
    <row r="204" spans="1:12" x14ac:dyDescent="0.35">
      <c r="A204">
        <v>3.3775526155126898E-2</v>
      </c>
      <c r="B204">
        <v>2.5959727144998501E-2</v>
      </c>
      <c r="C204">
        <v>3.4596703938155803E-2</v>
      </c>
      <c r="D204">
        <v>4.1355015452944698E-2</v>
      </c>
      <c r="E204" t="s">
        <v>1640</v>
      </c>
      <c r="F204" t="s">
        <v>1438</v>
      </c>
      <c r="G204">
        <v>116.51900000000001</v>
      </c>
      <c r="H204">
        <v>3.8510579640223001E-3</v>
      </c>
      <c r="I204">
        <v>117.285</v>
      </c>
      <c r="J204">
        <v>9.3807823056069103E-3</v>
      </c>
      <c r="K204" t="s">
        <v>1129</v>
      </c>
      <c r="L204" t="s">
        <v>927</v>
      </c>
    </row>
    <row r="205" spans="1:12" x14ac:dyDescent="0.35">
      <c r="A205">
        <v>1.6442937470855502E-2</v>
      </c>
      <c r="B205">
        <v>2.4447407360365301E-2</v>
      </c>
      <c r="C205">
        <v>5.1547958936444697E-2</v>
      </c>
      <c r="D205">
        <v>1.8415186976738801E-2</v>
      </c>
      <c r="E205" t="s">
        <v>1641</v>
      </c>
      <c r="F205" t="s">
        <v>1438</v>
      </c>
      <c r="G205">
        <v>117.593</v>
      </c>
      <c r="H205">
        <v>9.2173808563409398E-3</v>
      </c>
      <c r="I205">
        <v>117.706</v>
      </c>
      <c r="J205">
        <v>3.5895468303705999E-3</v>
      </c>
      <c r="K205" t="s">
        <v>1130</v>
      </c>
      <c r="L205" t="s">
        <v>927</v>
      </c>
    </row>
    <row r="206" spans="1:12" x14ac:dyDescent="0.35">
      <c r="A206">
        <v>4.5025943450948999E-2</v>
      </c>
      <c r="B206">
        <v>4.0827649049089101E-2</v>
      </c>
      <c r="C206">
        <v>9.2834286401326696E-2</v>
      </c>
      <c r="D206">
        <v>6.4160755006020101E-2</v>
      </c>
      <c r="E206" t="s">
        <v>1642</v>
      </c>
      <c r="F206" t="s">
        <v>1438</v>
      </c>
      <c r="G206">
        <v>119.419</v>
      </c>
      <c r="H206">
        <v>1.5528135178114201E-2</v>
      </c>
      <c r="I206">
        <v>119.416</v>
      </c>
      <c r="J206">
        <v>1.45277216114725E-2</v>
      </c>
      <c r="K206" t="s">
        <v>1131</v>
      </c>
      <c r="L206" t="s">
        <v>927</v>
      </c>
    </row>
    <row r="207" spans="1:12" x14ac:dyDescent="0.35">
      <c r="A207">
        <v>6.4441802743663304E-2</v>
      </c>
      <c r="B207">
        <v>4.1247362410053098E-2</v>
      </c>
      <c r="C207">
        <v>8.0575514620662397E-2</v>
      </c>
      <c r="D207">
        <v>0.104589902157439</v>
      </c>
      <c r="E207" t="s">
        <v>1643</v>
      </c>
      <c r="F207" t="s">
        <v>1438</v>
      </c>
      <c r="G207">
        <v>121.425</v>
      </c>
      <c r="H207">
        <v>1.6797996968656699E-2</v>
      </c>
      <c r="I207">
        <v>122.101</v>
      </c>
      <c r="J207">
        <v>2.24844241977624E-2</v>
      </c>
      <c r="K207" t="s">
        <v>1132</v>
      </c>
      <c r="L207" t="s">
        <v>927</v>
      </c>
    </row>
    <row r="208" spans="1:12" x14ac:dyDescent="0.35">
      <c r="A208">
        <v>5.5998846943190198E-2</v>
      </c>
      <c r="B208">
        <v>4.40178580952795E-2</v>
      </c>
      <c r="C208">
        <v>6.4680375979367696E-2</v>
      </c>
      <c r="D208">
        <v>9.3631239224950299E-2</v>
      </c>
      <c r="E208" t="s">
        <v>1644</v>
      </c>
      <c r="F208" t="s">
        <v>1438</v>
      </c>
      <c r="G208">
        <v>123.291</v>
      </c>
      <c r="H208">
        <v>1.53675108091413E-2</v>
      </c>
      <c r="I208">
        <v>124.71</v>
      </c>
      <c r="J208">
        <v>2.13675563672697E-2</v>
      </c>
      <c r="K208" t="s">
        <v>1133</v>
      </c>
      <c r="L208" t="s">
        <v>927</v>
      </c>
    </row>
    <row r="209" spans="1:12" x14ac:dyDescent="0.35">
      <c r="A209">
        <v>6.1859650545573498E-2</v>
      </c>
      <c r="B209">
        <v>4.34322998250962E-2</v>
      </c>
      <c r="C209">
        <v>8.4136934840178798E-2</v>
      </c>
      <c r="D209">
        <v>0.12124821634027599</v>
      </c>
      <c r="E209" t="s">
        <v>1645</v>
      </c>
      <c r="F209" t="s">
        <v>1438</v>
      </c>
      <c r="G209">
        <v>125.712</v>
      </c>
      <c r="H209">
        <v>1.96364698153151E-2</v>
      </c>
      <c r="I209">
        <v>128.44900000000001</v>
      </c>
      <c r="J209">
        <v>2.9981557212733798E-2</v>
      </c>
      <c r="K209" t="s">
        <v>1134</v>
      </c>
      <c r="L209" t="s">
        <v>927</v>
      </c>
    </row>
    <row r="210" spans="1:12" x14ac:dyDescent="0.35">
      <c r="A210">
        <v>7.4784916271317198E-2</v>
      </c>
      <c r="B210">
        <v>5.6798579453040801E-2</v>
      </c>
      <c r="C210">
        <v>0.10120576467409099</v>
      </c>
      <c r="D210">
        <v>0.12687792670398401</v>
      </c>
      <c r="E210" t="s">
        <v>1646</v>
      </c>
      <c r="F210" t="s">
        <v>1438</v>
      </c>
      <c r="G210">
        <v>129</v>
      </c>
      <c r="H210">
        <v>2.6155021000381799E-2</v>
      </c>
      <c r="I210">
        <v>132.33099999999999</v>
      </c>
      <c r="J210">
        <v>3.0222111499505398E-2</v>
      </c>
      <c r="K210" t="s">
        <v>1135</v>
      </c>
      <c r="L210" t="s">
        <v>927</v>
      </c>
    </row>
    <row r="211" spans="1:12" x14ac:dyDescent="0.35">
      <c r="A211">
        <v>7.2922192171477093E-2</v>
      </c>
      <c r="B211">
        <v>5.9959109255099501E-2</v>
      </c>
      <c r="C211">
        <v>0.15221841372862299</v>
      </c>
      <c r="D211">
        <v>0.13796693794697101</v>
      </c>
      <c r="E211" t="s">
        <v>1647</v>
      </c>
      <c r="F211" t="s">
        <v>1438</v>
      </c>
      <c r="G211">
        <v>133.62100000000001</v>
      </c>
      <c r="H211">
        <v>3.5821705426356799E-2</v>
      </c>
      <c r="I211">
        <v>136.69900000000001</v>
      </c>
      <c r="J211">
        <v>3.3008138682546297E-2</v>
      </c>
      <c r="K211" t="s">
        <v>1136</v>
      </c>
      <c r="L211" t="s">
        <v>927</v>
      </c>
    </row>
    <row r="212" spans="1:12" x14ac:dyDescent="0.35">
      <c r="A212">
        <v>4.1796200977757901E-2</v>
      </c>
      <c r="B212">
        <v>4.8377032065661102E-2</v>
      </c>
      <c r="C212">
        <v>8.9811228034972802E-3</v>
      </c>
      <c r="D212">
        <v>8.9581033951388098E-2</v>
      </c>
      <c r="E212" t="s">
        <v>1648</v>
      </c>
      <c r="F212" t="s">
        <v>1438</v>
      </c>
      <c r="H212">
        <v>1.10762503071244E-2</v>
      </c>
      <c r="J212">
        <v>1.10762503071244E-2</v>
      </c>
      <c r="K212" t="s">
        <v>1137</v>
      </c>
      <c r="L212" t="s">
        <v>1138</v>
      </c>
    </row>
    <row r="213" spans="1:12" x14ac:dyDescent="0.35">
      <c r="A213">
        <v>2.7447616796656402E-2</v>
      </c>
      <c r="B213">
        <v>2.3249618404576101E-2</v>
      </c>
      <c r="C213">
        <v>3.8298767461848897E-2</v>
      </c>
      <c r="D213">
        <v>3.8298767461848897E-2</v>
      </c>
      <c r="E213" t="s">
        <v>1649</v>
      </c>
      <c r="F213" t="s">
        <v>1650</v>
      </c>
      <c r="H213">
        <v>9.4401732935755992E-3</v>
      </c>
      <c r="J213">
        <v>9.4401732935755992E-3</v>
      </c>
      <c r="K213" t="s">
        <v>1139</v>
      </c>
      <c r="L213" t="s">
        <v>1138</v>
      </c>
    </row>
    <row r="214" spans="1:12" x14ac:dyDescent="0.35">
      <c r="A214">
        <v>2.49173870638888E-2</v>
      </c>
      <c r="B214">
        <v>2.1715756912072299E-2</v>
      </c>
      <c r="C214">
        <v>3.6085750781477598E-2</v>
      </c>
      <c r="D214">
        <v>3.6085750781477598E-2</v>
      </c>
      <c r="E214" t="s">
        <v>1651</v>
      </c>
      <c r="F214" t="s">
        <v>1650</v>
      </c>
      <c r="H214">
        <v>8.9018658885664497E-3</v>
      </c>
      <c r="J214">
        <v>8.9018658885664497E-3</v>
      </c>
      <c r="K214" t="s">
        <v>1140</v>
      </c>
      <c r="L214" t="s">
        <v>1138</v>
      </c>
    </row>
    <row r="215" spans="1:12" x14ac:dyDescent="0.35">
      <c r="A215">
        <v>2.33440010578361E-2</v>
      </c>
      <c r="B215">
        <v>2.1485909848918801E-2</v>
      </c>
      <c r="C215">
        <v>3.2005284910624002E-2</v>
      </c>
      <c r="D215">
        <v>3.2005284910624002E-2</v>
      </c>
      <c r="E215" t="s">
        <v>1652</v>
      </c>
      <c r="F215" t="s">
        <v>1650</v>
      </c>
      <c r="H215">
        <v>7.9070438771131606E-3</v>
      </c>
      <c r="J215">
        <v>7.9070438771131606E-3</v>
      </c>
      <c r="K215" t="s">
        <v>1141</v>
      </c>
      <c r="L215" t="s">
        <v>1138</v>
      </c>
    </row>
    <row r="216" spans="1:12" x14ac:dyDescent="0.35">
      <c r="A216">
        <v>2.2676579457354702E-2</v>
      </c>
      <c r="B216">
        <v>2.1729771469873E-2</v>
      </c>
      <c r="C216">
        <v>2.9538555790939999E-2</v>
      </c>
      <c r="D216">
        <v>2.9538555790939999E-2</v>
      </c>
      <c r="E216" t="s">
        <v>1653</v>
      </c>
      <c r="F216" t="s">
        <v>1650</v>
      </c>
      <c r="H216">
        <v>7.3042210756391101E-3</v>
      </c>
      <c r="J216">
        <v>7.3042210756391101E-3</v>
      </c>
      <c r="K216" t="s">
        <v>1142</v>
      </c>
      <c r="L216" t="s">
        <v>1138</v>
      </c>
    </row>
    <row r="217" spans="1:12" x14ac:dyDescent="0.35">
      <c r="A217">
        <v>2.2178287431426899E-2</v>
      </c>
      <c r="B217">
        <v>2.22727407121028E-2</v>
      </c>
      <c r="C217">
        <v>2.8512142036472E-2</v>
      </c>
      <c r="D217">
        <v>2.8512142036472E-2</v>
      </c>
      <c r="E217" t="s">
        <v>1654</v>
      </c>
      <c r="F217" t="s">
        <v>1650</v>
      </c>
      <c r="H217">
        <v>7.0530654325617901E-3</v>
      </c>
      <c r="J217">
        <v>7.0530654325617901E-3</v>
      </c>
      <c r="K217" t="s">
        <v>1143</v>
      </c>
      <c r="L217" t="s">
        <v>1138</v>
      </c>
    </row>
    <row r="218" spans="1:12" x14ac:dyDescent="0.35">
      <c r="A218">
        <v>2.1434276652948898E-2</v>
      </c>
      <c r="B218">
        <v>2.23623952750127E-2</v>
      </c>
      <c r="C218">
        <v>2.8283584176253401E-2</v>
      </c>
      <c r="D218">
        <v>2.8283584176253401E-2</v>
      </c>
      <c r="E218" t="s">
        <v>1655</v>
      </c>
      <c r="F218" t="s">
        <v>1650</v>
      </c>
      <c r="H218">
        <v>6.9971134735056202E-3</v>
      </c>
      <c r="J218">
        <v>6.9971134735056202E-3</v>
      </c>
      <c r="K218" t="s">
        <v>1144</v>
      </c>
      <c r="L218" t="s">
        <v>1138</v>
      </c>
    </row>
    <row r="219" spans="1:12" x14ac:dyDescent="0.35">
      <c r="A219">
        <v>2.10072065089228E-2</v>
      </c>
      <c r="B219">
        <v>2.2496789219665199E-2</v>
      </c>
      <c r="C219">
        <v>2.7654852328046001E-2</v>
      </c>
      <c r="D219">
        <v>2.7654852328046001E-2</v>
      </c>
      <c r="E219" t="s">
        <v>1656</v>
      </c>
      <c r="F219" t="s">
        <v>1650</v>
      </c>
      <c r="H219">
        <v>6.8431490448084302E-3</v>
      </c>
      <c r="J219">
        <v>6.8431490448084302E-3</v>
      </c>
      <c r="K219" t="s">
        <v>1145</v>
      </c>
      <c r="L219" t="s">
        <v>1138</v>
      </c>
    </row>
    <row r="220" spans="1:12" x14ac:dyDescent="0.35">
      <c r="A220">
        <v>2.0591622707038602E-2</v>
      </c>
      <c r="B220">
        <v>2.25123599902981E-2</v>
      </c>
      <c r="C220">
        <v>2.7753662335143502E-2</v>
      </c>
      <c r="D220">
        <v>2.7753662335143502E-2</v>
      </c>
      <c r="E220" t="s">
        <v>1657</v>
      </c>
      <c r="F220" t="s">
        <v>1650</v>
      </c>
      <c r="H220">
        <v>6.8673504076357502E-3</v>
      </c>
      <c r="J220">
        <v>6.8673504076357502E-3</v>
      </c>
      <c r="K220" t="s">
        <v>1146</v>
      </c>
      <c r="L220" t="s">
        <v>1138</v>
      </c>
    </row>
    <row r="221" spans="1:12" x14ac:dyDescent="0.35">
      <c r="A221">
        <v>2.0347186911993099E-2</v>
      </c>
      <c r="B221">
        <v>2.2891901714989799E-2</v>
      </c>
      <c r="C221">
        <v>2.8110399323646899E-2</v>
      </c>
      <c r="D221">
        <v>2.8110399323646899E-2</v>
      </c>
      <c r="E221" t="s">
        <v>1658</v>
      </c>
      <c r="F221" t="s">
        <v>1650</v>
      </c>
      <c r="H221">
        <v>6.9547108559351303E-3</v>
      </c>
      <c r="J221">
        <v>6.9547108559351303E-3</v>
      </c>
      <c r="K221" t="s">
        <v>1147</v>
      </c>
      <c r="L221" t="s">
        <v>1138</v>
      </c>
    </row>
    <row r="222" spans="1:12" x14ac:dyDescent="0.35">
      <c r="A222">
        <v>2.03844462174123E-2</v>
      </c>
      <c r="B222">
        <v>2.2688598137850801E-2</v>
      </c>
      <c r="C222">
        <v>2.89673943247446E-2</v>
      </c>
      <c r="D222">
        <v>2.89673943247446E-2</v>
      </c>
      <c r="E222" t="s">
        <v>1659</v>
      </c>
      <c r="F222" t="s">
        <v>1650</v>
      </c>
      <c r="H222">
        <v>7.1644853940870902E-3</v>
      </c>
      <c r="J222">
        <v>7.1644853940870902E-3</v>
      </c>
      <c r="K222" t="s">
        <v>1148</v>
      </c>
      <c r="L222" t="s">
        <v>1138</v>
      </c>
    </row>
    <row r="223" spans="1:12" x14ac:dyDescent="0.35">
      <c r="A223">
        <v>2.02121429685698E-2</v>
      </c>
      <c r="B223">
        <v>2.2861927422401802E-2</v>
      </c>
      <c r="C223">
        <v>2.97171972862664E-2</v>
      </c>
      <c r="D223">
        <v>2.97171972862664E-2</v>
      </c>
      <c r="E223" t="s">
        <v>1660</v>
      </c>
      <c r="F223" t="s">
        <v>1650</v>
      </c>
      <c r="H223">
        <v>7.3479141028771596E-3</v>
      </c>
      <c r="J223">
        <v>7.3479141028771596E-3</v>
      </c>
      <c r="K223" t="s">
        <v>1149</v>
      </c>
      <c r="L223" t="s">
        <v>1138</v>
      </c>
    </row>
    <row r="224" spans="1:12" x14ac:dyDescent="0.35">
      <c r="A224">
        <v>2.00951255413373E-2</v>
      </c>
      <c r="B224">
        <v>2.2789213164977801E-2</v>
      </c>
      <c r="C224">
        <v>2.9972823640437098E-2</v>
      </c>
      <c r="D224">
        <v>2.9972823640437098E-2</v>
      </c>
      <c r="E224" t="s">
        <v>1661</v>
      </c>
      <c r="F224" t="s">
        <v>1650</v>
      </c>
      <c r="H224">
        <v>7.4104265836887296E-3</v>
      </c>
      <c r="J224">
        <v>7.4104265836887296E-3</v>
      </c>
      <c r="K224" t="s">
        <v>1150</v>
      </c>
      <c r="L224" t="s">
        <v>1138</v>
      </c>
    </row>
    <row r="225" spans="1:12" x14ac:dyDescent="0.35">
      <c r="A225">
        <v>2.0005533751415599E-2</v>
      </c>
      <c r="B225">
        <v>2.30067515754304E-2</v>
      </c>
      <c r="C225">
        <v>3.0378543432117301E-2</v>
      </c>
      <c r="D225">
        <v>3.0378543432117301E-2</v>
      </c>
      <c r="E225" t="s">
        <v>1662</v>
      </c>
      <c r="F225" t="s">
        <v>1650</v>
      </c>
      <c r="H225">
        <v>7.5096199742570296E-3</v>
      </c>
      <c r="J225">
        <v>7.5096199742570296E-3</v>
      </c>
      <c r="K225" t="s">
        <v>1151</v>
      </c>
      <c r="L225" t="s">
        <v>1138</v>
      </c>
    </row>
    <row r="226" spans="1:12" x14ac:dyDescent="0.35">
      <c r="A226">
        <v>1.9992497685795502E-2</v>
      </c>
      <c r="B226">
        <v>2.28689196510703E-2</v>
      </c>
      <c r="C226">
        <v>3.0384347471833498E-2</v>
      </c>
      <c r="D226">
        <v>3.0384347471833498E-2</v>
      </c>
      <c r="E226" t="s">
        <v>1663</v>
      </c>
      <c r="F226" t="s">
        <v>1650</v>
      </c>
      <c r="H226">
        <v>7.5110387764860701E-3</v>
      </c>
      <c r="J226">
        <v>7.5110387764860701E-3</v>
      </c>
      <c r="K226" t="s">
        <v>1152</v>
      </c>
      <c r="L226" t="s">
        <v>1138</v>
      </c>
    </row>
    <row r="227" spans="1:12" x14ac:dyDescent="0.35">
      <c r="A227">
        <v>1.99491524210023E-2</v>
      </c>
      <c r="B227">
        <v>2.2952518060170599E-2</v>
      </c>
      <c r="C227">
        <v>3.0780667439755299E-2</v>
      </c>
      <c r="D227">
        <v>3.0780667439755299E-2</v>
      </c>
      <c r="E227" t="s">
        <v>1664</v>
      </c>
      <c r="F227" t="s">
        <v>1650</v>
      </c>
      <c r="H227">
        <v>7.6079053396602703E-3</v>
      </c>
      <c r="J227">
        <v>7.6079053396602703E-3</v>
      </c>
      <c r="K227" t="s">
        <v>1153</v>
      </c>
      <c r="L227" t="s">
        <v>1138</v>
      </c>
    </row>
    <row r="228" spans="1:12" x14ac:dyDescent="0.35">
      <c r="A228">
        <v>1.99785657506244E-2</v>
      </c>
      <c r="B228">
        <v>2.3092018308592099E-2</v>
      </c>
      <c r="C228">
        <v>3.09234356698747E-2</v>
      </c>
      <c r="D228">
        <v>3.09234356698747E-2</v>
      </c>
      <c r="E228" t="s">
        <v>1665</v>
      </c>
      <c r="F228" t="s">
        <v>1650</v>
      </c>
      <c r="H228">
        <v>7.6427931995954896E-3</v>
      </c>
      <c r="J228">
        <v>7.6427931995954896E-3</v>
      </c>
      <c r="K228" t="s">
        <v>1154</v>
      </c>
      <c r="L228" t="s">
        <v>1138</v>
      </c>
    </row>
    <row r="229" spans="1:12" x14ac:dyDescent="0.35">
      <c r="A229">
        <v>1.9973482507164499E-2</v>
      </c>
      <c r="B229">
        <v>2.29188557927167E-2</v>
      </c>
      <c r="C229">
        <v>3.0940126349132901E-2</v>
      </c>
      <c r="D229">
        <v>3.0940126349132901E-2</v>
      </c>
      <c r="E229" t="s">
        <v>1666</v>
      </c>
      <c r="F229" t="s">
        <v>1650</v>
      </c>
      <c r="H229">
        <v>7.6468716160857904E-3</v>
      </c>
      <c r="J229">
        <v>7.6468716160857904E-3</v>
      </c>
      <c r="K229" t="s">
        <v>1155</v>
      </c>
      <c r="L229" t="s">
        <v>1138</v>
      </c>
    </row>
    <row r="230" spans="1:12" x14ac:dyDescent="0.35">
      <c r="A230">
        <v>2.00262569988248E-2</v>
      </c>
      <c r="B230">
        <v>2.34219478386497E-2</v>
      </c>
      <c r="C230">
        <v>3.08963138434795E-2</v>
      </c>
      <c r="D230">
        <v>3.08963138434795E-2</v>
      </c>
      <c r="E230" t="s">
        <v>1667</v>
      </c>
      <c r="F230" t="s">
        <v>1650</v>
      </c>
      <c r="H230">
        <v>7.6361657960506398E-3</v>
      </c>
      <c r="J230">
        <v>7.6361657960506398E-3</v>
      </c>
      <c r="K230" t="s">
        <v>1156</v>
      </c>
      <c r="L230" t="s">
        <v>1138</v>
      </c>
    </row>
    <row r="231" spans="1:12" x14ac:dyDescent="0.35">
      <c r="A231">
        <v>2.0068184200822601E-2</v>
      </c>
      <c r="B231">
        <v>2.29559923804479E-2</v>
      </c>
      <c r="C231">
        <v>3.1171169586274899E-2</v>
      </c>
      <c r="D231">
        <v>3.1171169586274899E-2</v>
      </c>
      <c r="E231" t="s">
        <v>1668</v>
      </c>
      <c r="F231" t="s">
        <v>1650</v>
      </c>
      <c r="H231">
        <v>7.7033226228278E-3</v>
      </c>
      <c r="J231">
        <v>7.7033226228278E-3</v>
      </c>
      <c r="K231" t="s">
        <v>1157</v>
      </c>
      <c r="L231" t="s">
        <v>1138</v>
      </c>
    </row>
    <row r="232" spans="1:12" x14ac:dyDescent="0.35">
      <c r="A232">
        <v>2.00733299513789E-2</v>
      </c>
      <c r="B232">
        <v>2.3089907346120601E-2</v>
      </c>
      <c r="C232">
        <v>3.11290252355114E-2</v>
      </c>
      <c r="D232">
        <v>3.11290252355114E-2</v>
      </c>
      <c r="E232" t="s">
        <v>1669</v>
      </c>
      <c r="F232" t="s">
        <v>1650</v>
      </c>
      <c r="H232">
        <v>7.6930261622452098E-3</v>
      </c>
      <c r="J232">
        <v>7.6930261622452098E-3</v>
      </c>
      <c r="K232" t="s">
        <v>1158</v>
      </c>
      <c r="L232" t="s">
        <v>1138</v>
      </c>
    </row>
    <row r="233" spans="1:12" x14ac:dyDescent="0.35">
      <c r="A233">
        <v>2.00833471581769E-2</v>
      </c>
      <c r="B233">
        <v>2.2986135275529802E-2</v>
      </c>
      <c r="C233">
        <v>3.12799263503531E-2</v>
      </c>
      <c r="D233">
        <v>3.12799263503531E-2</v>
      </c>
      <c r="E233" t="s">
        <v>1670</v>
      </c>
      <c r="F233" t="s">
        <v>1650</v>
      </c>
      <c r="H233">
        <v>7.72989197946106E-3</v>
      </c>
      <c r="J233">
        <v>7.72989197946106E-3</v>
      </c>
      <c r="K233" t="s">
        <v>1159</v>
      </c>
      <c r="L233" t="s">
        <v>1138</v>
      </c>
    </row>
    <row r="234" spans="1:12" x14ac:dyDescent="0.35">
      <c r="A234">
        <v>2.0140093939852201E-2</v>
      </c>
      <c r="B234">
        <v>2.31414769468055E-2</v>
      </c>
      <c r="C234">
        <v>3.1432246791632999E-2</v>
      </c>
      <c r="D234">
        <v>3.1432246791632999E-2</v>
      </c>
      <c r="E234" t="s">
        <v>1671</v>
      </c>
      <c r="F234" t="s">
        <v>1650</v>
      </c>
      <c r="H234">
        <v>7.76710044167461E-3</v>
      </c>
      <c r="J234">
        <v>7.76710044167461E-3</v>
      </c>
      <c r="K234" t="s">
        <v>1160</v>
      </c>
      <c r="L234" t="s">
        <v>1138</v>
      </c>
    </row>
    <row r="235" spans="1:12" x14ac:dyDescent="0.35">
      <c r="A235">
        <v>2.02021592909249E-2</v>
      </c>
      <c r="B235">
        <v>2.2984714477401601E-2</v>
      </c>
      <c r="C235">
        <v>3.1205847095053599E-2</v>
      </c>
      <c r="D235">
        <v>3.1205847095053599E-2</v>
      </c>
      <c r="E235" t="s">
        <v>1672</v>
      </c>
      <c r="F235" t="s">
        <v>1650</v>
      </c>
      <c r="H235">
        <v>7.7117945916846996E-3</v>
      </c>
      <c r="J235">
        <v>7.7117945916846996E-3</v>
      </c>
      <c r="K235" t="s">
        <v>1161</v>
      </c>
      <c r="L235" t="s">
        <v>1138</v>
      </c>
    </row>
    <row r="236" spans="1:12" x14ac:dyDescent="0.35">
      <c r="A236">
        <v>2.0211898969260102E-2</v>
      </c>
      <c r="B236">
        <v>2.2913195171825301E-2</v>
      </c>
      <c r="C236">
        <v>3.14110402970686E-2</v>
      </c>
      <c r="D236">
        <v>3.14110402970686E-2</v>
      </c>
      <c r="E236" t="s">
        <v>1673</v>
      </c>
      <c r="F236" t="s">
        <v>1650</v>
      </c>
      <c r="H236">
        <v>7.7619204183672101E-3</v>
      </c>
      <c r="J236">
        <v>7.7619204183672101E-3</v>
      </c>
      <c r="K236" t="s">
        <v>1162</v>
      </c>
      <c r="L236" t="s">
        <v>1138</v>
      </c>
    </row>
    <row r="237" spans="1:12" x14ac:dyDescent="0.35">
      <c r="A237">
        <v>2.0290430669000999E-2</v>
      </c>
      <c r="B237">
        <v>2.29758501503456E-2</v>
      </c>
      <c r="C237">
        <v>3.1565029186180898E-2</v>
      </c>
      <c r="D237">
        <v>3.1565029186180898E-2</v>
      </c>
      <c r="E237" t="s">
        <v>1674</v>
      </c>
      <c r="F237" t="s">
        <v>1650</v>
      </c>
      <c r="H237">
        <v>7.7995328359632401E-3</v>
      </c>
      <c r="J237">
        <v>7.7995328359632401E-3</v>
      </c>
      <c r="K237" t="s">
        <v>1163</v>
      </c>
      <c r="L237" t="s">
        <v>1138</v>
      </c>
    </row>
    <row r="238" spans="1:12" x14ac:dyDescent="0.35">
      <c r="A238">
        <v>2.0308808571870299E-2</v>
      </c>
      <c r="B238">
        <v>2.2824531954790599E-2</v>
      </c>
      <c r="C238">
        <v>3.1531274423854297E-2</v>
      </c>
      <c r="D238">
        <v>3.1531274423854297E-2</v>
      </c>
      <c r="E238" t="s">
        <v>1675</v>
      </c>
      <c r="F238" t="s">
        <v>1650</v>
      </c>
      <c r="H238">
        <v>7.7912884572341997E-3</v>
      </c>
      <c r="J238">
        <v>7.7912884572341997E-3</v>
      </c>
      <c r="K238" t="s">
        <v>1164</v>
      </c>
      <c r="L238" t="s">
        <v>1138</v>
      </c>
    </row>
    <row r="239" spans="1:12" x14ac:dyDescent="0.35">
      <c r="A239">
        <v>2.03080060292413E-2</v>
      </c>
      <c r="B239">
        <v>2.2972481063801901E-2</v>
      </c>
      <c r="C239">
        <v>3.1542996473644003E-2</v>
      </c>
      <c r="D239">
        <v>3.1542996473644003E-2</v>
      </c>
      <c r="E239" t="s">
        <v>1676</v>
      </c>
      <c r="F239" t="s">
        <v>1650</v>
      </c>
      <c r="H239">
        <v>7.7941515137436301E-3</v>
      </c>
      <c r="J239">
        <v>7.7941515137436301E-3</v>
      </c>
      <c r="K239" t="s">
        <v>1165</v>
      </c>
      <c r="L239" t="s">
        <v>1138</v>
      </c>
    </row>
    <row r="240" spans="1:12" x14ac:dyDescent="0.35">
      <c r="A240">
        <v>2.0323983720006399E-2</v>
      </c>
      <c r="B240">
        <v>2.2824566637221998E-2</v>
      </c>
      <c r="C240">
        <v>3.1855243350590097E-2</v>
      </c>
      <c r="D240">
        <v>3.1855243350590097E-2</v>
      </c>
      <c r="E240" t="s">
        <v>1677</v>
      </c>
      <c r="F240" t="s">
        <v>1650</v>
      </c>
      <c r="H240">
        <v>7.8704073905595494E-3</v>
      </c>
      <c r="J240">
        <v>7.8704073905595494E-3</v>
      </c>
      <c r="K240" t="s">
        <v>1166</v>
      </c>
      <c r="L240" t="s">
        <v>1138</v>
      </c>
    </row>
    <row r="241" spans="1:12" x14ac:dyDescent="0.35">
      <c r="A241">
        <v>2.0325704902500501E-2</v>
      </c>
      <c r="B241">
        <v>2.2886555231629101E-2</v>
      </c>
      <c r="C241">
        <v>3.1708818720508798E-2</v>
      </c>
      <c r="D241">
        <v>3.1708818720508798E-2</v>
      </c>
      <c r="E241" t="s">
        <v>1678</v>
      </c>
      <c r="F241" t="s">
        <v>1650</v>
      </c>
      <c r="H241">
        <v>7.8346502176538397E-3</v>
      </c>
      <c r="J241">
        <v>7.8346502176538397E-3</v>
      </c>
      <c r="K241" t="s">
        <v>1167</v>
      </c>
      <c r="L241" t="s">
        <v>1138</v>
      </c>
    </row>
    <row r="242" spans="1:12" x14ac:dyDescent="0.35">
      <c r="A242">
        <v>2.0305041683886599E-2</v>
      </c>
      <c r="B242">
        <v>2.29465623765257E-2</v>
      </c>
      <c r="C242">
        <v>3.1893508731351002E-2</v>
      </c>
      <c r="D242">
        <v>3.1893508731351002E-2</v>
      </c>
      <c r="E242" t="s">
        <v>1679</v>
      </c>
      <c r="F242" t="s">
        <v>1650</v>
      </c>
      <c r="H242">
        <v>7.8797512420421007E-3</v>
      </c>
      <c r="J242">
        <v>7.8797512420421007E-3</v>
      </c>
      <c r="K242" t="s">
        <v>1168</v>
      </c>
      <c r="L242" t="s">
        <v>1138</v>
      </c>
    </row>
    <row r="243" spans="1:12" x14ac:dyDescent="0.35">
      <c r="A243">
        <v>2.0287096358251301E-2</v>
      </c>
      <c r="B243">
        <v>2.2798980065175601E-2</v>
      </c>
      <c r="C243">
        <v>3.1810408581062898E-2</v>
      </c>
      <c r="D243">
        <v>3.1810408581062898E-2</v>
      </c>
      <c r="E243" t="s">
        <v>1680</v>
      </c>
      <c r="F243" t="s">
        <v>1650</v>
      </c>
      <c r="H243">
        <v>7.8594590588953999E-3</v>
      </c>
      <c r="J243">
        <v>7.8594590588953999E-3</v>
      </c>
      <c r="K243" t="s">
        <v>1169</v>
      </c>
      <c r="L243" t="s">
        <v>1138</v>
      </c>
    </row>
    <row r="244" spans="1:12" x14ac:dyDescent="0.35">
      <c r="A244">
        <v>2.0271579331879098E-2</v>
      </c>
      <c r="B244">
        <v>2.2857567238674801E-2</v>
      </c>
      <c r="C244">
        <v>3.1611362599311098E-2</v>
      </c>
      <c r="D244">
        <v>3.1611362599311098E-2</v>
      </c>
      <c r="E244" t="s">
        <v>1681</v>
      </c>
      <c r="F244" t="s">
        <v>1650</v>
      </c>
      <c r="H244">
        <v>7.8108491379678098E-3</v>
      </c>
      <c r="J244">
        <v>7.8108491379678098E-3</v>
      </c>
      <c r="K244" t="s">
        <v>1170</v>
      </c>
      <c r="L244" t="s">
        <v>1138</v>
      </c>
    </row>
    <row r="245" spans="1:12" x14ac:dyDescent="0.35">
      <c r="A245">
        <v>2.0226750918557398E-2</v>
      </c>
      <c r="B245">
        <v>2.30078651102898E-2</v>
      </c>
      <c r="C245">
        <v>3.1895036638032601E-2</v>
      </c>
      <c r="D245">
        <v>3.1895036638032601E-2</v>
      </c>
      <c r="E245" t="s">
        <v>1682</v>
      </c>
      <c r="F245" t="s">
        <v>1650</v>
      </c>
      <c r="H245">
        <v>7.8801243293176206E-3</v>
      </c>
      <c r="J245">
        <v>7.8801243293176206E-3</v>
      </c>
      <c r="K245" t="s">
        <v>1171</v>
      </c>
      <c r="L245" t="s">
        <v>1138</v>
      </c>
    </row>
    <row r="246" spans="1:12" x14ac:dyDescent="0.35">
      <c r="A246">
        <v>2.0229639632362201E-2</v>
      </c>
      <c r="B246">
        <v>2.2755662461575201E-2</v>
      </c>
      <c r="C246">
        <v>3.1906732152356301E-2</v>
      </c>
      <c r="D246">
        <v>3.1906732152356301E-2</v>
      </c>
      <c r="E246" t="s">
        <v>1683</v>
      </c>
      <c r="F246" t="s">
        <v>1650</v>
      </c>
      <c r="H246">
        <v>7.88298014941358E-3</v>
      </c>
      <c r="J246">
        <v>7.88298014941358E-3</v>
      </c>
      <c r="K246" t="s">
        <v>1172</v>
      </c>
      <c r="L246" t="s">
        <v>1138</v>
      </c>
    </row>
    <row r="247" spans="1:12" x14ac:dyDescent="0.35">
      <c r="A247">
        <v>2.0196749252488402E-2</v>
      </c>
      <c r="B247">
        <v>2.2817811468051102E-2</v>
      </c>
      <c r="C247">
        <v>3.1666344390047098E-2</v>
      </c>
      <c r="D247">
        <v>3.1666344390047098E-2</v>
      </c>
      <c r="E247" t="s">
        <v>1684</v>
      </c>
      <c r="F247" t="s">
        <v>1650</v>
      </c>
      <c r="H247">
        <v>7.8242771932854893E-3</v>
      </c>
      <c r="J247">
        <v>7.8242771932854893E-3</v>
      </c>
      <c r="K247" t="s">
        <v>1173</v>
      </c>
      <c r="L247" t="s">
        <v>1138</v>
      </c>
    </row>
    <row r="248" spans="1:12" x14ac:dyDescent="0.35">
      <c r="A248">
        <v>2.0138226913895701E-2</v>
      </c>
      <c r="B248">
        <v>2.3174738681931199E-2</v>
      </c>
      <c r="C248">
        <v>3.1749922428638201E-2</v>
      </c>
      <c r="D248">
        <v>3.1749922428638201E-2</v>
      </c>
      <c r="E248" t="s">
        <v>1685</v>
      </c>
      <c r="F248" t="s">
        <v>1650</v>
      </c>
      <c r="H248">
        <v>7.8446882055194199E-3</v>
      </c>
      <c r="J248">
        <v>7.8446882055194199E-3</v>
      </c>
      <c r="K248" t="s">
        <v>1174</v>
      </c>
      <c r="L248" t="s">
        <v>1138</v>
      </c>
    </row>
    <row r="249" spans="1:12" x14ac:dyDescent="0.35">
      <c r="A249">
        <v>2.0129535533826501E-2</v>
      </c>
      <c r="B249">
        <v>2.27379267080541E-2</v>
      </c>
      <c r="C249">
        <v>3.1908648163189397E-2</v>
      </c>
      <c r="D249">
        <v>3.1908648163189397E-2</v>
      </c>
      <c r="E249" t="s">
        <v>1686</v>
      </c>
      <c r="F249" t="s">
        <v>1650</v>
      </c>
      <c r="H249">
        <v>7.8834480001659397E-3</v>
      </c>
      <c r="J249">
        <v>7.8834480001659397E-3</v>
      </c>
      <c r="K249" t="s">
        <v>1175</v>
      </c>
      <c r="L249" t="s">
        <v>1138</v>
      </c>
    </row>
    <row r="250" spans="1:12" x14ac:dyDescent="0.35">
      <c r="A250">
        <v>2.0106884793451098E-2</v>
      </c>
      <c r="B250">
        <v>2.3093327603912001E-2</v>
      </c>
      <c r="C250">
        <v>3.1692204125751702E-2</v>
      </c>
      <c r="D250">
        <v>3.1692204125751702E-2</v>
      </c>
      <c r="E250" t="s">
        <v>1687</v>
      </c>
      <c r="F250" t="s">
        <v>1650</v>
      </c>
      <c r="H250">
        <v>7.8305926616084598E-3</v>
      </c>
      <c r="J250">
        <v>7.8305926616084598E-3</v>
      </c>
      <c r="K250" t="s">
        <v>1176</v>
      </c>
      <c r="L250" t="s">
        <v>1138</v>
      </c>
    </row>
    <row r="251" spans="1:12" x14ac:dyDescent="0.35">
      <c r="A251">
        <v>2.0037252982960399E-2</v>
      </c>
      <c r="B251">
        <v>2.2853757020905099E-2</v>
      </c>
      <c r="C251">
        <v>3.1763978164364597E-2</v>
      </c>
      <c r="D251">
        <v>3.1763978164364597E-2</v>
      </c>
      <c r="E251" t="s">
        <v>1688</v>
      </c>
      <c r="F251" t="s">
        <v>1650</v>
      </c>
      <c r="H251">
        <v>7.8481207054677E-3</v>
      </c>
      <c r="J251">
        <v>7.8481207054677E-3</v>
      </c>
      <c r="K251" t="s">
        <v>1177</v>
      </c>
      <c r="L251" t="s">
        <v>1138</v>
      </c>
    </row>
    <row r="252" spans="1:12" x14ac:dyDescent="0.35">
      <c r="A252">
        <v>2.0056022895238401E-2</v>
      </c>
      <c r="B252">
        <v>2.2713969923905002E-2</v>
      </c>
      <c r="C252">
        <v>3.17278315390737E-2</v>
      </c>
      <c r="D252">
        <v>3.17278315390737E-2</v>
      </c>
      <c r="E252" t="s">
        <v>1689</v>
      </c>
      <c r="F252" t="s">
        <v>1650</v>
      </c>
      <c r="H252">
        <v>7.8392933990876195E-3</v>
      </c>
      <c r="J252">
        <v>7.8392933990876195E-3</v>
      </c>
      <c r="K252" t="s">
        <v>1178</v>
      </c>
      <c r="L252" t="s">
        <v>1138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deflators_override</vt:lpstr>
      <vt:lpstr>forecast comparison</vt:lpstr>
      <vt:lpstr>Dec v. Now</vt:lpstr>
      <vt:lpstr>forecast</vt:lpstr>
      <vt:lpstr>December - MPI</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2025-01-31T20:18:19Z</dcterms:modified>
  <cp:category/>
  <cp:contentStatus/>
</cp:coreProperties>
</file>