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tsclient\c\Users\GMilesiFerretti\OneDrive - The Brookings Institution\Documents\FOLDERS\tourism\"/>
    </mc:Choice>
  </mc:AlternateContent>
  <xr:revisionPtr revIDLastSave="0" documentId="13_ncr:1_{CDEF3F9A-DC38-4564-B4DE-6C3C8FD2670D}" xr6:coauthVersionLast="44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Table 6_CA" sheetId="4" r:id="rId1"/>
    <sheet name="Table 6_CA_new" sheetId="6" r:id="rId2"/>
    <sheet name="Table_7 growth_regr_1" sheetId="2" r:id="rId3"/>
    <sheet name="Table_8 growth regr2" sheetId="5" r:id="rId4"/>
    <sheet name="Table_regr_2_alt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5" l="1"/>
  <c r="J41" i="5"/>
  <c r="I41" i="5"/>
  <c r="H41" i="5"/>
  <c r="G41" i="5"/>
  <c r="F41" i="5"/>
  <c r="E41" i="5"/>
  <c r="D41" i="5"/>
  <c r="C41" i="5"/>
  <c r="J40" i="5"/>
  <c r="I40" i="5"/>
  <c r="H40" i="5"/>
  <c r="G40" i="5"/>
  <c r="F40" i="5"/>
  <c r="E40" i="5"/>
  <c r="D40" i="5"/>
  <c r="C40" i="5"/>
  <c r="J38" i="5"/>
  <c r="I38" i="5"/>
  <c r="H38" i="5"/>
  <c r="G38" i="5"/>
  <c r="F38" i="5"/>
  <c r="E38" i="5"/>
  <c r="D38" i="5"/>
  <c r="C38" i="5"/>
  <c r="J37" i="5"/>
  <c r="I37" i="5"/>
  <c r="H37" i="5"/>
  <c r="G37" i="5"/>
  <c r="F37" i="5"/>
  <c r="E37" i="5"/>
  <c r="D37" i="5"/>
  <c r="C37" i="5"/>
  <c r="J35" i="5"/>
  <c r="I35" i="5"/>
  <c r="H35" i="5"/>
  <c r="G35" i="5"/>
  <c r="F35" i="5"/>
  <c r="E35" i="5"/>
  <c r="D35" i="5"/>
  <c r="C35" i="5"/>
  <c r="I34" i="5"/>
  <c r="H34" i="5"/>
  <c r="G34" i="5"/>
  <c r="F34" i="5"/>
  <c r="E34" i="5"/>
  <c r="D34" i="5"/>
  <c r="J32" i="5"/>
  <c r="I32" i="5"/>
  <c r="H32" i="5"/>
  <c r="G32" i="5"/>
  <c r="F32" i="5"/>
  <c r="E32" i="5"/>
  <c r="D32" i="5"/>
  <c r="C32" i="5"/>
  <c r="J31" i="5"/>
  <c r="I31" i="5"/>
  <c r="H31" i="5"/>
  <c r="G31" i="5"/>
  <c r="F31" i="5"/>
  <c r="E31" i="5"/>
  <c r="D31" i="5"/>
  <c r="C31" i="5"/>
  <c r="J29" i="5"/>
  <c r="I29" i="5"/>
  <c r="H29" i="5"/>
  <c r="G29" i="5"/>
  <c r="F29" i="5"/>
  <c r="E29" i="5"/>
  <c r="D29" i="5"/>
  <c r="C29" i="5"/>
  <c r="J28" i="5"/>
  <c r="I28" i="5"/>
  <c r="H28" i="5"/>
  <c r="G28" i="5"/>
  <c r="F28" i="5"/>
  <c r="E28" i="5"/>
  <c r="D28" i="5"/>
  <c r="C28" i="5"/>
  <c r="J26" i="5"/>
  <c r="I26" i="5"/>
  <c r="H26" i="5"/>
  <c r="G26" i="5"/>
  <c r="F26" i="5"/>
  <c r="E26" i="5"/>
  <c r="D26" i="5"/>
  <c r="C26" i="5"/>
  <c r="J25" i="5"/>
  <c r="I25" i="5"/>
  <c r="H25" i="5"/>
  <c r="G25" i="5"/>
  <c r="F25" i="5"/>
  <c r="E25" i="5"/>
  <c r="D25" i="5"/>
  <c r="C25" i="5"/>
  <c r="J23" i="5"/>
  <c r="I23" i="5"/>
  <c r="H23" i="5"/>
  <c r="G23" i="5"/>
  <c r="F23" i="5"/>
  <c r="E23" i="5"/>
  <c r="D23" i="5"/>
  <c r="C23" i="5"/>
  <c r="J22" i="5"/>
  <c r="I22" i="5"/>
  <c r="H22" i="5"/>
  <c r="G22" i="5"/>
  <c r="F22" i="5"/>
  <c r="E22" i="5"/>
  <c r="D22" i="5"/>
  <c r="C22" i="5"/>
  <c r="J20" i="5"/>
  <c r="I20" i="5"/>
  <c r="H20" i="5"/>
  <c r="G20" i="5"/>
  <c r="F20" i="5"/>
  <c r="E20" i="5"/>
  <c r="D20" i="5"/>
  <c r="C20" i="5"/>
  <c r="J19" i="5"/>
  <c r="I19" i="5"/>
  <c r="H19" i="5"/>
  <c r="G19" i="5"/>
  <c r="F19" i="5"/>
  <c r="E19" i="5"/>
  <c r="D19" i="5"/>
  <c r="J17" i="5"/>
  <c r="I17" i="5"/>
  <c r="H17" i="5"/>
  <c r="G17" i="5"/>
  <c r="F17" i="5"/>
  <c r="E17" i="5"/>
  <c r="D17" i="5"/>
  <c r="C17" i="5"/>
  <c r="I16" i="5"/>
  <c r="H16" i="5"/>
  <c r="G16" i="5"/>
  <c r="F16" i="5"/>
  <c r="E16" i="5"/>
  <c r="D16" i="5"/>
  <c r="C16" i="5"/>
  <c r="J14" i="5"/>
  <c r="I14" i="5"/>
  <c r="H14" i="5"/>
  <c r="G14" i="5"/>
  <c r="F14" i="5"/>
  <c r="E14" i="5"/>
  <c r="D14" i="5"/>
  <c r="C14" i="5"/>
  <c r="J13" i="5"/>
  <c r="I13" i="5"/>
  <c r="H13" i="5"/>
  <c r="G13" i="5"/>
  <c r="F13" i="5"/>
  <c r="E13" i="5"/>
  <c r="D13" i="5"/>
  <c r="C13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E4" i="5"/>
  <c r="D4" i="5"/>
  <c r="C4" i="5"/>
  <c r="G4" i="5"/>
  <c r="B22" i="2"/>
  <c r="B19" i="2"/>
  <c r="C13" i="2"/>
  <c r="B22" i="5"/>
  <c r="B25" i="5"/>
  <c r="J4" i="5"/>
  <c r="I4" i="5"/>
  <c r="B1" i="6" l="1"/>
  <c r="B3" i="6"/>
  <c r="C3" i="6"/>
  <c r="D3" i="6"/>
  <c r="E3" i="6"/>
  <c r="F3" i="6"/>
  <c r="G3" i="6"/>
  <c r="H3" i="6"/>
  <c r="B4" i="6"/>
  <c r="C4" i="6"/>
  <c r="D4" i="6"/>
  <c r="E4" i="6"/>
  <c r="F4" i="6"/>
  <c r="G4" i="6"/>
  <c r="H4" i="6"/>
  <c r="C6" i="6"/>
  <c r="D6" i="6"/>
  <c r="E6" i="6"/>
  <c r="F6" i="6"/>
  <c r="G6" i="6"/>
  <c r="H6" i="6"/>
  <c r="B7" i="6"/>
  <c r="C7" i="6"/>
  <c r="D7" i="6"/>
  <c r="E7" i="6"/>
  <c r="F7" i="6"/>
  <c r="G7" i="6"/>
  <c r="H7" i="6"/>
  <c r="C9" i="6"/>
  <c r="D9" i="6"/>
  <c r="E9" i="6"/>
  <c r="F9" i="6"/>
  <c r="G9" i="6"/>
  <c r="H9" i="6"/>
  <c r="B10" i="6"/>
  <c r="C10" i="6"/>
  <c r="D10" i="6"/>
  <c r="E10" i="6"/>
  <c r="F10" i="6"/>
  <c r="G10" i="6"/>
  <c r="H10" i="6"/>
  <c r="C12" i="6"/>
  <c r="D12" i="6"/>
  <c r="E12" i="6"/>
  <c r="F12" i="6"/>
  <c r="G12" i="6"/>
  <c r="H12" i="6"/>
  <c r="B13" i="6"/>
  <c r="C13" i="6"/>
  <c r="D13" i="6"/>
  <c r="E13" i="6"/>
  <c r="F13" i="6"/>
  <c r="G13" i="6"/>
  <c r="H13" i="6"/>
  <c r="B15" i="6"/>
  <c r="C15" i="6"/>
  <c r="D15" i="6"/>
  <c r="E15" i="6"/>
  <c r="F15" i="6"/>
  <c r="G15" i="6"/>
  <c r="H15" i="6"/>
  <c r="B16" i="6"/>
  <c r="C16" i="6"/>
  <c r="D16" i="6"/>
  <c r="E16" i="6"/>
  <c r="F16" i="6"/>
  <c r="G16" i="6"/>
  <c r="H16" i="6"/>
  <c r="B18" i="6"/>
  <c r="C18" i="6"/>
  <c r="D18" i="6"/>
  <c r="E18" i="6"/>
  <c r="F18" i="6"/>
  <c r="G18" i="6"/>
  <c r="H18" i="6"/>
  <c r="B19" i="6"/>
  <c r="C19" i="6"/>
  <c r="D19" i="6"/>
  <c r="E19" i="6"/>
  <c r="F19" i="6"/>
  <c r="G19" i="6"/>
  <c r="H19" i="6"/>
  <c r="B21" i="6"/>
  <c r="B41" i="5" l="1"/>
  <c r="B40" i="5"/>
  <c r="B38" i="5"/>
  <c r="B37" i="5"/>
  <c r="B17" i="5"/>
  <c r="B26" i="5"/>
  <c r="B23" i="5"/>
  <c r="B14" i="5"/>
  <c r="B13" i="5"/>
  <c r="B8" i="5"/>
  <c r="B7" i="5"/>
  <c r="B5" i="5"/>
  <c r="B4" i="5"/>
  <c r="F4" i="5"/>
  <c r="H4" i="5"/>
  <c r="C5" i="5"/>
  <c r="J5" i="5"/>
  <c r="K16" i="5"/>
  <c r="H19" i="4"/>
  <c r="G19" i="4"/>
  <c r="F19" i="4"/>
  <c r="E19" i="4"/>
  <c r="D19" i="4"/>
  <c r="C19" i="4"/>
  <c r="H18" i="4"/>
  <c r="G18" i="4"/>
  <c r="F18" i="4"/>
  <c r="E18" i="4"/>
  <c r="D18" i="4"/>
  <c r="C18" i="4"/>
  <c r="B3" i="4"/>
  <c r="C3" i="4"/>
  <c r="D3" i="4"/>
  <c r="E3" i="4"/>
  <c r="F3" i="4"/>
  <c r="G3" i="4"/>
  <c r="H3" i="4"/>
  <c r="B4" i="4"/>
  <c r="C4" i="4"/>
  <c r="D4" i="4"/>
  <c r="E4" i="4"/>
  <c r="F4" i="4"/>
  <c r="G4" i="4"/>
  <c r="H4" i="4"/>
  <c r="C6" i="4"/>
  <c r="D6" i="4"/>
  <c r="E6" i="4"/>
  <c r="F6" i="4"/>
  <c r="G6" i="4"/>
  <c r="H6" i="4"/>
  <c r="B7" i="4"/>
  <c r="C7" i="4"/>
  <c r="D7" i="4"/>
  <c r="E7" i="4"/>
  <c r="F7" i="4"/>
  <c r="G7" i="4"/>
  <c r="H7" i="4"/>
  <c r="C9" i="4"/>
  <c r="D9" i="4"/>
  <c r="E9" i="4"/>
  <c r="F9" i="4"/>
  <c r="G9" i="4"/>
  <c r="H9" i="4"/>
  <c r="B10" i="4"/>
  <c r="C10" i="4"/>
  <c r="D10" i="4"/>
  <c r="E10" i="4"/>
  <c r="F10" i="4"/>
  <c r="G10" i="4"/>
  <c r="H10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8" i="4"/>
  <c r="B19" i="4"/>
  <c r="B21" i="4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J32" i="3"/>
  <c r="I32" i="3"/>
  <c r="H32" i="3"/>
  <c r="G32" i="3"/>
  <c r="F32" i="3"/>
  <c r="E32" i="3"/>
  <c r="D32" i="3"/>
  <c r="C32" i="3"/>
  <c r="B32" i="3"/>
  <c r="K31" i="3"/>
  <c r="I31" i="3"/>
  <c r="H31" i="3"/>
  <c r="G31" i="3"/>
  <c r="F31" i="3"/>
  <c r="E31" i="3"/>
  <c r="D31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7" i="3"/>
  <c r="I17" i="3"/>
  <c r="H17" i="3"/>
  <c r="G17" i="3"/>
  <c r="F17" i="3"/>
  <c r="E17" i="3"/>
  <c r="D17" i="3"/>
  <c r="C17" i="3"/>
  <c r="B17" i="3"/>
  <c r="K16" i="3"/>
  <c r="J16" i="3"/>
  <c r="H16" i="3"/>
  <c r="G16" i="3"/>
  <c r="F16" i="3"/>
  <c r="E16" i="3"/>
  <c r="D16" i="3"/>
  <c r="C16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B1" i="3"/>
  <c r="B26" i="2"/>
  <c r="B4" i="2"/>
  <c r="B5" i="2"/>
  <c r="B7" i="2"/>
  <c r="B8" i="2"/>
  <c r="B10" i="2"/>
  <c r="B11" i="2"/>
  <c r="B13" i="2"/>
  <c r="B14" i="2"/>
  <c r="B17" i="2"/>
  <c r="B20" i="2"/>
  <c r="B23" i="2"/>
  <c r="B29" i="2"/>
  <c r="B31" i="2"/>
  <c r="B32" i="2"/>
  <c r="B34" i="2"/>
  <c r="B35" i="2"/>
</calcChain>
</file>

<file path=xl/sharedStrings.xml><?xml version="1.0" encoding="utf-8"?>
<sst xmlns="http://schemas.openxmlformats.org/spreadsheetml/2006/main" count="155" uniqueCount="114">
  <si>
    <t>="* p&lt;0.10</t>
  </si>
  <si>
    <t xml:space="preserve"> ** p&lt;0.05</t>
  </si>
  <si>
    <t xml:space="preserve"> *** p&lt;0.010"</t>
  </si>
  <si>
    <t>All</t>
  </si>
  <si>
    <t>VA share of agriculture (2014-19)</t>
  </si>
  <si>
    <t>VA share of manufacturing  (avg 2014-19)</t>
  </si>
  <si>
    <t>Tourism activity (direct share of GDP)</t>
  </si>
  <si>
    <t>Tourism activity (total share of GDP)</t>
  </si>
  <si>
    <t>Net revenues from int. travel (pct of GDP, 2015-19)</t>
  </si>
  <si>
    <t>t statistics in parentheses</t>
  </si>
  <si>
    <t>* p&lt;0.10, ** p&lt;0.05,  *** p&lt;0.01</t>
  </si>
  <si>
    <t>Current account balance (pct of GDP, 2015-19)</t>
  </si>
  <si>
    <t>Oil balance (pct of GDP, 2015-19)</t>
  </si>
  <si>
    <t>Net rev. from int. travel (pct of GDP, 2015-19)</t>
  </si>
  <si>
    <t>Dir. Tour&lt;5</t>
  </si>
  <si>
    <t>="Net international travel revenues (pct of GDP</t>
  </si>
  <si>
    <t>="Oil balance in percent of GDP</t>
  </si>
  <si>
    <t>="Current account balance as a share of GDP</t>
  </si>
  <si>
    <t>-32.5***</t>
  </si>
  <si>
    <t>-8.30**</t>
  </si>
  <si>
    <t>(-1.75)</t>
  </si>
  <si>
    <t>(-0.21)</t>
  </si>
  <si>
    <t>(-5.85)</t>
  </si>
  <si>
    <t>(-4.33)</t>
  </si>
  <si>
    <t>(-3.49)</t>
  </si>
  <si>
    <t>(-8.85)</t>
  </si>
  <si>
    <t>(-12.78)</t>
  </si>
  <si>
    <t>(-5.02)</t>
  </si>
  <si>
    <t>(-4.42)</t>
  </si>
  <si>
    <t>(-2.49)</t>
  </si>
  <si>
    <t>(-3.84)</t>
  </si>
  <si>
    <t>(-0.82)</t>
  </si>
  <si>
    <t>(-0.37)</t>
  </si>
  <si>
    <t/>
  </si>
  <si>
    <t>(2.03)</t>
  </si>
  <si>
    <t>(5.12)</t>
  </si>
  <si>
    <t>(1.45)</t>
  </si>
  <si>
    <t>(1.95)</t>
  </si>
  <si>
    <t>(1.82)</t>
  </si>
  <si>
    <t>(1.29)</t>
  </si>
  <si>
    <t>(2.12)</t>
  </si>
  <si>
    <t>(2.17)</t>
  </si>
  <si>
    <t>(2.20)</t>
  </si>
  <si>
    <t>-2.42</t>
  </si>
  <si>
    <t>0.45**</t>
  </si>
  <si>
    <t>0.13**</t>
  </si>
  <si>
    <t>0.10**</t>
  </si>
  <si>
    <t>0.52*</t>
  </si>
  <si>
    <t>0.70**</t>
  </si>
  <si>
    <t>2.70***</t>
  </si>
  <si>
    <t>0.10*</t>
  </si>
  <si>
    <t>Dir. Tour&gt;5</t>
  </si>
  <si>
    <t>(1)</t>
  </si>
  <si>
    <t>(2)</t>
  </si>
  <si>
    <t>(3)</t>
  </si>
  <si>
    <t>(4)</t>
  </si>
  <si>
    <t>(5)</t>
  </si>
  <si>
    <t>(6)</t>
  </si>
  <si>
    <t>AE</t>
  </si>
  <si>
    <t>EM</t>
  </si>
  <si>
    <t>0.025</t>
  </si>
  <si>
    <t>0.001</t>
  </si>
  <si>
    <t>(1.06)</t>
  </si>
  <si>
    <t>(1.14)</t>
  </si>
  <si>
    <t>(0.02)</t>
  </si>
  <si>
    <t>(1.11)</t>
  </si>
  <si>
    <t>-1.09</t>
  </si>
  <si>
    <t>-2.54***</t>
  </si>
  <si>
    <t>-3.10***</t>
  </si>
  <si>
    <t>-2.50**</t>
  </si>
  <si>
    <t>-2.99**</t>
  </si>
  <si>
    <t>(-2.51)</t>
  </si>
  <si>
    <t>(-2.53)</t>
  </si>
  <si>
    <t>-0.10***</t>
  </si>
  <si>
    <t>-0.12***</t>
  </si>
  <si>
    <t>-0.11***</t>
  </si>
  <si>
    <t>0.01</t>
  </si>
  <si>
    <t>(0.28)</t>
  </si>
  <si>
    <t>(-3.89)</t>
  </si>
  <si>
    <t>-0.26***</t>
  </si>
  <si>
    <t>-0.23***</t>
  </si>
  <si>
    <t>-0.21***</t>
  </si>
  <si>
    <t>-0.28***</t>
  </si>
  <si>
    <t>-0.19***</t>
  </si>
  <si>
    <t>(-6.46)</t>
  </si>
  <si>
    <t>(-4.67)</t>
  </si>
  <si>
    <t>0.22</t>
  </si>
  <si>
    <t>(1.05)</t>
  </si>
  <si>
    <t>0.33</t>
  </si>
  <si>
    <t>-0.44*</t>
  </si>
  <si>
    <t>0.40</t>
  </si>
  <si>
    <t>(2.07)</t>
  </si>
  <si>
    <t>0.067</t>
  </si>
  <si>
    <t>0.098**</t>
  </si>
  <si>
    <t>-3.38**</t>
  </si>
  <si>
    <t>1.28</t>
  </si>
  <si>
    <t>-0.98</t>
  </si>
  <si>
    <t>(-2.12)</t>
  </si>
  <si>
    <t>(1.09)</t>
  </si>
  <si>
    <t>(-0.55)</t>
  </si>
  <si>
    <t>(-2.10)</t>
  </si>
  <si>
    <t>(-4.80)</t>
  </si>
  <si>
    <t>(-0.56)</t>
  </si>
  <si>
    <t>Net rev. from intl. passenger transport</t>
  </si>
  <si>
    <t>(percent of GDP, avg 2015-19)</t>
  </si>
  <si>
    <t>GDP&gt;100 bn</t>
  </si>
  <si>
    <t>GDP&lt;100 bn</t>
  </si>
  <si>
    <t>Net revenues from int. travel</t>
  </si>
  <si>
    <t xml:space="preserve"> (pct of GDP, 2015-19)</t>
  </si>
  <si>
    <t xml:space="preserve"> (per 1000 popul.)</t>
  </si>
  <si>
    <t>VA share of manufacturing</t>
  </si>
  <si>
    <t xml:space="preserve">  (avg 2014-19)</t>
  </si>
  <si>
    <t>VA share of agriculture</t>
  </si>
  <si>
    <t xml:space="preserve"> (2014-19)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</si>
</sst>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2" fontId="0" fillId="33" borderId="0" xfId="0" applyNumberFormat="1" applyFill="1"/>
    <xf numFmtId="0" fontId="0" fillId="33" borderId="0" xfId="0" applyFill="1" applyAlignment="1">
      <alignment horizontal="center"/>
    </xf>
    <xf numFmtId="2" fontId="0" fillId="33" borderId="0" xfId="0" applyNumberFormat="1" applyFill="1" applyAlignment="1">
      <alignment horizontal="center"/>
    </xf>
    <xf numFmtId="0" fontId="0" fillId="33" borderId="0" xfId="0" applyFill="1" applyAlignment="1">
      <alignment wrapText="1"/>
    </xf>
    <xf numFmtId="0" fontId="0" fillId="33" borderId="0" xfId="0" applyFill="1" applyAlignment="1"/>
    <xf numFmtId="164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2"/>
  <sheetViews>
    <sheetView workbookViewId="0">
      <selection sqref="A1:XFD1048576"/>
    </sheetView>
  </sheetViews>
  <sheetFormatPr defaultRowHeight="14.5" x14ac:dyDescent="0.35"/>
  <cols>
    <col min="1" max="1" width="4.36328125" customWidth="1"/>
    <col min="2" max="2" width="39" customWidth="1"/>
    <col min="4" max="4" width="10.08984375" customWidth="1"/>
    <col min="6" max="6" width="11.36328125" customWidth="1"/>
  </cols>
  <sheetData>
    <row r="2" spans="1:8" x14ac:dyDescent="0.35">
      <c r="A2" s="1"/>
      <c r="B2" s="1"/>
      <c r="C2" s="1"/>
      <c r="D2" s="1"/>
      <c r="E2" s="1"/>
      <c r="F2" s="1"/>
      <c r="G2" s="1"/>
      <c r="H2" s="1"/>
    </row>
    <row r="3" spans="1:8" x14ac:dyDescent="0.35">
      <c r="A3" s="1"/>
      <c r="B3" s="1" t="str">
        <f>""</f>
        <v/>
      </c>
      <c r="C3" s="1" t="str">
        <f>"(1)"</f>
        <v>(1)</v>
      </c>
      <c r="D3" s="1" t="str">
        <f>"(2)"</f>
        <v>(2)</v>
      </c>
      <c r="E3" s="1" t="str">
        <f>"(3)"</f>
        <v>(3)</v>
      </c>
      <c r="F3" s="1" t="str">
        <f>"(4)"</f>
        <v>(4)</v>
      </c>
      <c r="G3" s="1" t="str">
        <f>"(5)"</f>
        <v>(5)</v>
      </c>
      <c r="H3" s="1" t="str">
        <f>"(6)"</f>
        <v>(6)</v>
      </c>
    </row>
    <row r="4" spans="1:8" x14ac:dyDescent="0.35">
      <c r="A4" s="1"/>
      <c r="B4" s="1" t="str">
        <f>""</f>
        <v/>
      </c>
      <c r="C4" s="1" t="str">
        <f>"All"</f>
        <v>All</v>
      </c>
      <c r="D4" s="1" t="str">
        <f>"All ex KWT"</f>
        <v>All ex KWT</v>
      </c>
      <c r="E4" s="1" t="str">
        <f>"Adv Ec"</f>
        <v>Adv Ec</v>
      </c>
      <c r="F4" s="1" t="str">
        <f>"EM ex KUW"</f>
        <v>EM ex KUW</v>
      </c>
      <c r="G4" s="1" t="str">
        <f>"BTV&gt;0"</f>
        <v>BTV&gt;0</v>
      </c>
      <c r="H4" s="1" t="str">
        <f>"BTV&lt;0"</f>
        <v>BTV&lt;0</v>
      </c>
    </row>
    <row r="5" spans="1:8" x14ac:dyDescent="0.35">
      <c r="A5" s="1"/>
      <c r="B5" s="1"/>
      <c r="C5" s="1"/>
      <c r="D5" s="1"/>
      <c r="E5" s="1"/>
      <c r="F5" s="1"/>
      <c r="G5" s="1"/>
      <c r="H5" s="1"/>
    </row>
    <row r="6" spans="1:8" x14ac:dyDescent="0.35">
      <c r="A6" s="1"/>
      <c r="B6" s="1" t="s">
        <v>11</v>
      </c>
      <c r="C6" s="1" t="str">
        <f>"-0.162***"</f>
        <v>-0.162***</v>
      </c>
      <c r="D6" s="1" t="str">
        <f>"-0.186***"</f>
        <v>-0.186***</v>
      </c>
      <c r="E6" s="1" t="str">
        <f>"-0.178**"</f>
        <v>-0.178**</v>
      </c>
      <c r="F6" s="1" t="str">
        <f>"-0.170**"</f>
        <v>-0.170**</v>
      </c>
      <c r="G6" s="1" t="str">
        <f>"-0.132"</f>
        <v>-0.132</v>
      </c>
      <c r="H6" s="1" t="str">
        <f>"-0.270***"</f>
        <v>-0.270***</v>
      </c>
    </row>
    <row r="7" spans="1:8" x14ac:dyDescent="0.35">
      <c r="A7" s="1"/>
      <c r="B7" s="1" t="str">
        <f>""</f>
        <v/>
      </c>
      <c r="C7" s="1" t="str">
        <f>"(-2.67)"</f>
        <v>(-2.67)</v>
      </c>
      <c r="D7" s="1" t="str">
        <f>"(-3.07)"</f>
        <v>(-3.07)</v>
      </c>
      <c r="E7" s="1" t="str">
        <f>"(-2.30)"</f>
        <v>(-2.30)</v>
      </c>
      <c r="F7" s="1" t="str">
        <f>"(-2.22)"</f>
        <v>(-2.22)</v>
      </c>
      <c r="G7" s="1" t="str">
        <f>"(-1.62)"</f>
        <v>(-1.62)</v>
      </c>
      <c r="H7" s="1" t="str">
        <f>"(-3.24)"</f>
        <v>(-3.24)</v>
      </c>
    </row>
    <row r="8" spans="1:8" x14ac:dyDescent="0.35">
      <c r="A8" s="1"/>
      <c r="B8" s="1"/>
      <c r="C8" s="1"/>
      <c r="D8" s="1"/>
      <c r="E8" s="1"/>
      <c r="F8" s="1"/>
      <c r="G8" s="1"/>
      <c r="H8" s="1"/>
    </row>
    <row r="9" spans="1:8" x14ac:dyDescent="0.35">
      <c r="A9" s="1"/>
      <c r="B9" s="1" t="s">
        <v>12</v>
      </c>
      <c r="C9" s="1" t="str">
        <f>"-0.125"</f>
        <v>-0.125</v>
      </c>
      <c r="D9" s="1" t="str">
        <f>"-0.229***"</f>
        <v>-0.229***</v>
      </c>
      <c r="E9" s="1" t="str">
        <f>"-0.532***"</f>
        <v>-0.532***</v>
      </c>
      <c r="F9" s="1" t="str">
        <f>"-0.231***"</f>
        <v>-0.231***</v>
      </c>
      <c r="G9" s="1" t="str">
        <f>"-0.265***"</f>
        <v>-0.265***</v>
      </c>
      <c r="H9" s="1" t="str">
        <f>"-0.223***"</f>
        <v>-0.223***</v>
      </c>
    </row>
    <row r="10" spans="1:8" x14ac:dyDescent="0.35">
      <c r="A10" s="1"/>
      <c r="B10" s="1" t="str">
        <f>""</f>
        <v/>
      </c>
      <c r="C10" s="1" t="str">
        <f>"(-1.33)"</f>
        <v>(-1.33)</v>
      </c>
      <c r="D10" s="1" t="str">
        <f>"(-8.16)"</f>
        <v>(-8.16)</v>
      </c>
      <c r="E10" s="1" t="str">
        <f>"(-4.60)"</f>
        <v>(-4.60)</v>
      </c>
      <c r="F10" s="1" t="str">
        <f>"(-7.16)"</f>
        <v>(-7.16)</v>
      </c>
      <c r="G10" s="1" t="str">
        <f>"(-3.39)"</f>
        <v>(-3.39)</v>
      </c>
      <c r="H10" s="1" t="str">
        <f>"(-8.00)"</f>
        <v>(-8.00)</v>
      </c>
    </row>
    <row r="11" spans="1:8" x14ac:dyDescent="0.35">
      <c r="A11" s="1"/>
      <c r="B11" s="1"/>
      <c r="C11" s="1"/>
      <c r="D11" s="1"/>
      <c r="E11" s="1"/>
      <c r="F11" s="1"/>
      <c r="G11" s="1"/>
      <c r="H11" s="1"/>
    </row>
    <row r="12" spans="1:8" x14ac:dyDescent="0.35">
      <c r="A12" s="1"/>
      <c r="B12" s="1" t="s">
        <v>13</v>
      </c>
      <c r="C12" s="1" t="str">
        <f>"-0.335***"</f>
        <v>-0.335***</v>
      </c>
      <c r="D12" s="1" t="str">
        <f>"-0.340***"</f>
        <v>-0.340***</v>
      </c>
      <c r="E12" s="1" t="str">
        <f>"-0.961***"</f>
        <v>-0.961***</v>
      </c>
      <c r="F12" s="1" t="str">
        <f>"-0.332***"</f>
        <v>-0.332***</v>
      </c>
      <c r="G12" s="1" t="str">
        <f>"-0.328***"</f>
        <v>-0.328***</v>
      </c>
      <c r="H12" s="1" t="str">
        <f>"-0.109"</f>
        <v>-0.109</v>
      </c>
    </row>
    <row r="13" spans="1:8" x14ac:dyDescent="0.35">
      <c r="A13" s="1"/>
      <c r="B13" s="1" t="str">
        <f>""</f>
        <v/>
      </c>
      <c r="C13" s="1" t="str">
        <f>"(-5.76)"</f>
        <v>(-5.76)</v>
      </c>
      <c r="D13" s="1" t="str">
        <f>"(-6.02)"</f>
        <v>(-6.02)</v>
      </c>
      <c r="E13" s="1" t="str">
        <f>"(-5.66)"</f>
        <v>(-5.66)</v>
      </c>
      <c r="F13" s="1" t="str">
        <f>"(-5.81)"</f>
        <v>(-5.81)</v>
      </c>
      <c r="G13" s="1" t="str">
        <f>"(-5.32)"</f>
        <v>(-5.32)</v>
      </c>
      <c r="H13" s="1" t="str">
        <f>"(-0.51)"</f>
        <v>(-0.51)</v>
      </c>
    </row>
    <row r="14" spans="1:8" x14ac:dyDescent="0.35">
      <c r="A14" s="1"/>
      <c r="B14" s="1"/>
      <c r="C14" s="1"/>
      <c r="D14" s="1"/>
      <c r="E14" s="1"/>
      <c r="F14" s="1"/>
      <c r="G14" s="1"/>
      <c r="H14" s="1"/>
    </row>
    <row r="15" spans="1:8" x14ac:dyDescent="0.35">
      <c r="A15" s="1"/>
      <c r="B15" s="1" t="str">
        <f>"Constant"</f>
        <v>Constant</v>
      </c>
      <c r="C15" s="1" t="str">
        <f>"1.123***"</f>
        <v>1.123***</v>
      </c>
      <c r="D15" s="1" t="str">
        <f>"0.876**"</f>
        <v>0.876**</v>
      </c>
      <c r="E15" s="1" t="str">
        <f>"0.792"</f>
        <v>0.792</v>
      </c>
      <c r="F15" s="1" t="str">
        <f>"1.052**"</f>
        <v>1.052**</v>
      </c>
      <c r="G15" s="1" t="str">
        <f>"0.809*"</f>
        <v>0.809*</v>
      </c>
      <c r="H15" s="1" t="str">
        <f>"1.287**"</f>
        <v>1.287**</v>
      </c>
    </row>
    <row r="16" spans="1:8" x14ac:dyDescent="0.35">
      <c r="A16" s="1"/>
      <c r="B16" s="1" t="str">
        <f>""</f>
        <v/>
      </c>
      <c r="C16" s="1" t="str">
        <f>"(2.70)"</f>
        <v>(2.70)</v>
      </c>
      <c r="D16" s="1" t="str">
        <f>"(2.52)"</f>
        <v>(2.52)</v>
      </c>
      <c r="E16" s="1" t="str">
        <f>"(1.60)"</f>
        <v>(1.60)</v>
      </c>
      <c r="F16" s="1" t="str">
        <f>"(2.17)"</f>
        <v>(2.17)</v>
      </c>
      <c r="G16" s="1" t="str">
        <f>"(1.74)"</f>
        <v>(1.74)</v>
      </c>
      <c r="H16" s="1" t="str">
        <f>"(2.10)"</f>
        <v>(2.10)</v>
      </c>
    </row>
    <row r="17" spans="1:8" x14ac:dyDescent="0.35">
      <c r="A17" s="1"/>
      <c r="B17" s="1"/>
      <c r="C17" s="1"/>
      <c r="D17" s="1"/>
      <c r="E17" s="1"/>
      <c r="F17" s="1"/>
      <c r="G17" s="1"/>
      <c r="H17" s="1"/>
    </row>
    <row r="18" spans="1:8" x14ac:dyDescent="0.35">
      <c r="A18" s="1"/>
      <c r="B18" s="1" t="str">
        <f>"Observations"</f>
        <v>Observations</v>
      </c>
      <c r="C18" s="3">
        <f>130</f>
        <v>130</v>
      </c>
      <c r="D18" s="3">
        <f>129</f>
        <v>129</v>
      </c>
      <c r="E18" s="3">
        <f>36</f>
        <v>36</v>
      </c>
      <c r="F18" s="3">
        <f>93</f>
        <v>93</v>
      </c>
      <c r="G18" s="3">
        <f>87</f>
        <v>87</v>
      </c>
      <c r="H18" s="3">
        <f>42</f>
        <v>42</v>
      </c>
    </row>
    <row r="19" spans="1:8" x14ac:dyDescent="0.35">
      <c r="A19" s="1"/>
      <c r="B19" s="1" t="str">
        <f>"R-squared"</f>
        <v>R-squared</v>
      </c>
      <c r="C19" s="3">
        <f>0.31</f>
        <v>0.31</v>
      </c>
      <c r="D19" s="4">
        <f>0.408</f>
        <v>0.40799999999999997</v>
      </c>
      <c r="E19" s="4">
        <f>0.509</f>
        <v>0.50900000000000001</v>
      </c>
      <c r="F19" s="4">
        <f>0.427</f>
        <v>0.42699999999999999</v>
      </c>
      <c r="G19" s="4">
        <f>0.375</f>
        <v>0.375</v>
      </c>
      <c r="H19" s="4">
        <f>0.526</f>
        <v>0.52600000000000002</v>
      </c>
    </row>
    <row r="20" spans="1:8" x14ac:dyDescent="0.35">
      <c r="A20" s="1"/>
      <c r="B20" s="1"/>
      <c r="C20" s="1"/>
      <c r="D20" s="1"/>
      <c r="E20" s="1"/>
      <c r="F20" s="1"/>
      <c r="G20" s="1"/>
      <c r="H20" s="1"/>
    </row>
    <row r="21" spans="1:8" x14ac:dyDescent="0.35">
      <c r="B21" t="str">
        <f>"t statistics in parentheses"</f>
        <v>t statistics in parentheses</v>
      </c>
    </row>
    <row r="22" spans="1:8" x14ac:dyDescent="0.35">
      <c r="B22" t="s">
        <v>0</v>
      </c>
      <c r="C22" t="s">
        <v>1</v>
      </c>
      <c r="D2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1B413-496E-491D-A652-10DE842D7CE2}">
  <dimension ref="A1:H22"/>
  <sheetViews>
    <sheetView workbookViewId="0">
      <selection activeCell="K10" sqref="K10"/>
    </sheetView>
  </sheetViews>
  <sheetFormatPr defaultRowHeight="14.5" x14ac:dyDescent="0.35"/>
  <cols>
    <col min="1" max="1" width="4.36328125" customWidth="1"/>
    <col min="2" max="2" width="39" customWidth="1"/>
    <col min="4" max="4" width="10.08984375" customWidth="1"/>
    <col min="6" max="6" width="11.36328125" customWidth="1"/>
  </cols>
  <sheetData>
    <row r="1" spans="1:8" x14ac:dyDescent="0.35">
      <c r="B1" t="str">
        <f>"growth regressions"</f>
        <v>growth regressions</v>
      </c>
    </row>
    <row r="2" spans="1:8" x14ac:dyDescent="0.35">
      <c r="A2" s="1"/>
      <c r="B2" s="1"/>
      <c r="C2" s="1"/>
      <c r="D2" s="1"/>
      <c r="E2" s="1"/>
      <c r="F2" s="1"/>
      <c r="G2" s="1"/>
      <c r="H2" s="1"/>
    </row>
    <row r="3" spans="1:8" x14ac:dyDescent="0.35">
      <c r="A3" s="1"/>
      <c r="B3" s="1" t="str">
        <f>""</f>
        <v/>
      </c>
      <c r="C3" s="1" t="str">
        <f>"(1)"</f>
        <v>(1)</v>
      </c>
      <c r="D3" s="1" t="str">
        <f>"(2)"</f>
        <v>(2)</v>
      </c>
      <c r="E3" s="1" t="str">
        <f>"(3)"</f>
        <v>(3)</v>
      </c>
      <c r="F3" s="1" t="str">
        <f>"(4)"</f>
        <v>(4)</v>
      </c>
      <c r="G3" s="1" t="str">
        <f>"(5)"</f>
        <v>(5)</v>
      </c>
      <c r="H3" s="1" t="str">
        <f>"(6)"</f>
        <v>(6)</v>
      </c>
    </row>
    <row r="4" spans="1:8" x14ac:dyDescent="0.35">
      <c r="A4" s="1"/>
      <c r="B4" s="1" t="str">
        <f>""</f>
        <v/>
      </c>
      <c r="C4" s="1" t="str">
        <f>"All"</f>
        <v>All</v>
      </c>
      <c r="D4" s="1" t="str">
        <f>"All ex KWT"</f>
        <v>All ex KWT</v>
      </c>
      <c r="E4" s="1" t="str">
        <f>"Adv Ec"</f>
        <v>Adv Ec</v>
      </c>
      <c r="F4" s="1" t="str">
        <f>"EM ex KUW"</f>
        <v>EM ex KUW</v>
      </c>
      <c r="G4" s="1" t="str">
        <f>"BTV&gt;0"</f>
        <v>BTV&gt;0</v>
      </c>
      <c r="H4" s="1" t="str">
        <f>"BTV&lt;0"</f>
        <v>BTV&lt;0</v>
      </c>
    </row>
    <row r="5" spans="1:8" x14ac:dyDescent="0.35">
      <c r="A5" s="1"/>
      <c r="B5" s="1"/>
      <c r="C5" s="1"/>
      <c r="D5" s="1"/>
      <c r="E5" s="1"/>
      <c r="F5" s="1"/>
      <c r="G5" s="1"/>
      <c r="H5" s="1"/>
    </row>
    <row r="6" spans="1:8" x14ac:dyDescent="0.35">
      <c r="A6" s="1"/>
      <c r="B6" s="1" t="s">
        <v>17</v>
      </c>
      <c r="C6" s="1" t="str">
        <f>"-0.254"</f>
        <v>-0.254</v>
      </c>
      <c r="D6" s="1" t="str">
        <f>"-0.282"</f>
        <v>-0.282</v>
      </c>
      <c r="E6" s="1" t="str">
        <f>"-0.134"</f>
        <v>-0.134</v>
      </c>
      <c r="F6" s="1" t="str">
        <f>"-0.290"</f>
        <v>-0.290</v>
      </c>
      <c r="G6" s="1" t="str">
        <f>"-0.329"</f>
        <v>-0.329</v>
      </c>
      <c r="H6" s="1" t="str">
        <f>"-0.175**"</f>
        <v>-0.175**</v>
      </c>
    </row>
    <row r="7" spans="1:8" x14ac:dyDescent="0.35">
      <c r="A7" s="1"/>
      <c r="B7" s="1" t="str">
        <f>""</f>
        <v/>
      </c>
      <c r="C7" s="1" t="str">
        <f>"(-1.32)"</f>
        <v>(-1.32)</v>
      </c>
      <c r="D7" s="1" t="str">
        <f>"(-1.52)"</f>
        <v>(-1.52)</v>
      </c>
      <c r="E7" s="1" t="str">
        <f>"(-1.29)"</f>
        <v>(-1.29)</v>
      </c>
      <c r="F7" s="1" t="str">
        <f>"(-1.15)"</f>
        <v>(-1.15)</v>
      </c>
      <c r="G7" s="1" t="str">
        <f>"(-1.16)"</f>
        <v>(-1.16)</v>
      </c>
      <c r="H7" s="1" t="str">
        <f>"(-2.06)"</f>
        <v>(-2.06)</v>
      </c>
    </row>
    <row r="8" spans="1:8" x14ac:dyDescent="0.35">
      <c r="A8" s="1"/>
      <c r="B8" s="1"/>
      <c r="C8" s="1"/>
      <c r="D8" s="1"/>
      <c r="E8" s="1"/>
      <c r="F8" s="1"/>
      <c r="G8" s="1"/>
      <c r="H8" s="1"/>
    </row>
    <row r="9" spans="1:8" x14ac:dyDescent="0.35">
      <c r="A9" s="1"/>
      <c r="B9" s="1" t="s">
        <v>16</v>
      </c>
      <c r="C9" s="1" t="str">
        <f>"-0.152"</f>
        <v>-0.152</v>
      </c>
      <c r="D9" s="1" t="str">
        <f>"-0.278***"</f>
        <v>-0.278***</v>
      </c>
      <c r="E9" s="1" t="str">
        <f>"-0.629***"</f>
        <v>-0.629***</v>
      </c>
      <c r="F9" s="1" t="str">
        <f>"-0.275***"</f>
        <v>-0.275***</v>
      </c>
      <c r="G9" s="1" t="str">
        <f>"-0.364***"</f>
        <v>-0.364***</v>
      </c>
      <c r="H9" s="1" t="str">
        <f>"-0.237***"</f>
        <v>-0.237***</v>
      </c>
    </row>
    <row r="10" spans="1:8" x14ac:dyDescent="0.35">
      <c r="A10" s="1"/>
      <c r="B10" s="1" t="str">
        <f>""</f>
        <v/>
      </c>
      <c r="C10" s="1" t="str">
        <f>"(-1.32)"</f>
        <v>(-1.32)</v>
      </c>
      <c r="D10" s="1" t="str">
        <f>"(-6.39)"</f>
        <v>(-6.39)</v>
      </c>
      <c r="E10" s="1" t="str">
        <f>"(-6.04)"</f>
        <v>(-6.04)</v>
      </c>
      <c r="F10" s="1" t="str">
        <f>"(-5.77)"</f>
        <v>(-5.77)</v>
      </c>
      <c r="G10" s="1" t="str">
        <f>"(-5.32)"</f>
        <v>(-5.32)</v>
      </c>
      <c r="H10" s="1" t="str">
        <f>"(-5.20)"</f>
        <v>(-5.20)</v>
      </c>
    </row>
    <row r="11" spans="1:8" x14ac:dyDescent="0.35">
      <c r="A11" s="1"/>
      <c r="B11" s="1"/>
      <c r="C11" s="1"/>
      <c r="D11" s="1"/>
      <c r="E11" s="1"/>
      <c r="F11" s="1"/>
      <c r="G11" s="1"/>
      <c r="H11" s="1"/>
    </row>
    <row r="12" spans="1:8" x14ac:dyDescent="0.35">
      <c r="A12" s="1"/>
      <c r="B12" s="1" t="s">
        <v>15</v>
      </c>
      <c r="C12" s="1" t="str">
        <f>"-0.427***"</f>
        <v>-0.427***</v>
      </c>
      <c r="D12" s="1" t="str">
        <f>"-0.432***"</f>
        <v>-0.432***</v>
      </c>
      <c r="E12" s="1" t="str">
        <f>"-0.798***"</f>
        <v>-0.798***</v>
      </c>
      <c r="F12" s="1" t="str">
        <f>"-0.435***"</f>
        <v>-0.435***</v>
      </c>
      <c r="G12" s="1" t="str">
        <f>"-0.465***"</f>
        <v>-0.465***</v>
      </c>
      <c r="H12" s="1" t="str">
        <f>"-0.303"</f>
        <v>-0.303</v>
      </c>
    </row>
    <row r="13" spans="1:8" x14ac:dyDescent="0.35">
      <c r="A13" s="1"/>
      <c r="B13" s="1" t="str">
        <f>""</f>
        <v/>
      </c>
      <c r="C13" s="1" t="str">
        <f>"(-4.61)"</f>
        <v>(-4.61)</v>
      </c>
      <c r="D13" s="1" t="str">
        <f>"(-4.82)"</f>
        <v>(-4.82)</v>
      </c>
      <c r="E13" s="1" t="str">
        <f>"(-3.17)"</f>
        <v>(-3.17)</v>
      </c>
      <c r="F13" s="1" t="str">
        <f>"(-4.52)"</f>
        <v>(-4.52)</v>
      </c>
      <c r="G13" s="1" t="str">
        <f>"(-3.93)"</f>
        <v>(-3.93)</v>
      </c>
      <c r="H13" s="1" t="str">
        <f>"(-0.84)"</f>
        <v>(-0.84)</v>
      </c>
    </row>
    <row r="14" spans="1:8" x14ac:dyDescent="0.35">
      <c r="A14" s="1"/>
      <c r="B14" s="1"/>
      <c r="C14" s="1"/>
      <c r="D14" s="1"/>
      <c r="E14" s="1"/>
      <c r="F14" s="1"/>
      <c r="G14" s="1"/>
      <c r="H14" s="1"/>
    </row>
    <row r="15" spans="1:8" x14ac:dyDescent="0.35">
      <c r="A15" s="1"/>
      <c r="B15" s="1" t="str">
        <f>"Constant"</f>
        <v>Constant</v>
      </c>
      <c r="C15" s="1" t="str">
        <f>"1.925***"</f>
        <v>1.925***</v>
      </c>
      <c r="D15" s="1" t="str">
        <f>"1.623***"</f>
        <v>1.623***</v>
      </c>
      <c r="E15" s="1" t="str">
        <f>"0.608"</f>
        <v>0.608</v>
      </c>
      <c r="F15" s="1" t="str">
        <f>"1.844***"</f>
        <v>1.844***</v>
      </c>
      <c r="G15" s="1" t="str">
        <f>"1.606***"</f>
        <v>1.606***</v>
      </c>
      <c r="H15" s="1" t="str">
        <f>"1.361*"</f>
        <v>1.361*</v>
      </c>
    </row>
    <row r="16" spans="1:8" x14ac:dyDescent="0.35">
      <c r="A16" s="1"/>
      <c r="B16" s="1" t="str">
        <f>""</f>
        <v/>
      </c>
      <c r="C16" s="1" t="str">
        <f>"(3.90)"</f>
        <v>(3.90)</v>
      </c>
      <c r="D16" s="1" t="str">
        <f>"(3.95)"</f>
        <v>(3.95)</v>
      </c>
      <c r="E16" s="1" t="str">
        <f>"(0.99)"</f>
        <v>(0.99)</v>
      </c>
      <c r="F16" s="1" t="str">
        <f>"(3.24)"</f>
        <v>(3.24)</v>
      </c>
      <c r="G16" s="1" t="str">
        <f>"(3.12)"</f>
        <v>(3.12)</v>
      </c>
      <c r="H16" s="1" t="str">
        <f>"(1.85)"</f>
        <v>(1.85)</v>
      </c>
    </row>
    <row r="17" spans="1:8" x14ac:dyDescent="0.35">
      <c r="A17" s="1"/>
      <c r="B17" s="1"/>
      <c r="C17" s="1"/>
      <c r="D17" s="1"/>
      <c r="E17" s="1"/>
      <c r="F17" s="1"/>
      <c r="G17" s="1"/>
      <c r="H17" s="1"/>
    </row>
    <row r="18" spans="1:8" x14ac:dyDescent="0.35">
      <c r="A18" s="1"/>
      <c r="B18" s="1" t="str">
        <f>"Observations"</f>
        <v>Observations</v>
      </c>
      <c r="C18" s="3">
        <f>130</f>
        <v>130</v>
      </c>
      <c r="D18" s="3">
        <f>129</f>
        <v>129</v>
      </c>
      <c r="E18" s="3">
        <f>36</f>
        <v>36</v>
      </c>
      <c r="F18" s="3">
        <f>93</f>
        <v>93</v>
      </c>
      <c r="G18" s="3">
        <f>87</f>
        <v>87</v>
      </c>
      <c r="H18" s="3">
        <f>42</f>
        <v>42</v>
      </c>
    </row>
    <row r="19" spans="1:8" x14ac:dyDescent="0.35">
      <c r="A19" s="1"/>
      <c r="B19" s="1" t="str">
        <f>"R-squared"</f>
        <v>R-squared</v>
      </c>
      <c r="C19" s="4">
        <f>0.321</f>
        <v>0.32100000000000001</v>
      </c>
      <c r="D19" s="4">
        <f>0.418</f>
        <v>0.41799999999999998</v>
      </c>
      <c r="E19" s="4">
        <f>0.361</f>
        <v>0.36099999999999999</v>
      </c>
      <c r="F19" s="4">
        <f>0.441</f>
        <v>0.441</v>
      </c>
      <c r="G19" s="4">
        <f>0.431</f>
        <v>0.43099999999999999</v>
      </c>
      <c r="H19" s="4">
        <f>0.416</f>
        <v>0.41599999999999998</v>
      </c>
    </row>
    <row r="20" spans="1:8" x14ac:dyDescent="0.35">
      <c r="A20" s="1"/>
      <c r="B20" s="1"/>
      <c r="C20" s="1"/>
      <c r="D20" s="1"/>
      <c r="E20" s="1"/>
      <c r="F20" s="1"/>
      <c r="G20" s="1"/>
      <c r="H20" s="1"/>
    </row>
    <row r="21" spans="1:8" x14ac:dyDescent="0.35">
      <c r="B21" t="str">
        <f>"t statistics in parentheses"</f>
        <v>t statistics in parentheses</v>
      </c>
    </row>
    <row r="22" spans="1:8" x14ac:dyDescent="0.35">
      <c r="B22" t="s">
        <v>0</v>
      </c>
      <c r="C22" t="s">
        <v>1</v>
      </c>
      <c r="D2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39"/>
  <sheetViews>
    <sheetView tabSelected="1" topLeftCell="A4" workbookViewId="0">
      <selection activeCell="M28" sqref="M28"/>
    </sheetView>
  </sheetViews>
  <sheetFormatPr defaultRowHeight="14.5" x14ac:dyDescent="0.35"/>
  <cols>
    <col min="1" max="1" width="6.1796875" customWidth="1"/>
    <col min="2" max="2" width="35.54296875" customWidth="1"/>
  </cols>
  <sheetData>
    <row r="2" spans="1:8" x14ac:dyDescent="0.35">
      <c r="A2" s="1"/>
      <c r="B2" s="1"/>
      <c r="C2" s="1"/>
      <c r="D2" s="1"/>
      <c r="E2" s="1"/>
      <c r="F2" s="1"/>
      <c r="G2" s="1"/>
      <c r="H2" s="1"/>
    </row>
    <row r="3" spans="1:8" x14ac:dyDescent="0.35">
      <c r="A3" s="1"/>
      <c r="B3" s="1"/>
      <c r="C3" s="1"/>
      <c r="D3" s="1"/>
      <c r="E3" s="1"/>
      <c r="F3" s="1"/>
      <c r="G3" s="1"/>
      <c r="H3" s="1"/>
    </row>
    <row r="4" spans="1:8" x14ac:dyDescent="0.35">
      <c r="A4" s="1"/>
      <c r="B4" s="1" t="str">
        <f>""</f>
        <v/>
      </c>
      <c r="C4" s="3" t="s">
        <v>52</v>
      </c>
      <c r="D4" s="3" t="s">
        <v>53</v>
      </c>
      <c r="E4" s="3" t="s">
        <v>54</v>
      </c>
      <c r="F4" s="3" t="s">
        <v>55</v>
      </c>
      <c r="G4" s="3" t="s">
        <v>56</v>
      </c>
      <c r="H4" s="3" t="s">
        <v>57</v>
      </c>
    </row>
    <row r="5" spans="1:8" x14ac:dyDescent="0.35">
      <c r="A5" s="1"/>
      <c r="B5" s="1" t="str">
        <f>""</f>
        <v/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58</v>
      </c>
      <c r="H5" s="3" t="s">
        <v>59</v>
      </c>
    </row>
    <row r="6" spans="1:8" x14ac:dyDescent="0.35">
      <c r="A6" s="1"/>
      <c r="B6" s="1"/>
      <c r="C6" s="1"/>
      <c r="D6" s="1"/>
      <c r="E6" s="1"/>
      <c r="F6" s="1"/>
      <c r="G6" s="1"/>
      <c r="H6" s="1"/>
    </row>
    <row r="7" spans="1:8" x14ac:dyDescent="0.35">
      <c r="A7" s="1"/>
      <c r="B7" s="1" t="str">
        <f>"COVID cases in 2020 (per 1000 popul.)"</f>
        <v>COVID cases in 2020 (per 1000 popul.)</v>
      </c>
      <c r="C7" s="3">
        <v>-0.01</v>
      </c>
      <c r="D7" s="3">
        <v>0.02</v>
      </c>
      <c r="E7" s="3" t="s">
        <v>60</v>
      </c>
      <c r="F7" s="3">
        <v>0.03</v>
      </c>
      <c r="G7" s="3" t="s">
        <v>61</v>
      </c>
      <c r="H7" s="3">
        <v>0.04</v>
      </c>
    </row>
    <row r="8" spans="1:8" x14ac:dyDescent="0.35">
      <c r="A8" s="1"/>
      <c r="B8" s="1" t="str">
        <f>""</f>
        <v/>
      </c>
      <c r="C8" s="3" t="s">
        <v>32</v>
      </c>
      <c r="D8" s="3" t="s">
        <v>62</v>
      </c>
      <c r="E8" s="3" t="s">
        <v>62</v>
      </c>
      <c r="F8" s="3" t="s">
        <v>63</v>
      </c>
      <c r="G8" s="3" t="s">
        <v>64</v>
      </c>
      <c r="H8" s="3" t="s">
        <v>65</v>
      </c>
    </row>
    <row r="9" spans="1:8" x14ac:dyDescent="0.35">
      <c r="A9" s="1"/>
      <c r="B9" s="1"/>
      <c r="C9" s="3"/>
      <c r="D9" s="3"/>
      <c r="E9" s="3"/>
      <c r="F9" s="3"/>
      <c r="G9" s="3"/>
      <c r="H9" s="3"/>
    </row>
    <row r="10" spans="1:8" x14ac:dyDescent="0.35">
      <c r="A10" s="1"/>
      <c r="B10" s="1" t="str">
        <f>"COVID deaths in 2020 (per 1000 popul.)"</f>
        <v>COVID deaths in 2020 (per 1000 popul.)</v>
      </c>
      <c r="C10" s="3" t="s">
        <v>66</v>
      </c>
      <c r="D10" s="3" t="s">
        <v>67</v>
      </c>
      <c r="E10" s="3" t="s">
        <v>68</v>
      </c>
      <c r="F10" s="3" t="s">
        <v>68</v>
      </c>
      <c r="G10" s="3" t="s">
        <v>69</v>
      </c>
      <c r="H10" s="3" t="s">
        <v>70</v>
      </c>
    </row>
    <row r="11" spans="1:8" x14ac:dyDescent="0.35">
      <c r="A11" s="1"/>
      <c r="B11" s="1" t="str">
        <f>""</f>
        <v/>
      </c>
      <c r="C11" s="3" t="s">
        <v>31</v>
      </c>
      <c r="D11" s="3" t="s">
        <v>24</v>
      </c>
      <c r="E11" s="3" t="s">
        <v>30</v>
      </c>
      <c r="F11" s="3" t="s">
        <v>24</v>
      </c>
      <c r="G11" s="3" t="s">
        <v>71</v>
      </c>
      <c r="H11" s="3" t="s">
        <v>72</v>
      </c>
    </row>
    <row r="12" spans="1:8" x14ac:dyDescent="0.35">
      <c r="A12" s="1"/>
      <c r="B12" s="1"/>
      <c r="C12" s="3"/>
      <c r="D12" s="3"/>
      <c r="E12" s="3"/>
      <c r="F12" s="3"/>
      <c r="G12" s="3"/>
      <c r="H12" s="3"/>
    </row>
    <row r="13" spans="1:8" x14ac:dyDescent="0.35">
      <c r="A13" s="1"/>
      <c r="B13" s="1" t="str">
        <f>"Oxford stringency index (average 2020)"</f>
        <v>Oxford stringency index (average 2020)</v>
      </c>
      <c r="C13" s="3" t="str">
        <f>"-0.08**"</f>
        <v>-0.08**</v>
      </c>
      <c r="D13" s="3" t="s">
        <v>73</v>
      </c>
      <c r="E13" s="3" t="s">
        <v>74</v>
      </c>
      <c r="F13" s="3" t="s">
        <v>75</v>
      </c>
      <c r="G13" s="3" t="s">
        <v>76</v>
      </c>
      <c r="H13" s="3" t="s">
        <v>75</v>
      </c>
    </row>
    <row r="14" spans="1:8" x14ac:dyDescent="0.35">
      <c r="A14" s="1"/>
      <c r="B14" s="1" t="str">
        <f>""</f>
        <v/>
      </c>
      <c r="C14" s="3" t="s">
        <v>29</v>
      </c>
      <c r="D14" s="3" t="s">
        <v>28</v>
      </c>
      <c r="E14" s="3" t="s">
        <v>27</v>
      </c>
      <c r="F14" s="3" t="s">
        <v>23</v>
      </c>
      <c r="G14" s="3" t="s">
        <v>77</v>
      </c>
      <c r="H14" s="3" t="s">
        <v>78</v>
      </c>
    </row>
    <row r="15" spans="1:8" x14ac:dyDescent="0.35">
      <c r="A15" s="1"/>
      <c r="B15" s="1"/>
      <c r="C15" s="3"/>
      <c r="D15" s="3"/>
      <c r="E15" s="3"/>
      <c r="F15" s="3"/>
      <c r="G15" s="3"/>
      <c r="H15" s="3"/>
    </row>
    <row r="16" spans="1:8" x14ac:dyDescent="0.35">
      <c r="A16" s="1"/>
      <c r="B16" s="1" t="s">
        <v>7</v>
      </c>
      <c r="C16" s="3"/>
      <c r="D16" s="3" t="s">
        <v>79</v>
      </c>
      <c r="E16" s="3" t="s">
        <v>80</v>
      </c>
      <c r="F16" s="3" t="s">
        <v>81</v>
      </c>
      <c r="G16" s="3" t="s">
        <v>82</v>
      </c>
      <c r="H16" s="3" t="s">
        <v>83</v>
      </c>
    </row>
    <row r="17" spans="1:8" x14ac:dyDescent="0.35">
      <c r="A17" s="1"/>
      <c r="B17" s="1" t="str">
        <f>""</f>
        <v/>
      </c>
      <c r="C17" s="3" t="s">
        <v>33</v>
      </c>
      <c r="D17" s="3" t="s">
        <v>26</v>
      </c>
      <c r="E17" s="3" t="s">
        <v>25</v>
      </c>
      <c r="F17" s="3" t="s">
        <v>22</v>
      </c>
      <c r="G17" s="3" t="s">
        <v>84</v>
      </c>
      <c r="H17" s="3" t="s">
        <v>85</v>
      </c>
    </row>
    <row r="18" spans="1:8" x14ac:dyDescent="0.35">
      <c r="A18" s="1"/>
      <c r="B18" s="1"/>
      <c r="C18" s="3"/>
      <c r="D18" s="3"/>
      <c r="E18" s="3"/>
      <c r="F18" s="3"/>
      <c r="G18" s="3"/>
      <c r="H18" s="3"/>
    </row>
    <row r="19" spans="1:8" x14ac:dyDescent="0.35">
      <c r="A19" s="1"/>
      <c r="B19" s="1" t="str">
        <f>"log GDP per capita (2019)"</f>
        <v>log GDP per capita (2019)</v>
      </c>
      <c r="C19" s="3" t="s">
        <v>33</v>
      </c>
      <c r="D19" s="3" t="s">
        <v>33</v>
      </c>
      <c r="E19" s="3" t="s">
        <v>86</v>
      </c>
      <c r="F19" s="3" t="s">
        <v>48</v>
      </c>
      <c r="G19" s="3" t="s">
        <v>49</v>
      </c>
      <c r="H19" s="4">
        <v>-0.1</v>
      </c>
    </row>
    <row r="20" spans="1:8" x14ac:dyDescent="0.35">
      <c r="A20" s="1"/>
      <c r="B20" s="1" t="str">
        <f>""</f>
        <v/>
      </c>
      <c r="C20" s="3" t="s">
        <v>33</v>
      </c>
      <c r="D20" s="3" t="s">
        <v>33</v>
      </c>
      <c r="E20" s="7" t="s">
        <v>87</v>
      </c>
      <c r="F20" s="7" t="s">
        <v>34</v>
      </c>
      <c r="G20" s="3" t="s">
        <v>35</v>
      </c>
      <c r="H20" s="3" t="s">
        <v>21</v>
      </c>
    </row>
    <row r="21" spans="1:8" x14ac:dyDescent="0.35">
      <c r="A21" s="1"/>
      <c r="B21" s="1"/>
      <c r="C21" s="3"/>
      <c r="D21" s="3"/>
      <c r="E21" s="3"/>
      <c r="F21" s="3"/>
      <c r="G21" s="3"/>
      <c r="H21" s="3"/>
    </row>
    <row r="22" spans="1:8" x14ac:dyDescent="0.35">
      <c r="A22" s="1"/>
      <c r="B22" s="1" t="str">
        <f>"log population (2019)"</f>
        <v>log population (2019)</v>
      </c>
      <c r="C22" s="3" t="s">
        <v>33</v>
      </c>
      <c r="D22" s="3" t="s">
        <v>33</v>
      </c>
      <c r="E22" s="3" t="s">
        <v>44</v>
      </c>
      <c r="F22" s="3" t="s">
        <v>88</v>
      </c>
      <c r="G22" s="3" t="s">
        <v>89</v>
      </c>
      <c r="H22" s="3" t="s">
        <v>90</v>
      </c>
    </row>
    <row r="23" spans="1:8" x14ac:dyDescent="0.35">
      <c r="A23" s="1"/>
      <c r="B23" s="1" t="str">
        <f>""</f>
        <v/>
      </c>
      <c r="C23" s="3" t="s">
        <v>33</v>
      </c>
      <c r="D23" s="3" t="s">
        <v>33</v>
      </c>
      <c r="E23" s="7" t="s">
        <v>91</v>
      </c>
      <c r="F23" s="7" t="s">
        <v>36</v>
      </c>
      <c r="G23" s="3" t="s">
        <v>20</v>
      </c>
      <c r="H23" s="3" t="s">
        <v>36</v>
      </c>
    </row>
    <row r="24" spans="1:8" x14ac:dyDescent="0.35">
      <c r="A24" s="1"/>
      <c r="B24" s="1"/>
      <c r="C24" s="3"/>
      <c r="D24" s="3"/>
      <c r="E24" s="3"/>
      <c r="F24" s="3"/>
      <c r="G24" s="3"/>
      <c r="H24" s="3"/>
    </row>
    <row r="25" spans="1:8" x14ac:dyDescent="0.35">
      <c r="A25" s="1"/>
      <c r="B25" s="1" t="s">
        <v>4</v>
      </c>
      <c r="C25" s="3"/>
      <c r="D25" s="3" t="s">
        <v>33</v>
      </c>
      <c r="E25" s="3" t="s">
        <v>33</v>
      </c>
      <c r="F25" s="3" t="s">
        <v>50</v>
      </c>
      <c r="G25" s="3" t="s">
        <v>47</v>
      </c>
      <c r="H25" s="3" t="s">
        <v>92</v>
      </c>
    </row>
    <row r="26" spans="1:8" x14ac:dyDescent="0.35">
      <c r="A26" s="1"/>
      <c r="B26" s="1" t="str">
        <f>""</f>
        <v/>
      </c>
      <c r="C26" s="3" t="s">
        <v>33</v>
      </c>
      <c r="D26" s="3" t="s">
        <v>33</v>
      </c>
      <c r="E26" s="3" t="s">
        <v>33</v>
      </c>
      <c r="F26" s="7" t="s">
        <v>37</v>
      </c>
      <c r="G26" s="7" t="s">
        <v>38</v>
      </c>
      <c r="H26" s="7" t="s">
        <v>39</v>
      </c>
    </row>
    <row r="27" spans="1:8" x14ac:dyDescent="0.35">
      <c r="A27" s="1"/>
      <c r="B27" s="1"/>
      <c r="C27" s="3"/>
      <c r="D27" s="3"/>
      <c r="E27" s="3"/>
      <c r="F27" s="3"/>
      <c r="G27" s="3"/>
      <c r="H27" s="3"/>
    </row>
    <row r="28" spans="1:8" x14ac:dyDescent="0.35">
      <c r="A28" s="1"/>
      <c r="B28" s="1" t="s">
        <v>5</v>
      </c>
      <c r="C28" s="3" t="s">
        <v>33</v>
      </c>
      <c r="D28" s="3" t="s">
        <v>33</v>
      </c>
      <c r="E28" s="3" t="s">
        <v>33</v>
      </c>
      <c r="F28" s="3" t="s">
        <v>46</v>
      </c>
      <c r="G28" s="3" t="s">
        <v>93</v>
      </c>
      <c r="H28" s="3" t="s">
        <v>45</v>
      </c>
    </row>
    <row r="29" spans="1:8" x14ac:dyDescent="0.35">
      <c r="A29" s="1"/>
      <c r="B29" s="1" t="str">
        <f>""</f>
        <v/>
      </c>
      <c r="C29" s="3" t="s">
        <v>33</v>
      </c>
      <c r="D29" s="3" t="s">
        <v>33</v>
      </c>
      <c r="E29" s="3" t="s">
        <v>33</v>
      </c>
      <c r="F29" s="7" t="s">
        <v>40</v>
      </c>
      <c r="G29" s="7" t="s">
        <v>41</v>
      </c>
      <c r="H29" s="7" t="s">
        <v>42</v>
      </c>
    </row>
    <row r="30" spans="1:8" x14ac:dyDescent="0.35">
      <c r="A30" s="1"/>
      <c r="B30" s="1"/>
      <c r="C30" s="3"/>
      <c r="D30" s="3"/>
      <c r="E30" s="3"/>
      <c r="F30" s="3"/>
      <c r="G30" s="3"/>
      <c r="H30" s="3"/>
    </row>
    <row r="31" spans="1:8" x14ac:dyDescent="0.35">
      <c r="A31" s="1"/>
      <c r="B31" s="1" t="str">
        <f>"Constant"</f>
        <v>Constant</v>
      </c>
      <c r="C31" s="3" t="s">
        <v>94</v>
      </c>
      <c r="D31" s="3" t="s">
        <v>95</v>
      </c>
      <c r="E31" s="4" t="s">
        <v>96</v>
      </c>
      <c r="F31" s="3" t="s">
        <v>19</v>
      </c>
      <c r="G31" s="3" t="s">
        <v>18</v>
      </c>
      <c r="H31" s="3" t="s">
        <v>43</v>
      </c>
    </row>
    <row r="32" spans="1:8" x14ac:dyDescent="0.35">
      <c r="A32" s="1"/>
      <c r="B32" s="1" t="str">
        <f>""</f>
        <v/>
      </c>
      <c r="C32" s="7" t="s">
        <v>97</v>
      </c>
      <c r="D32" s="7" t="s">
        <v>98</v>
      </c>
      <c r="E32" s="7" t="s">
        <v>99</v>
      </c>
      <c r="F32" s="7" t="s">
        <v>100</v>
      </c>
      <c r="G32" s="3" t="s">
        <v>101</v>
      </c>
      <c r="H32" s="3" t="s">
        <v>102</v>
      </c>
    </row>
    <row r="33" spans="1:8" x14ac:dyDescent="0.35">
      <c r="A33" s="1"/>
      <c r="B33" s="1"/>
      <c r="C33" s="1"/>
      <c r="D33" s="1"/>
      <c r="E33" s="1"/>
      <c r="F33" s="1"/>
      <c r="G33" s="1"/>
      <c r="H33" s="1"/>
    </row>
    <row r="34" spans="1:8" x14ac:dyDescent="0.35">
      <c r="A34" s="1"/>
      <c r="B34" s="1" t="str">
        <f>"Observations"</f>
        <v>Observations</v>
      </c>
      <c r="C34" s="3">
        <v>165</v>
      </c>
      <c r="D34" s="3">
        <v>152</v>
      </c>
      <c r="E34" s="3">
        <v>152</v>
      </c>
      <c r="F34" s="3">
        <v>147</v>
      </c>
      <c r="G34" s="3">
        <v>35</v>
      </c>
      <c r="H34" s="3">
        <v>112</v>
      </c>
    </row>
    <row r="35" spans="1:8" x14ac:dyDescent="0.35">
      <c r="A35" s="1"/>
      <c r="B35" s="1" t="str">
        <f>"R-squared"</f>
        <v>R-squared</v>
      </c>
      <c r="C35" s="4">
        <v>7.4999999999999997E-2</v>
      </c>
      <c r="D35" s="4">
        <v>0.52</v>
      </c>
      <c r="E35" s="4">
        <v>0.54200000000000004</v>
      </c>
      <c r="F35" s="4">
        <v>0.497</v>
      </c>
      <c r="G35" s="4">
        <v>0.78600000000000003</v>
      </c>
      <c r="H35" s="4">
        <v>0.501</v>
      </c>
    </row>
    <row r="36" spans="1:8" x14ac:dyDescent="0.35">
      <c r="A36" s="1"/>
      <c r="B36" s="1"/>
      <c r="C36" s="1"/>
      <c r="D36" s="1"/>
      <c r="E36" s="1"/>
      <c r="F36" s="1"/>
      <c r="G36" s="1"/>
      <c r="H36" s="1"/>
    </row>
    <row r="37" spans="1:8" x14ac:dyDescent="0.35">
      <c r="A37" s="1"/>
      <c r="B37" s="1" t="s">
        <v>9</v>
      </c>
      <c r="C37" s="1"/>
      <c r="D37" s="1"/>
      <c r="E37" s="1"/>
      <c r="F37" s="1"/>
      <c r="G37" s="1"/>
      <c r="H37" s="1"/>
    </row>
    <row r="38" spans="1:8" x14ac:dyDescent="0.35">
      <c r="A38" s="1"/>
      <c r="B38" s="1" t="s">
        <v>10</v>
      </c>
      <c r="C38" s="1"/>
      <c r="D38" s="1"/>
      <c r="E38" s="1"/>
      <c r="F38" s="1"/>
      <c r="G38" s="1"/>
      <c r="H38" s="1"/>
    </row>
    <row r="39" spans="1:8" x14ac:dyDescent="0.35">
      <c r="A39" s="1"/>
      <c r="B39" s="1"/>
      <c r="C39" s="1"/>
      <c r="D39" s="1"/>
      <c r="E39" s="1"/>
      <c r="F39" s="1"/>
      <c r="G39" s="1"/>
      <c r="H3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45"/>
  <sheetViews>
    <sheetView workbookViewId="0">
      <selection activeCell="G7" sqref="G7"/>
    </sheetView>
  </sheetViews>
  <sheetFormatPr defaultRowHeight="14.5" x14ac:dyDescent="0.35"/>
  <cols>
    <col min="1" max="1" width="4.54296875" style="1" customWidth="1"/>
    <col min="2" max="2" width="35.7265625" customWidth="1"/>
    <col min="6" max="9" width="8" customWidth="1"/>
  </cols>
  <sheetData>
    <row r="2" spans="2:11" x14ac:dyDescent="0.35">
      <c r="B2" s="1"/>
    </row>
    <row r="3" spans="2:11" x14ac:dyDescent="0.35">
      <c r="B3" s="1"/>
    </row>
    <row r="4" spans="2:11" x14ac:dyDescent="0.35">
      <c r="B4" s="1" t="str">
        <f>""</f>
        <v/>
      </c>
      <c r="C4" t="str">
        <f>"(1)"</f>
        <v>(1)</v>
      </c>
      <c r="D4" t="str">
        <f>"(2)"</f>
        <v>(2)</v>
      </c>
      <c r="E4" t="str">
        <f>"(3)"</f>
        <v>(3)</v>
      </c>
      <c r="F4" s="1" t="str">
        <f>"(4)"</f>
        <v>(4)</v>
      </c>
      <c r="G4" s="1" t="str">
        <f>"(5)"</f>
        <v>(5)</v>
      </c>
      <c r="H4" s="1" t="str">
        <f>"(6)"</f>
        <v>(6)</v>
      </c>
      <c r="I4" s="1" t="str">
        <f>"(7)"</f>
        <v>(7)</v>
      </c>
      <c r="J4" s="1" t="str">
        <f>"(8)"</f>
        <v>(8)</v>
      </c>
      <c r="K4" s="1"/>
    </row>
    <row r="5" spans="2:11" ht="29" customHeight="1" x14ac:dyDescent="0.35">
      <c r="B5" s="1" t="str">
        <f>""</f>
        <v/>
      </c>
      <c r="C5" s="1" t="str">
        <f>"All"</f>
        <v>All</v>
      </c>
      <c r="D5" s="5" t="s">
        <v>105</v>
      </c>
      <c r="E5" s="5" t="s">
        <v>106</v>
      </c>
      <c r="F5" s="5" t="s">
        <v>51</v>
      </c>
      <c r="G5" s="5" t="s">
        <v>14</v>
      </c>
      <c r="H5" s="5" t="s">
        <v>3</v>
      </c>
      <c r="I5" s="5" t="s">
        <v>59</v>
      </c>
      <c r="J5" s="1" t="str">
        <f>"All"</f>
        <v>All</v>
      </c>
      <c r="K5" s="1"/>
    </row>
    <row r="6" spans="2:11" x14ac:dyDescent="0.35">
      <c r="B6" s="1"/>
      <c r="C6" s="6"/>
      <c r="D6" s="6"/>
      <c r="E6" s="6"/>
      <c r="F6" s="6"/>
      <c r="G6" s="6"/>
      <c r="H6" s="6"/>
      <c r="I6" s="6"/>
      <c r="J6" s="6"/>
      <c r="K6" s="1"/>
    </row>
    <row r="7" spans="2:11" x14ac:dyDescent="0.35">
      <c r="B7" s="1" t="str">
        <f>"COVID cases in 2020 (per 1000 popul.)"</f>
        <v>COVID cases in 2020 (per 1000 popul.)</v>
      </c>
      <c r="C7" s="1" t="str">
        <f>"0.03"</f>
        <v>0.03</v>
      </c>
      <c r="D7" s="1" t="str">
        <f>"-0.001"</f>
        <v>-0.001</v>
      </c>
      <c r="E7" s="1" t="str">
        <f>"0.055"</f>
        <v>0.055</v>
      </c>
      <c r="F7" s="1" t="str">
        <f>"-0.017"</f>
        <v>-0.017</v>
      </c>
      <c r="G7" s="1" t="str">
        <f>"0.043*"</f>
        <v>0.043*</v>
      </c>
      <c r="H7" s="1" t="str">
        <f>"0.035"</f>
        <v>0.035</v>
      </c>
      <c r="I7" s="1" t="str">
        <f>"0.060*"</f>
        <v>0.060*</v>
      </c>
      <c r="J7" s="1" t="str">
        <f>"0.050**"</f>
        <v>0.050**</v>
      </c>
      <c r="K7" s="1"/>
    </row>
    <row r="8" spans="2:11" x14ac:dyDescent="0.35">
      <c r="B8" s="1" t="str">
        <f>""</f>
        <v/>
      </c>
      <c r="C8" s="1" t="str">
        <f>"(1.21)"</f>
        <v>(1.21)</v>
      </c>
      <c r="D8" s="1" t="str">
        <f>"(-0.03)"</f>
        <v>(-0.03)</v>
      </c>
      <c r="E8" s="1" t="str">
        <f>"(1.47)"</f>
        <v>(1.47)</v>
      </c>
      <c r="F8" s="1" t="str">
        <f>"(-0.22)"</f>
        <v>(-0.22)</v>
      </c>
      <c r="G8" s="1" t="str">
        <f>"(1.88)"</f>
        <v>(1.88)</v>
      </c>
      <c r="H8" s="1" t="str">
        <f>"(1.32)"</f>
        <v>(1.32)</v>
      </c>
      <c r="I8" s="1" t="str">
        <f>"(1.69)"</f>
        <v>(1.69)</v>
      </c>
      <c r="J8" s="1" t="str">
        <f>"(1.99)"</f>
        <v>(1.99)</v>
      </c>
      <c r="K8" s="1"/>
    </row>
    <row r="9" spans="2:11" x14ac:dyDescent="0.35">
      <c r="B9" s="1"/>
      <c r="C9" s="1"/>
      <c r="D9" s="1"/>
      <c r="E9" s="1"/>
      <c r="F9" s="1"/>
      <c r="G9" s="1"/>
      <c r="H9" s="1"/>
      <c r="I9" s="1"/>
      <c r="J9" s="1"/>
      <c r="K9" s="1"/>
    </row>
    <row r="10" spans="2:11" x14ac:dyDescent="0.35">
      <c r="B10" s="1" t="str">
        <f>"COVID deaths in 2020"</f>
        <v>COVID deaths in 2020</v>
      </c>
      <c r="C10" s="1" t="str">
        <f>"-3.02***"</f>
        <v>-3.02***</v>
      </c>
      <c r="D10" s="1" t="str">
        <f>"-1.97"</f>
        <v>-1.97</v>
      </c>
      <c r="E10" s="1" t="str">
        <f>"-3.93**"</f>
        <v>-3.93**</v>
      </c>
      <c r="F10" s="1" t="str">
        <f>"-0.44"</f>
        <v>-0.44</v>
      </c>
      <c r="G10" s="1" t="str">
        <f>"-3.26***"</f>
        <v>-3.26***</v>
      </c>
      <c r="H10" s="1" t="str">
        <f>"-2.95***"</f>
        <v>-2.95***</v>
      </c>
      <c r="I10" s="1" t="str">
        <f>"-3.36**"</f>
        <v>-3.36**</v>
      </c>
      <c r="J10" s="1" t="str">
        <f>"-3.31***"</f>
        <v>-3.31***</v>
      </c>
      <c r="K10" s="1"/>
    </row>
    <row r="11" spans="2:11" x14ac:dyDescent="0.35">
      <c r="B11" s="1" t="s">
        <v>109</v>
      </c>
      <c r="C11" s="1" t="str">
        <f>"(-3.51)"</f>
        <v>(-3.51)</v>
      </c>
      <c r="D11" s="1" t="str">
        <f>"(-1.67)"</f>
        <v>(-1.67)</v>
      </c>
      <c r="E11" s="1" t="str">
        <f>"(-2.24)"</f>
        <v>(-2.24)</v>
      </c>
      <c r="F11" s="1" t="str">
        <f>"(-0.17)"</f>
        <v>(-0.17)</v>
      </c>
      <c r="G11" s="1" t="str">
        <f>"(-3.31)"</f>
        <v>(-3.31)</v>
      </c>
      <c r="H11" s="1" t="str">
        <f>"(-3.06)"</f>
        <v>(-3.06)</v>
      </c>
      <c r="I11" s="1" t="str">
        <f>"(-2.49)"</f>
        <v>(-2.49)</v>
      </c>
      <c r="J11" s="1" t="str">
        <f>"(-3.50)"</f>
        <v>(-3.50)</v>
      </c>
      <c r="K11" s="1"/>
    </row>
    <row r="12" spans="2:11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2:11" x14ac:dyDescent="0.35">
      <c r="B13" s="1" t="str">
        <f>"Oxford stringency index (average 2020)"</f>
        <v>Oxford stringency index (average 2020)</v>
      </c>
      <c r="C13" s="1" t="str">
        <f>"-0.11***"</f>
        <v>-0.11***</v>
      </c>
      <c r="D13" s="1" t="str">
        <f>"-0.066"</f>
        <v>-0.066</v>
      </c>
      <c r="E13" s="1" t="str">
        <f>"-0.11***"</f>
        <v>-0.11***</v>
      </c>
      <c r="F13" s="1" t="str">
        <f>"-0.10"</f>
        <v>-0.10</v>
      </c>
      <c r="G13" s="1" t="str">
        <f>"-0.12***"</f>
        <v>-0.12***</v>
      </c>
      <c r="H13" s="1" t="str">
        <f>"-0.10***"</f>
        <v>-0.10***</v>
      </c>
      <c r="I13" s="1" t="str">
        <f>"-0.10***"</f>
        <v>-0.10***</v>
      </c>
      <c r="J13" s="1" t="str">
        <f>"-0.092***"</f>
        <v>-0.092***</v>
      </c>
      <c r="K13" s="1"/>
    </row>
    <row r="14" spans="2:11" x14ac:dyDescent="0.35">
      <c r="B14" s="1" t="str">
        <f>""</f>
        <v/>
      </c>
      <c r="C14" s="1" t="str">
        <f>"(-4.38)"</f>
        <v>(-4.38)</v>
      </c>
      <c r="D14" s="1" t="str">
        <f>"(-1.42)"</f>
        <v>(-1.42)</v>
      </c>
      <c r="E14" s="1" t="str">
        <f>"(-3.66)"</f>
        <v>(-3.66)</v>
      </c>
      <c r="F14" s="1" t="str">
        <f>"(-1.44)"</f>
        <v>(-1.44)</v>
      </c>
      <c r="G14" s="1" t="str">
        <f>"(-5.24)"</f>
        <v>(-5.24)</v>
      </c>
      <c r="H14" s="1" t="str">
        <f>"(-3.56)"</f>
        <v>(-3.56)</v>
      </c>
      <c r="I14" s="1" t="str">
        <f>"(-3.42)"</f>
        <v>(-3.42)</v>
      </c>
      <c r="J14" s="1" t="str">
        <f>"(-3.43)"</f>
        <v>(-3.43)</v>
      </c>
      <c r="K14" s="1"/>
    </row>
    <row r="15" spans="2:11" x14ac:dyDescent="0.35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2:11" x14ac:dyDescent="0.35">
      <c r="B16" s="1" t="s">
        <v>6</v>
      </c>
      <c r="C16" s="1" t="str">
        <f>"-0.51***"</f>
        <v>-0.51***</v>
      </c>
      <c r="D16" s="1" t="str">
        <f>"-0.70***"</f>
        <v>-0.70***</v>
      </c>
      <c r="E16" s="1" t="str">
        <f>"-0.44***"</f>
        <v>-0.44***</v>
      </c>
      <c r="F16" s="1" t="str">
        <f>"-0.60***"</f>
        <v>-0.60***</v>
      </c>
      <c r="G16" s="1" t="str">
        <f>"-0.18"</f>
        <v>-0.18</v>
      </c>
      <c r="H16" s="1" t="str">
        <f>"-0.50***"</f>
        <v>-0.50***</v>
      </c>
      <c r="I16" s="1" t="str">
        <f>"-0.43***"</f>
        <v>-0.43***</v>
      </c>
      <c r="J16" s="1"/>
      <c r="K16" s="1" t="str">
        <f>""</f>
        <v/>
      </c>
    </row>
    <row r="17" spans="2:11" x14ac:dyDescent="0.35">
      <c r="B17" s="1" t="str">
        <f>""</f>
        <v/>
      </c>
      <c r="C17" s="1" t="str">
        <f>"(-6.25)"</f>
        <v>(-6.25)</v>
      </c>
      <c r="D17" s="1" t="str">
        <f>"(-4.53)"</f>
        <v>(-4.53)</v>
      </c>
      <c r="E17" s="1" t="str">
        <f>"(-4.14)"</f>
        <v>(-4.14)</v>
      </c>
      <c r="F17" s="1" t="str">
        <f>"(-3.37)"</f>
        <v>(-3.37)</v>
      </c>
      <c r="G17" s="1" t="str">
        <f>"(-0.75)"</f>
        <v>(-0.75)</v>
      </c>
      <c r="H17" s="1" t="str">
        <f>"(-5.41)"</f>
        <v>(-5.41)</v>
      </c>
      <c r="I17" s="1" t="str">
        <f>"(-3.94)"</f>
        <v>(-3.94)</v>
      </c>
      <c r="J17" s="1" t="str">
        <f>""</f>
        <v/>
      </c>
      <c r="K17" s="1"/>
    </row>
    <row r="18" spans="2:11" x14ac:dyDescent="0.35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2:11" x14ac:dyDescent="0.35">
      <c r="B19" s="1" t="s">
        <v>107</v>
      </c>
      <c r="C19" s="1"/>
      <c r="D19" s="1" t="str">
        <f>""</f>
        <v/>
      </c>
      <c r="E19" s="1" t="str">
        <f>""</f>
        <v/>
      </c>
      <c r="F19" s="1" t="str">
        <f>""</f>
        <v/>
      </c>
      <c r="G19" s="1" t="str">
        <f>""</f>
        <v/>
      </c>
      <c r="H19" s="1" t="str">
        <f>""</f>
        <v/>
      </c>
      <c r="I19" s="1" t="str">
        <f>""</f>
        <v/>
      </c>
      <c r="J19" s="1" t="str">
        <f>"-0.23***"</f>
        <v>-0.23***</v>
      </c>
      <c r="K19" s="1"/>
    </row>
    <row r="20" spans="2:11" x14ac:dyDescent="0.35">
      <c r="B20" s="1" t="s">
        <v>108</v>
      </c>
      <c r="C20" s="1" t="str">
        <f>""</f>
        <v/>
      </c>
      <c r="D20" s="1" t="str">
        <f>""</f>
        <v/>
      </c>
      <c r="E20" s="1" t="str">
        <f>""</f>
        <v/>
      </c>
      <c r="F20" s="1" t="str">
        <f>""</f>
        <v/>
      </c>
      <c r="G20" s="1" t="str">
        <f>""</f>
        <v/>
      </c>
      <c r="H20" s="1" t="str">
        <f>""</f>
        <v/>
      </c>
      <c r="I20" s="1" t="str">
        <f>""</f>
        <v/>
      </c>
      <c r="J20" s="1" t="str">
        <f>"(-3.77)"</f>
        <v>(-3.77)</v>
      </c>
      <c r="K20" s="1"/>
    </row>
    <row r="21" spans="2:11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2:11" x14ac:dyDescent="0.35">
      <c r="B22" s="1" t="str">
        <f>"log GDP per capita, 2019"</f>
        <v>log GDP per capita, 2019</v>
      </c>
      <c r="C22" s="1" t="str">
        <f>"0.59*"</f>
        <v>0.59*</v>
      </c>
      <c r="D22" s="1" t="str">
        <f>"1.87**"</f>
        <v>1.87**</v>
      </c>
      <c r="E22" s="1" t="str">
        <f>"-0.00"</f>
        <v>-0.00</v>
      </c>
      <c r="F22" s="1" t="str">
        <f>"0.39"</f>
        <v>0.39</v>
      </c>
      <c r="G22" s="1" t="str">
        <f>"0.57*"</f>
        <v>0.57*</v>
      </c>
      <c r="H22" s="1" t="str">
        <f>"1.12**"</f>
        <v>1.12**</v>
      </c>
      <c r="I22" s="1" t="str">
        <f>"0.39"</f>
        <v>0.39</v>
      </c>
      <c r="J22" s="1" t="str">
        <f>"0.76**"</f>
        <v>0.76**</v>
      </c>
      <c r="K22" s="1"/>
    </row>
    <row r="23" spans="2:11" x14ac:dyDescent="0.35">
      <c r="B23" s="1" t="str">
        <f>""</f>
        <v/>
      </c>
      <c r="C23" s="1" t="str">
        <f>"(1.75)"</f>
        <v>(1.75)</v>
      </c>
      <c r="D23" s="1" t="str">
        <f>"(2.59)"</f>
        <v>(2.59)</v>
      </c>
      <c r="E23" s="1" t="str">
        <f>"(-0.00)"</f>
        <v>(-0.00)</v>
      </c>
      <c r="F23" s="1" t="str">
        <f>"(0.42)"</f>
        <v>(0.42)</v>
      </c>
      <c r="G23" s="1" t="str">
        <f>"(1.71)"</f>
        <v>(1.71)</v>
      </c>
      <c r="H23" s="1" t="str">
        <f>"(2.59)"</f>
        <v>(2.59)</v>
      </c>
      <c r="I23" s="1" t="str">
        <f>"(0.66)"</f>
        <v>(0.66)</v>
      </c>
      <c r="J23" s="1" t="str">
        <f>"(2.33)"</f>
        <v>(2.33)</v>
      </c>
      <c r="K23" s="1"/>
    </row>
    <row r="24" spans="2:1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2:11" x14ac:dyDescent="0.35">
      <c r="B25" s="1" t="str">
        <f>"log population, 2019"</f>
        <v>log population, 2019</v>
      </c>
      <c r="C25" s="1" t="str">
        <f>"0.39*"</f>
        <v>0.39*</v>
      </c>
      <c r="D25" s="1" t="str">
        <f>"0.069"</f>
        <v>0.069</v>
      </c>
      <c r="E25" s="1" t="str">
        <f>"0.44"</f>
        <v>0.44</v>
      </c>
      <c r="F25" s="1" t="str">
        <f>"0.024"</f>
        <v>0.024</v>
      </c>
      <c r="G25" s="1" t="str">
        <f>"0.52**"</f>
        <v>0.52**</v>
      </c>
      <c r="H25" s="1" t="str">
        <f>"0.41"</f>
        <v>0.41</v>
      </c>
      <c r="I25" s="1" t="str">
        <f>"0.53*"</f>
        <v>0.53*</v>
      </c>
      <c r="J25" s="1" t="str">
        <f>"0.34*"</f>
        <v>0.34*</v>
      </c>
      <c r="K25" s="1"/>
    </row>
    <row r="26" spans="2:11" x14ac:dyDescent="0.35">
      <c r="B26" s="1" t="str">
        <f>""</f>
        <v/>
      </c>
      <c r="C26" s="1" t="str">
        <f>"(1.75)"</f>
        <v>(1.75)</v>
      </c>
      <c r="D26" s="1" t="str">
        <f>"(0.21)"</f>
        <v>(0.21)</v>
      </c>
      <c r="E26" s="1" t="str">
        <f>"(1.02)"</f>
        <v>(1.02)</v>
      </c>
      <c r="F26" s="1" t="str">
        <f>"(0.04)"</f>
        <v>(0.04)</v>
      </c>
      <c r="G26" s="1" t="str">
        <f>"(2.14)"</f>
        <v>(2.14)</v>
      </c>
      <c r="H26" s="1" t="str">
        <f>"(1.62)"</f>
        <v>(1.62)</v>
      </c>
      <c r="I26" s="1" t="str">
        <f>"(1.67)"</f>
        <v>(1.67)</v>
      </c>
      <c r="J26" s="1" t="str">
        <f>"(1.70)"</f>
        <v>(1.70)</v>
      </c>
      <c r="K26" s="1"/>
    </row>
    <row r="27" spans="2:1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2:11" x14ac:dyDescent="0.35">
      <c r="B28" s="1" t="s">
        <v>112</v>
      </c>
      <c r="C28" s="1" t="str">
        <f>"0.11*"</f>
        <v>0.11*</v>
      </c>
      <c r="D28" s="1" t="str">
        <f>"0.33**"</f>
        <v>0.33**</v>
      </c>
      <c r="E28" s="1" t="str">
        <f>"0.077"</f>
        <v>0.077</v>
      </c>
      <c r="F28" s="1" t="str">
        <f>"0.20"</f>
        <v>0.20</v>
      </c>
      <c r="G28" s="1" t="str">
        <f>"0.092*"</f>
        <v>0.092*</v>
      </c>
      <c r="H28" s="1" t="str">
        <f>"0.20***"</f>
        <v>0.20***</v>
      </c>
      <c r="I28" s="1" t="str">
        <f>"0.15**"</f>
        <v>0.15**</v>
      </c>
      <c r="J28" s="1" t="str">
        <f>"0.16***"</f>
        <v>0.16***</v>
      </c>
      <c r="K28" s="1"/>
    </row>
    <row r="29" spans="2:11" x14ac:dyDescent="0.35">
      <c r="B29" s="1" t="s">
        <v>113</v>
      </c>
      <c r="C29" s="1" t="str">
        <f>"(1.94)"</f>
        <v>(1.94)</v>
      </c>
      <c r="D29" s="1" t="str">
        <f>"(2.25)"</f>
        <v>(2.25)</v>
      </c>
      <c r="E29" s="1" t="str">
        <f>"(1.45)"</f>
        <v>(1.45)</v>
      </c>
      <c r="F29" s="1" t="str">
        <f>"(1.13)"</f>
        <v>(1.13)</v>
      </c>
      <c r="G29" s="1" t="str">
        <f>"(1.94)"</f>
        <v>(1.94)</v>
      </c>
      <c r="H29" s="1" t="str">
        <f>"(2.97)"</f>
        <v>(2.97)</v>
      </c>
      <c r="I29" s="1" t="str">
        <f>"(2.28)"</f>
        <v>(2.28)</v>
      </c>
      <c r="J29" s="1" t="str">
        <f>"(2.80)"</f>
        <v>(2.80)</v>
      </c>
      <c r="K29" s="1"/>
    </row>
    <row r="30" spans="2:11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2:11" x14ac:dyDescent="0.35">
      <c r="B31" s="1" t="s">
        <v>110</v>
      </c>
      <c r="C31" s="1" t="str">
        <f>"0.11**"</f>
        <v>0.11**</v>
      </c>
      <c r="D31" s="1" t="str">
        <f>"0.096"</f>
        <v>0.096</v>
      </c>
      <c r="E31" s="1" t="str">
        <f>"0.14**"</f>
        <v>0.14**</v>
      </c>
      <c r="F31" s="1" t="str">
        <f>"0.100"</f>
        <v>0.100</v>
      </c>
      <c r="G31" s="1" t="str">
        <f>"0.13***"</f>
        <v>0.13***</v>
      </c>
      <c r="H31" s="1" t="str">
        <f>"0.100*"</f>
        <v>0.100*</v>
      </c>
      <c r="I31" s="1" t="str">
        <f>"0.10"</f>
        <v>0.10</v>
      </c>
      <c r="J31" s="1" t="str">
        <f>"0.15***"</f>
        <v>0.15***</v>
      </c>
      <c r="K31" s="1"/>
    </row>
    <row r="32" spans="2:11" x14ac:dyDescent="0.35">
      <c r="B32" s="1" t="s">
        <v>111</v>
      </c>
      <c r="C32" s="1" t="str">
        <f>"(2.36)"</f>
        <v>(2.36)</v>
      </c>
      <c r="D32" s="1" t="str">
        <f>"(1.67)"</f>
        <v>(1.67)</v>
      </c>
      <c r="E32" s="1" t="str">
        <f>"(2.15)"</f>
        <v>(2.15)</v>
      </c>
      <c r="F32" s="1" t="str">
        <f>"(0.50)"</f>
        <v>(0.50)</v>
      </c>
      <c r="G32" s="1" t="str">
        <f>"(2.63)"</f>
        <v>(2.63)</v>
      </c>
      <c r="H32" s="1" t="str">
        <f>"(1.76)"</f>
        <v>(1.76)</v>
      </c>
      <c r="I32" s="1" t="str">
        <f>"(1.60)"</f>
        <v>(1.60)</v>
      </c>
      <c r="J32" s="1" t="str">
        <f>"(3.18)"</f>
        <v>(3.18)</v>
      </c>
      <c r="K32" s="1"/>
    </row>
    <row r="33" spans="2:11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x14ac:dyDescent="0.35">
      <c r="B34" s="1" t="s">
        <v>103</v>
      </c>
      <c r="C34" s="1"/>
      <c r="D34" s="1" t="str">
        <f>""</f>
        <v/>
      </c>
      <c r="E34" s="1" t="str">
        <f>""</f>
        <v/>
      </c>
      <c r="F34" s="1" t="str">
        <f>""</f>
        <v/>
      </c>
      <c r="G34" s="1" t="str">
        <f>""</f>
        <v/>
      </c>
      <c r="H34" s="1" t="str">
        <f>"-0.52"</f>
        <v>-0.52</v>
      </c>
      <c r="I34" s="1" t="str">
        <f>"-0.69*"</f>
        <v>-0.69*</v>
      </c>
      <c r="J34" s="1"/>
      <c r="K34" s="1"/>
    </row>
    <row r="35" spans="2:11" x14ac:dyDescent="0.35">
      <c r="B35" s="1" t="s">
        <v>104</v>
      </c>
      <c r="C35" s="1" t="str">
        <f>""</f>
        <v/>
      </c>
      <c r="D35" s="1" t="str">
        <f>""</f>
        <v/>
      </c>
      <c r="E35" s="1" t="str">
        <f>""</f>
        <v/>
      </c>
      <c r="F35" s="1" t="str">
        <f>""</f>
        <v/>
      </c>
      <c r="G35" s="1" t="str">
        <f>""</f>
        <v/>
      </c>
      <c r="H35" s="1" t="str">
        <f>"(-1.47)"</f>
        <v>(-1.47)</v>
      </c>
      <c r="I35" s="1" t="str">
        <f>"(-1.70)"</f>
        <v>(-1.70)</v>
      </c>
      <c r="J35" s="1" t="str">
        <f>""</f>
        <v/>
      </c>
      <c r="K35" s="1"/>
    </row>
    <row r="36" spans="2:11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x14ac:dyDescent="0.35">
      <c r="B37" s="1" t="str">
        <f>"Constant"</f>
        <v>Constant</v>
      </c>
      <c r="C37" s="1" t="str">
        <f>"-7.69*"</f>
        <v>-7.69*</v>
      </c>
      <c r="D37" s="1" t="str">
        <f>"-21.5**"</f>
        <v>-21.5**</v>
      </c>
      <c r="E37" s="1" t="str">
        <f>"-3.55"</f>
        <v>-3.55</v>
      </c>
      <c r="F37" s="1" t="str">
        <f>"-6.12"</f>
        <v>-6.12</v>
      </c>
      <c r="G37" s="1" t="str">
        <f>"-8.91**"</f>
        <v>-8.91**</v>
      </c>
      <c r="H37" s="1" t="str">
        <f>"-13.8***"</f>
        <v>-13.8***</v>
      </c>
      <c r="I37" s="1" t="str">
        <f>"-8.06"</f>
        <v>-8.06</v>
      </c>
      <c r="J37" s="1" t="str">
        <f>"-13.1***"</f>
        <v>-13.1***</v>
      </c>
      <c r="K37" s="1"/>
    </row>
    <row r="38" spans="2:11" x14ac:dyDescent="0.35">
      <c r="B38" s="1" t="str">
        <f>""</f>
        <v/>
      </c>
      <c r="C38" s="1" t="str">
        <f>"(-1.91)"</f>
        <v>(-1.91)</v>
      </c>
      <c r="D38" s="1" t="str">
        <f>"(-2.32)"</f>
        <v>(-2.32)</v>
      </c>
      <c r="E38" s="1" t="str">
        <f>"(-0.64)"</f>
        <v>(-0.64)</v>
      </c>
      <c r="F38" s="1" t="str">
        <f>"(-0.46)"</f>
        <v>(-0.46)</v>
      </c>
      <c r="G38" s="1" t="str">
        <f>"(-2.43)"</f>
        <v>(-2.43)</v>
      </c>
      <c r="H38" s="1" t="str">
        <f>"(-2.67)"</f>
        <v>(-2.67)</v>
      </c>
      <c r="I38" s="1" t="str">
        <f>"(-1.39)"</f>
        <v>(-1.39)</v>
      </c>
      <c r="J38" s="1" t="str">
        <f>"(-3.31)"</f>
        <v>(-3.31)</v>
      </c>
      <c r="K38" s="1"/>
    </row>
    <row r="39" spans="2:11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x14ac:dyDescent="0.35">
      <c r="B40" s="1" t="str">
        <f>"Observations"</f>
        <v>Observations</v>
      </c>
      <c r="C40" s="3">
        <f>147</f>
        <v>147</v>
      </c>
      <c r="D40" s="3">
        <f>60</f>
        <v>60</v>
      </c>
      <c r="E40" s="3">
        <f>87</f>
        <v>87</v>
      </c>
      <c r="F40" s="3">
        <f>39</f>
        <v>39</v>
      </c>
      <c r="G40" s="3">
        <f>108</f>
        <v>108</v>
      </c>
      <c r="H40" s="3">
        <f>123</f>
        <v>123</v>
      </c>
      <c r="I40" s="3">
        <f>99</f>
        <v>99</v>
      </c>
      <c r="J40" s="3">
        <f>155</f>
        <v>155</v>
      </c>
      <c r="K40" s="1"/>
    </row>
    <row r="41" spans="2:11" x14ac:dyDescent="0.35">
      <c r="B41" s="1" t="str">
        <f>"R-squared"</f>
        <v>R-squared</v>
      </c>
      <c r="C41" s="4">
        <f>0.496</f>
        <v>0.496</v>
      </c>
      <c r="D41" s="4">
        <f>0.491</f>
        <v>0.49099999999999999</v>
      </c>
      <c r="E41" s="4">
        <f>0.526</f>
        <v>0.52600000000000002</v>
      </c>
      <c r="F41" s="4">
        <f>0.432</f>
        <v>0.432</v>
      </c>
      <c r="G41" s="4">
        <f>0.383</f>
        <v>0.38300000000000001</v>
      </c>
      <c r="H41" s="4">
        <f>0.526</f>
        <v>0.52600000000000002</v>
      </c>
      <c r="I41" s="4">
        <f>0.532</f>
        <v>0.53200000000000003</v>
      </c>
      <c r="J41" s="4">
        <f>0.44</f>
        <v>0.44</v>
      </c>
      <c r="K41" s="1"/>
    </row>
    <row r="42" spans="2:11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x14ac:dyDescent="0.35">
      <c r="B43" s="1" t="s">
        <v>9</v>
      </c>
    </row>
    <row r="44" spans="2:11" x14ac:dyDescent="0.35">
      <c r="B44" s="1" t="s">
        <v>10</v>
      </c>
    </row>
    <row r="45" spans="2:11" x14ac:dyDescent="0.35">
      <c r="B45" s="1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45"/>
  <sheetViews>
    <sheetView workbookViewId="0">
      <selection activeCell="L18" sqref="L18"/>
    </sheetView>
  </sheetViews>
  <sheetFormatPr defaultRowHeight="14.5" x14ac:dyDescent="0.35"/>
  <cols>
    <col min="1" max="1" width="5.6328125" customWidth="1"/>
    <col min="2" max="2" width="43.81640625" customWidth="1"/>
    <col min="11" max="11" width="2.7265625" customWidth="1"/>
  </cols>
  <sheetData>
    <row r="1" spans="2:11" x14ac:dyDescent="0.35">
      <c r="B1" t="str">
        <f>"growth regressions"</f>
        <v>growth regressions</v>
      </c>
    </row>
    <row r="2" spans="2:11" x14ac:dyDescent="0.35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x14ac:dyDescent="0.35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 x14ac:dyDescent="0.35">
      <c r="B4" s="1" t="str">
        <f>""</f>
        <v/>
      </c>
      <c r="C4" s="1" t="str">
        <f>"(1)"</f>
        <v>(1)</v>
      </c>
      <c r="D4" s="1" t="str">
        <f>"(2)"</f>
        <v>(2)</v>
      </c>
      <c r="E4" s="1" t="str">
        <f>"(3)"</f>
        <v>(3)</v>
      </c>
      <c r="F4" s="1" t="str">
        <f>"(4)"</f>
        <v>(4)</v>
      </c>
      <c r="G4" s="1" t="str">
        <f>"(5)"</f>
        <v>(5)</v>
      </c>
      <c r="H4" s="1" t="str">
        <f>"(6)"</f>
        <v>(6)</v>
      </c>
      <c r="I4" s="1" t="str">
        <f>"(8)"</f>
        <v>(8)</v>
      </c>
      <c r="J4" s="1" t="str">
        <f>"(9)"</f>
        <v>(9)</v>
      </c>
      <c r="K4" s="1"/>
    </row>
    <row r="5" spans="2:11" x14ac:dyDescent="0.35">
      <c r="B5" s="1" t="str">
        <f>""</f>
        <v/>
      </c>
      <c r="C5" s="1" t="str">
        <f>"All"</f>
        <v>All</v>
      </c>
      <c r="D5" s="1" t="str">
        <f>"AE"</f>
        <v>AE</v>
      </c>
      <c r="E5" s="1" t="str">
        <f>"EM"</f>
        <v>EM</v>
      </c>
      <c r="F5" s="1" t="str">
        <f>"All"</f>
        <v>All</v>
      </c>
      <c r="G5" s="1" t="str">
        <f>"AE"</f>
        <v>AE</v>
      </c>
      <c r="H5" s="1" t="str">
        <f>"EM"</f>
        <v>EM</v>
      </c>
      <c r="I5" s="1" t="str">
        <f>"All"</f>
        <v>All</v>
      </c>
      <c r="J5" s="1" t="s">
        <v>3</v>
      </c>
      <c r="K5" s="1"/>
    </row>
    <row r="6" spans="2:11" x14ac:dyDescent="0.35">
      <c r="B6" s="1"/>
      <c r="C6" s="1"/>
      <c r="D6" s="1"/>
      <c r="E6" s="1"/>
      <c r="F6" s="1"/>
      <c r="G6" s="1"/>
      <c r="H6" s="1"/>
      <c r="I6" s="1"/>
      <c r="J6" s="1"/>
      <c r="K6" s="1"/>
    </row>
    <row r="7" spans="2:11" x14ac:dyDescent="0.35">
      <c r="B7" s="1" t="str">
        <f>"COVID cases in 2020 (per 1000 popul.)"</f>
        <v>COVID cases in 2020 (per 1000 popul.)</v>
      </c>
      <c r="C7" s="1" t="str">
        <f>"0.0203"</f>
        <v>0.0203</v>
      </c>
      <c r="D7" s="1" t="str">
        <f>"0.00973"</f>
        <v>0.00973</v>
      </c>
      <c r="E7" s="1" t="str">
        <f>"0.0162"</f>
        <v>0.0162</v>
      </c>
      <c r="F7" s="1" t="str">
        <f>"0.0219"</f>
        <v>0.0219</v>
      </c>
      <c r="G7" s="1" t="str">
        <f>"0.00896"</f>
        <v>0.00896</v>
      </c>
      <c r="H7" s="1" t="str">
        <f>"0.0260"</f>
        <v>0.0260</v>
      </c>
      <c r="I7" s="1" t="str">
        <f>"0.0228"</f>
        <v>0.0228</v>
      </c>
      <c r="J7" s="1" t="str">
        <f>"0.0528**"</f>
        <v>0.0528**</v>
      </c>
      <c r="K7" s="1"/>
    </row>
    <row r="8" spans="2:11" x14ac:dyDescent="0.35">
      <c r="B8" s="1" t="str">
        <f>""</f>
        <v/>
      </c>
      <c r="C8" s="1" t="str">
        <f>"(0.81)"</f>
        <v>(0.81)</v>
      </c>
      <c r="D8" s="1" t="str">
        <f>"(0.31)"</f>
        <v>(0.31)</v>
      </c>
      <c r="E8" s="1" t="str">
        <f>"(0.42)"</f>
        <v>(0.42)</v>
      </c>
      <c r="F8" s="1" t="str">
        <f>"(0.82)"</f>
        <v>(0.82)</v>
      </c>
      <c r="G8" s="1" t="str">
        <f>"(0.37)"</f>
        <v>(0.37)</v>
      </c>
      <c r="H8" s="1" t="str">
        <f>"(0.63)"</f>
        <v>(0.63)</v>
      </c>
      <c r="I8" s="1" t="str">
        <f>"(0.87)"</f>
        <v>(0.87)</v>
      </c>
      <c r="J8" s="1" t="str">
        <f>"(2.09)"</f>
        <v>(2.09)</v>
      </c>
      <c r="K8" s="1"/>
    </row>
    <row r="9" spans="2:11" x14ac:dyDescent="0.35">
      <c r="B9" s="1"/>
      <c r="C9" s="1"/>
      <c r="D9" s="1"/>
      <c r="E9" s="1"/>
      <c r="F9" s="1"/>
      <c r="G9" s="1"/>
      <c r="H9" s="1"/>
      <c r="I9" s="1"/>
      <c r="J9" s="1"/>
      <c r="K9" s="1"/>
    </row>
    <row r="10" spans="2:11" x14ac:dyDescent="0.35">
      <c r="B10" s="1" t="str">
        <f>"COVID deaths in 2020 (per 1000 popul.)"</f>
        <v>COVID deaths in 2020 (per 1000 popul.)</v>
      </c>
      <c r="C10" s="1" t="str">
        <f>"-2.700***"</f>
        <v>-2.700***</v>
      </c>
      <c r="D10" s="1" t="str">
        <f>"-2.864**"</f>
        <v>-2.864**</v>
      </c>
      <c r="E10" s="1" t="str">
        <f>"-2.108"</f>
        <v>-2.108</v>
      </c>
      <c r="F10" s="1" t="str">
        <f>"-2.645***"</f>
        <v>-2.645***</v>
      </c>
      <c r="G10" s="1" t="str">
        <f>"-2.785**"</f>
        <v>-2.785**</v>
      </c>
      <c r="H10" s="1" t="str">
        <f>"-2.204"</f>
        <v>-2.204</v>
      </c>
      <c r="I10" s="1" t="str">
        <f>"-2.553**"</f>
        <v>-2.553**</v>
      </c>
      <c r="J10" s="1" t="str">
        <f>"-3.380***"</f>
        <v>-3.380***</v>
      </c>
      <c r="K10" s="1"/>
    </row>
    <row r="11" spans="2:11" x14ac:dyDescent="0.35">
      <c r="B11" s="1" t="str">
        <f>""</f>
        <v/>
      </c>
      <c r="C11" s="1" t="str">
        <f>"(-2.97)"</f>
        <v>(-2.97)</v>
      </c>
      <c r="D11" s="1" t="str">
        <f>"(-2.49)"</f>
        <v>(-2.49)</v>
      </c>
      <c r="E11" s="1" t="str">
        <f>"(-1.66)"</f>
        <v>(-1.66)</v>
      </c>
      <c r="F11" s="1" t="str">
        <f>"(-2.63)"</f>
        <v>(-2.63)</v>
      </c>
      <c r="G11" s="1" t="str">
        <f>"(-2.70)"</f>
        <v>(-2.70)</v>
      </c>
      <c r="H11" s="1" t="str">
        <f>"(-1.52)"</f>
        <v>(-1.52)</v>
      </c>
      <c r="I11" s="1" t="str">
        <f>"(-2.60)"</f>
        <v>(-2.60)</v>
      </c>
      <c r="J11" s="1" t="str">
        <f>"(-3.58)"</f>
        <v>(-3.58)</v>
      </c>
      <c r="K11" s="1"/>
    </row>
    <row r="12" spans="2:11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2:11" x14ac:dyDescent="0.35">
      <c r="B13" s="1" t="str">
        <f>"Oxford stringency index (average 2020)"</f>
        <v>Oxford stringency index (average 2020)</v>
      </c>
      <c r="C13" s="1" t="str">
        <f>"-0.121***"</f>
        <v>-0.121***</v>
      </c>
      <c r="D13" s="1" t="str">
        <f>"-0.0328"</f>
        <v>-0.0328</v>
      </c>
      <c r="E13" s="1" t="str">
        <f>"-0.112***"</f>
        <v>-0.112***</v>
      </c>
      <c r="F13" s="1" t="str">
        <f>"-0.109***"</f>
        <v>-0.109***</v>
      </c>
      <c r="G13" s="1" t="str">
        <f>"0.0182"</f>
        <v>0.0182</v>
      </c>
      <c r="H13" s="1" t="str">
        <f>"-0.108***"</f>
        <v>-0.108***</v>
      </c>
      <c r="I13" s="1" t="str">
        <f>"-0.113***"</f>
        <v>-0.113***</v>
      </c>
      <c r="J13" s="1" t="str">
        <f>"-0.0862***"</f>
        <v>-0.0862***</v>
      </c>
      <c r="K13" s="1"/>
    </row>
    <row r="14" spans="2:11" x14ac:dyDescent="0.35">
      <c r="B14" s="1" t="str">
        <f>""</f>
        <v/>
      </c>
      <c r="C14" s="1" t="str">
        <f>"(-4.70)"</f>
        <v>(-4.70)</v>
      </c>
      <c r="D14" s="1" t="str">
        <f>"(-0.72)"</f>
        <v>(-0.72)</v>
      </c>
      <c r="E14" s="1" t="str">
        <f>"(-3.98)"</f>
        <v>(-3.98)</v>
      </c>
      <c r="F14" s="1" t="str">
        <f>"(-4.14)"</f>
        <v>(-4.14)</v>
      </c>
      <c r="G14" s="1" t="str">
        <f>"(0.48)"</f>
        <v>(0.48)</v>
      </c>
      <c r="H14" s="1" t="str">
        <f>"(-3.71)"</f>
        <v>(-3.71)</v>
      </c>
      <c r="I14" s="1" t="str">
        <f>"(-4.19)"</f>
        <v>(-4.19)</v>
      </c>
      <c r="J14" s="1" t="str">
        <f>"(-3.16)"</f>
        <v>(-3.16)</v>
      </c>
      <c r="K14" s="1"/>
    </row>
    <row r="15" spans="2:11" x14ac:dyDescent="0.35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2:11" x14ac:dyDescent="0.35">
      <c r="B16" s="1" t="s">
        <v>7</v>
      </c>
      <c r="C16" s="1" t="str">
        <f>"-0.239***"</f>
        <v>-0.239***</v>
      </c>
      <c r="D16" s="1" t="str">
        <f>"-0.289***"</f>
        <v>-0.289***</v>
      </c>
      <c r="E16" s="1" t="str">
        <f>"-0.218***"</f>
        <v>-0.218***</v>
      </c>
      <c r="F16" s="1" t="str">
        <f>"-0.217***"</f>
        <v>-0.217***</v>
      </c>
      <c r="G16" s="1" t="str">
        <f>"-0.288***"</f>
        <v>-0.288***</v>
      </c>
      <c r="H16" s="1" t="str">
        <f>"-0.197***"</f>
        <v>-0.197***</v>
      </c>
      <c r="I16" s="1"/>
      <c r="J16" s="1" t="str">
        <f>""</f>
        <v/>
      </c>
      <c r="K16" s="1" t="str">
        <f>""</f>
        <v/>
      </c>
    </row>
    <row r="17" spans="2:11" x14ac:dyDescent="0.35">
      <c r="B17" s="1" t="str">
        <f>""</f>
        <v/>
      </c>
      <c r="C17" s="1" t="str">
        <f>"(-8.97)"</f>
        <v>(-8.97)</v>
      </c>
      <c r="D17" s="1" t="str">
        <f>"(-4.17)"</f>
        <v>(-4.17)</v>
      </c>
      <c r="E17" s="1" t="str">
        <f>"(-7.29)"</f>
        <v>(-7.29)</v>
      </c>
      <c r="F17" s="1" t="str">
        <f>"(-5.97)"</f>
        <v>(-5.97)</v>
      </c>
      <c r="G17" s="1" t="str">
        <f>"(-6.85)"</f>
        <v>(-6.85)</v>
      </c>
      <c r="H17" s="1" t="str">
        <f>"(-4.83)"</f>
        <v>(-4.83)</v>
      </c>
      <c r="I17" s="1" t="str">
        <f>""</f>
        <v/>
      </c>
      <c r="J17" s="1" t="str">
        <f>""</f>
        <v/>
      </c>
      <c r="K17" s="1"/>
    </row>
    <row r="18" spans="2:11" x14ac:dyDescent="0.35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2:11" x14ac:dyDescent="0.35">
      <c r="B19" s="1" t="str">
        <f>"log GDP per capita"</f>
        <v>log GDP per capita</v>
      </c>
      <c r="C19" s="1" t="str">
        <f>"0.146"</f>
        <v>0.146</v>
      </c>
      <c r="D19" s="1" t="str">
        <f>"1.437**"</f>
        <v>1.437**</v>
      </c>
      <c r="E19" s="1" t="str">
        <f>"-0.319"</f>
        <v>-0.319</v>
      </c>
      <c r="F19" s="1" t="str">
        <f>"0.548"</f>
        <v>0.548</v>
      </c>
      <c r="G19" s="1" t="str">
        <f>"2.577***"</f>
        <v>2.577***</v>
      </c>
      <c r="H19" s="1" t="str">
        <f>"-0.193"</f>
        <v>-0.193</v>
      </c>
      <c r="I19" s="1" t="str">
        <f>"0.435"</f>
        <v>0.435</v>
      </c>
      <c r="J19" s="1" t="str">
        <f>"0.610*"</f>
        <v>0.610*</v>
      </c>
      <c r="K19" s="1"/>
    </row>
    <row r="20" spans="2:11" x14ac:dyDescent="0.35">
      <c r="B20" s="1" t="str">
        <f>""</f>
        <v/>
      </c>
      <c r="C20" s="1" t="str">
        <f>"(0.69)"</f>
        <v>(0.69)</v>
      </c>
      <c r="D20" s="1" t="str">
        <f>"(2.26)"</f>
        <v>(2.26)</v>
      </c>
      <c r="E20" s="1" t="str">
        <f>"(-0.99)"</f>
        <v>(-0.99)</v>
      </c>
      <c r="F20" s="1" t="str">
        <f>"(1.56)"</f>
        <v>(1.56)</v>
      </c>
      <c r="G20" s="1" t="str">
        <f>"(4.85)"</f>
        <v>(4.85)</v>
      </c>
      <c r="H20" s="1" t="str">
        <f>"(-0.41)"</f>
        <v>(-0.41)</v>
      </c>
      <c r="I20" s="1" t="str">
        <f>"(1.26)"</f>
        <v>(1.26)</v>
      </c>
      <c r="J20" s="1" t="str">
        <f>"(1.78)"</f>
        <v>(1.78)</v>
      </c>
      <c r="K20" s="1"/>
    </row>
    <row r="21" spans="2:11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2:11" x14ac:dyDescent="0.35">
      <c r="B22" s="1" t="str">
        <f>"log population"</f>
        <v>log population</v>
      </c>
      <c r="C22" s="1" t="str">
        <f>"0.427*"</f>
        <v>0.427*</v>
      </c>
      <c r="D22" s="1" t="str">
        <f>"-0.375"</f>
        <v>-0.375</v>
      </c>
      <c r="E22" s="1" t="str">
        <f>"0.527*"</f>
        <v>0.527*</v>
      </c>
      <c r="F22" s="1" t="str">
        <f>"0.304"</f>
        <v>0.304</v>
      </c>
      <c r="G22" s="1" t="str">
        <f>"-0.435*"</f>
        <v>-0.435*</v>
      </c>
      <c r="H22" s="1" t="str">
        <f>"0.379"</f>
        <v>0.379</v>
      </c>
      <c r="I22" s="1" t="str">
        <f>"0.363"</f>
        <v>0.363</v>
      </c>
      <c r="J22" s="1" t="str">
        <f>"0.292"</f>
        <v>0.292</v>
      </c>
      <c r="K22" s="1"/>
    </row>
    <row r="23" spans="2:11" x14ac:dyDescent="0.35">
      <c r="B23" s="1" t="str">
        <f>""</f>
        <v/>
      </c>
      <c r="C23" s="1" t="str">
        <f>"(1.90)"</f>
        <v>(1.90)</v>
      </c>
      <c r="D23" s="1" t="str">
        <f>"(-1.15)"</f>
        <v>(-1.15)</v>
      </c>
      <c r="E23" s="1" t="str">
        <f>"(1.97)"</f>
        <v>(1.97)</v>
      </c>
      <c r="F23" s="1" t="str">
        <f>"(1.28)"</f>
        <v>(1.28)</v>
      </c>
      <c r="G23" s="1" t="str">
        <f>"(-1.75)"</f>
        <v>(-1.75)</v>
      </c>
      <c r="H23" s="1" t="str">
        <f>"(1.32)"</f>
        <v>(1.32)</v>
      </c>
      <c r="I23" s="1" t="str">
        <f>"(1.57)"</f>
        <v>(1.57)</v>
      </c>
      <c r="J23" s="1" t="str">
        <f>"(1.44)"</f>
        <v>(1.44)</v>
      </c>
      <c r="K23" s="1"/>
    </row>
    <row r="24" spans="2:1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2:11" x14ac:dyDescent="0.35">
      <c r="B25" s="1" t="s">
        <v>4</v>
      </c>
      <c r="C25" s="1" t="str">
        <f>""</f>
        <v/>
      </c>
      <c r="D25" s="1" t="str">
        <f>""</f>
        <v/>
      </c>
      <c r="E25" s="1" t="str">
        <f>""</f>
        <v/>
      </c>
      <c r="F25" s="1" t="str">
        <f>"0.0905*"</f>
        <v>0.0905*</v>
      </c>
      <c r="G25" s="1" t="str">
        <f>"0.645**"</f>
        <v>0.645**</v>
      </c>
      <c r="H25" s="1" t="str">
        <f>"0.0555"</f>
        <v>0.0555</v>
      </c>
      <c r="I25" s="1" t="str">
        <f>"0.0909*"</f>
        <v>0.0909*</v>
      </c>
      <c r="J25" s="1" t="str">
        <f>"0.147***"</f>
        <v>0.147***</v>
      </c>
      <c r="K25" s="1"/>
    </row>
    <row r="26" spans="2:11" x14ac:dyDescent="0.35">
      <c r="B26" s="1" t="str">
        <f>""</f>
        <v/>
      </c>
      <c r="C26" s="1" t="str">
        <f>""</f>
        <v/>
      </c>
      <c r="D26" s="1" t="str">
        <f>""</f>
        <v/>
      </c>
      <c r="E26" s="1" t="str">
        <f>""</f>
        <v/>
      </c>
      <c r="F26" s="1" t="str">
        <f>"(1.69)"</f>
        <v>(1.69)</v>
      </c>
      <c r="G26" s="1" t="str">
        <f>"(2.73)"</f>
        <v>(2.73)</v>
      </c>
      <c r="H26" s="1" t="str">
        <f>"(1.06)"</f>
        <v>(1.06)</v>
      </c>
      <c r="I26" s="1" t="str">
        <f>"(1.68)"</f>
        <v>(1.68)</v>
      </c>
      <c r="J26" s="1" t="str">
        <f>"(2.66)"</f>
        <v>(2.66)</v>
      </c>
      <c r="K26" s="1"/>
    </row>
    <row r="27" spans="2:1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2:11" x14ac:dyDescent="0.35">
      <c r="B28" s="1" t="s">
        <v>5</v>
      </c>
      <c r="C28" s="1" t="str">
        <f>""</f>
        <v/>
      </c>
      <c r="D28" s="1" t="str">
        <f>""</f>
        <v/>
      </c>
      <c r="E28" s="1" t="str">
        <f>""</f>
        <v/>
      </c>
      <c r="F28" s="1" t="str">
        <f>"0.104**"</f>
        <v>0.104**</v>
      </c>
      <c r="G28" s="1" t="str">
        <f>"0.0910"</f>
        <v>0.0910</v>
      </c>
      <c r="H28" s="1" t="str">
        <f>"0.128**"</f>
        <v>0.128**</v>
      </c>
      <c r="I28" s="1" t="str">
        <f>"0.113**"</f>
        <v>0.113**</v>
      </c>
      <c r="J28" s="1" t="str">
        <f>"0.165***"</f>
        <v>0.165***</v>
      </c>
      <c r="K28" s="1"/>
    </row>
    <row r="29" spans="2:11" x14ac:dyDescent="0.35">
      <c r="B29" s="1" t="str">
        <f>""</f>
        <v/>
      </c>
      <c r="C29" s="1" t="str">
        <f>""</f>
        <v/>
      </c>
      <c r="D29" s="1" t="str">
        <f>""</f>
        <v/>
      </c>
      <c r="E29" s="1" t="str">
        <f>""</f>
        <v/>
      </c>
      <c r="F29" s="1" t="str">
        <f>"(2.10)"</f>
        <v>(2.10)</v>
      </c>
      <c r="G29" s="1" t="str">
        <f>"(1.66)"</f>
        <v>(1.66)</v>
      </c>
      <c r="H29" s="1" t="str">
        <f>"(2.29)"</f>
        <v>(2.29)</v>
      </c>
      <c r="I29" s="1" t="str">
        <f>"(2.35)"</f>
        <v>(2.35)</v>
      </c>
      <c r="J29" s="1" t="str">
        <f>"(3.35)"</f>
        <v>(3.35)</v>
      </c>
      <c r="K29" s="1"/>
    </row>
    <row r="30" spans="2:11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2:11" x14ac:dyDescent="0.35">
      <c r="B31" s="1" t="s">
        <v>6</v>
      </c>
      <c r="C31" s="1"/>
      <c r="D31" s="1" t="str">
        <f>""</f>
        <v/>
      </c>
      <c r="E31" s="1" t="str">
        <f>""</f>
        <v/>
      </c>
      <c r="F31" s="1" t="str">
        <f>""</f>
        <v/>
      </c>
      <c r="G31" s="1" t="str">
        <f>""</f>
        <v/>
      </c>
      <c r="H31" s="1" t="str">
        <f>""</f>
        <v/>
      </c>
      <c r="I31" s="1" t="str">
        <f>"-0.541***"</f>
        <v>-0.541***</v>
      </c>
      <c r="J31" s="1"/>
      <c r="K31" s="1" t="str">
        <f>""</f>
        <v/>
      </c>
    </row>
    <row r="32" spans="2:11" x14ac:dyDescent="0.35">
      <c r="B32" s="1" t="str">
        <f>""</f>
        <v/>
      </c>
      <c r="C32" s="1" t="str">
        <f>""</f>
        <v/>
      </c>
      <c r="D32" s="1" t="str">
        <f>""</f>
        <v/>
      </c>
      <c r="E32" s="1" t="str">
        <f>""</f>
        <v/>
      </c>
      <c r="F32" s="1" t="str">
        <f>""</f>
        <v/>
      </c>
      <c r="G32" s="1" t="str">
        <f>""</f>
        <v/>
      </c>
      <c r="H32" s="1" t="str">
        <f>""</f>
        <v/>
      </c>
      <c r="I32" s="1" t="str">
        <f>"(-6.32)"</f>
        <v>(-6.32)</v>
      </c>
      <c r="J32" s="1" t="str">
        <f>""</f>
        <v/>
      </c>
      <c r="K32" s="1"/>
    </row>
    <row r="33" spans="2:11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x14ac:dyDescent="0.35">
      <c r="B34" s="1" t="s">
        <v>8</v>
      </c>
      <c r="C34" s="1"/>
      <c r="D34" s="1" t="str">
        <f>""</f>
        <v/>
      </c>
      <c r="E34" s="1" t="str">
        <f>""</f>
        <v/>
      </c>
      <c r="F34" s="1" t="str">
        <f>""</f>
        <v/>
      </c>
      <c r="G34" s="1" t="str">
        <f>""</f>
        <v/>
      </c>
      <c r="H34" s="1" t="str">
        <f>""</f>
        <v/>
      </c>
      <c r="I34" s="1" t="str">
        <f>""</f>
        <v/>
      </c>
      <c r="J34" s="1" t="str">
        <f>"-0.237***"</f>
        <v>-0.237***</v>
      </c>
      <c r="K34" s="1"/>
    </row>
    <row r="35" spans="2:11" x14ac:dyDescent="0.35">
      <c r="B35" s="1" t="str">
        <f>""</f>
        <v/>
      </c>
      <c r="C35" s="1" t="str">
        <f>""</f>
        <v/>
      </c>
      <c r="D35" s="1" t="str">
        <f>""</f>
        <v/>
      </c>
      <c r="E35" s="1" t="str">
        <f>""</f>
        <v/>
      </c>
      <c r="F35" s="1" t="str">
        <f>""</f>
        <v/>
      </c>
      <c r="G35" s="1" t="str">
        <f>""</f>
        <v/>
      </c>
      <c r="H35" s="1" t="str">
        <f>""</f>
        <v/>
      </c>
      <c r="I35" s="1" t="str">
        <f>""</f>
        <v/>
      </c>
      <c r="J35" s="1" t="str">
        <f>"(-3.88)"</f>
        <v>(-3.88)</v>
      </c>
      <c r="K35" s="1"/>
    </row>
    <row r="36" spans="2:11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x14ac:dyDescent="0.35">
      <c r="B37" s="1" t="str">
        <f>"Constant"</f>
        <v>Constant</v>
      </c>
      <c r="C37" s="1" t="str">
        <f>"-0.298"</f>
        <v>-0.298</v>
      </c>
      <c r="D37" s="1" t="str">
        <f>"-14.88**"</f>
        <v>-14.88**</v>
      </c>
      <c r="E37" s="1" t="str">
        <f>"2.345"</f>
        <v>2.345</v>
      </c>
      <c r="F37" s="1" t="str">
        <f>"-6.599*"</f>
        <v>-6.599*</v>
      </c>
      <c r="G37" s="1" t="str">
        <f>"-31.76***"</f>
        <v>-31.76***</v>
      </c>
      <c r="H37" s="1" t="str">
        <f>"-1.160"</f>
        <v>-1.160</v>
      </c>
      <c r="I37" s="1" t="str">
        <f>"-5.947"</f>
        <v>-5.947</v>
      </c>
      <c r="J37" s="1" t="str">
        <f>"-12.01***"</f>
        <v>-12.01***</v>
      </c>
      <c r="K37" s="1"/>
    </row>
    <row r="38" spans="2:11" x14ac:dyDescent="0.35">
      <c r="B38" s="1" t="str">
        <f>""</f>
        <v/>
      </c>
      <c r="C38" s="1" t="str">
        <f>"(-0.16)"</f>
        <v>(-0.16)</v>
      </c>
      <c r="D38" s="1" t="str">
        <f>"(-2.12)"</f>
        <v>(-2.12)</v>
      </c>
      <c r="E38" s="1" t="str">
        <f>"(0.96)"</f>
        <v>(0.96)</v>
      </c>
      <c r="F38" s="1" t="str">
        <f>"(-1.66)"</f>
        <v>(-1.66)</v>
      </c>
      <c r="G38" s="1" t="str">
        <f>"(-4.54)"</f>
        <v>(-4.54)</v>
      </c>
      <c r="H38" s="1" t="str">
        <f>"(-0.26)"</f>
        <v>(-0.26)</v>
      </c>
      <c r="I38" s="1" t="str">
        <f>"(-1.47)"</f>
        <v>(-1.47)</v>
      </c>
      <c r="J38" s="1" t="str">
        <f>"(-2.97)"</f>
        <v>(-2.97)</v>
      </c>
      <c r="K38" s="1"/>
    </row>
    <row r="39" spans="2:11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x14ac:dyDescent="0.35">
      <c r="B40" s="1" t="str">
        <f>"Observations"</f>
        <v>Observations</v>
      </c>
      <c r="C40" s="1">
        <f>153</f>
        <v>153</v>
      </c>
      <c r="D40" s="1">
        <f>35</f>
        <v>35</v>
      </c>
      <c r="E40" s="1">
        <f>118</f>
        <v>118</v>
      </c>
      <c r="F40" s="1">
        <f>148</f>
        <v>148</v>
      </c>
      <c r="G40" s="1">
        <f>35</f>
        <v>35</v>
      </c>
      <c r="H40" s="1">
        <f>113</f>
        <v>113</v>
      </c>
      <c r="I40" s="1">
        <f>148</f>
        <v>148</v>
      </c>
      <c r="J40" s="1">
        <f>155</f>
        <v>155</v>
      </c>
      <c r="K40" s="1"/>
    </row>
    <row r="41" spans="2:11" x14ac:dyDescent="0.35">
      <c r="B41" s="1" t="str">
        <f>"R-squared"</f>
        <v>R-squared</v>
      </c>
      <c r="C41" s="2">
        <f>0.527</f>
        <v>0.52700000000000002</v>
      </c>
      <c r="D41" s="2">
        <f>0.685</f>
        <v>0.68500000000000005</v>
      </c>
      <c r="E41" s="2">
        <f>0.542</f>
        <v>0.54200000000000004</v>
      </c>
      <c r="F41" s="2">
        <f>0.476</f>
        <v>0.47599999999999998</v>
      </c>
      <c r="G41" s="2">
        <f>0.77</f>
        <v>0.77</v>
      </c>
      <c r="H41" s="2">
        <f>0.485</f>
        <v>0.48499999999999999</v>
      </c>
      <c r="I41" s="2">
        <f>0.476</f>
        <v>0.47599999999999998</v>
      </c>
      <c r="J41" s="2">
        <f>0.425</f>
        <v>0.42499999999999999</v>
      </c>
      <c r="K41" s="1"/>
    </row>
    <row r="42" spans="2:11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x14ac:dyDescent="0.35">
      <c r="B43" s="1" t="s">
        <v>9</v>
      </c>
      <c r="C43" s="1"/>
      <c r="D43" s="1"/>
      <c r="E43" s="1"/>
      <c r="F43" s="1"/>
      <c r="G43" s="1"/>
      <c r="H43" s="1"/>
      <c r="I43" s="1"/>
      <c r="J43" s="1"/>
      <c r="K43" s="1"/>
    </row>
    <row r="44" spans="2:11" x14ac:dyDescent="0.35">
      <c r="B44" s="1" t="s">
        <v>10</v>
      </c>
      <c r="C44" s="1"/>
      <c r="D44" s="1"/>
      <c r="E44" s="1"/>
      <c r="F44" s="1"/>
      <c r="G44" s="1"/>
      <c r="H44" s="1"/>
      <c r="I44" s="1"/>
      <c r="J44" s="1"/>
      <c r="K44" s="1"/>
    </row>
    <row r="45" spans="2:11" x14ac:dyDescent="0.35"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4F3A6CE927834FA5F933A7F5F16E10" ma:contentTypeVersion="10" ma:contentTypeDescription="Create a new document." ma:contentTypeScope="" ma:versionID="f234881abf83217afe70decd36d92c9d">
  <xsd:schema xmlns:xsd="http://www.w3.org/2001/XMLSchema" xmlns:xs="http://www.w3.org/2001/XMLSchema" xmlns:p="http://schemas.microsoft.com/office/2006/metadata/properties" xmlns:ns3="86e29117-e53d-44f1-a240-6b819dd83995" xmlns:ns4="5183cafb-0ed2-4067-9527-fe42d5010cff" targetNamespace="http://schemas.microsoft.com/office/2006/metadata/properties" ma:root="true" ma:fieldsID="17a935da0efee15b1881d6db4ef638b2" ns3:_="" ns4:_="">
    <xsd:import namespace="86e29117-e53d-44f1-a240-6b819dd83995"/>
    <xsd:import namespace="5183cafb-0ed2-4067-9527-fe42d5010c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e29117-e53d-44f1-a240-6b819dd839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83cafb-0ed2-4067-9527-fe42d5010cf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B29A42-3A11-4DDD-84EB-4AA552E07A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e29117-e53d-44f1-a240-6b819dd83995"/>
    <ds:schemaRef ds:uri="5183cafb-0ed2-4067-9527-fe42d5010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990DFA-8B23-4353-B5C2-78120B26BBA1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5183cafb-0ed2-4067-9527-fe42d5010cff"/>
    <ds:schemaRef ds:uri="86e29117-e53d-44f1-a240-6b819dd83995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1DA0090-E68C-4F5E-AAF2-60FE5ECB3E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6_CA</vt:lpstr>
      <vt:lpstr>Table 6_CA_new</vt:lpstr>
      <vt:lpstr>Table_7 growth_regr_1</vt:lpstr>
      <vt:lpstr>Table_8 growth regr2</vt:lpstr>
      <vt:lpstr>Table_regr_2_alt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 Maria Milesi-Ferretti</cp:lastModifiedBy>
  <dcterms:created xsi:type="dcterms:W3CDTF">2021-07-28T15:49:50Z</dcterms:created>
  <dcterms:modified xsi:type="dcterms:W3CDTF">2021-08-04T23:12:17Z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0x010100874F3A6CE927834FA5F933A7F5F16E10</vt:lpwstr>
  </property>
</Properties>
</file>