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9540" windowHeight="90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<sst xmlns="http://schemas.openxmlformats.org/spreadsheetml/2006/main" count="42">
  <si>
    <t>Date</t>
  </si>
  <si>
    <t>Revenue</t>
  </si>
  <si>
    <t>Cost of sales</t>
  </si>
  <si>
    <t>Gross profit</t>
  </si>
  <si>
    <t>Operating profit</t>
  </si>
  <si>
    <t>Net profit</t>
  </si>
  <si>
    <t>Headline earnings</t>
  </si>
  <si>
    <t>Shares in issue</t>
  </si>
  <si>
    <t>Non-current assets</t>
  </si>
  <si>
    <t>Current assets</t>
  </si>
  <si>
    <t>Non-current liabilities</t>
  </si>
  <si>
    <t>Current liabilities</t>
  </si>
  <si>
    <t>Cash from operations</t>
  </si>
  <si>
    <t>Cash from investing</t>
  </si>
  <si>
    <t>Cash from financing</t>
  </si>
  <si>
    <t>Change in cash</t>
  </si>
  <si>
    <t>Full year</t>
  </si>
  <si>
    <t>Half year</t>
  </si>
  <si>
    <t>04-08-2006</t>
  </si>
  <si>
    <t>21-02-2007</t>
  </si>
  <si>
    <t>03-08-2007</t>
  </si>
  <si>
    <t>20-02-2008</t>
  </si>
  <si>
    <t>08-08-2008</t>
  </si>
  <si>
    <t>10-02-2009</t>
  </si>
  <si>
    <t>04-08-2009</t>
  </si>
  <si>
    <t>17-02-2010</t>
  </si>
  <si>
    <t>05-08-2010</t>
  </si>
  <si>
    <t>16-02-2011</t>
  </si>
  <si>
    <t>03-08-2011</t>
  </si>
  <si>
    <t>11-02-2012</t>
  </si>
  <si>
    <t>28-07-2012</t>
  </si>
  <si>
    <t>13-02-2013</t>
  </si>
  <si>
    <t>31-07-2013</t>
  </si>
  <si>
    <t>11-02-2014</t>
  </si>
  <si>
    <t>31-07-2014</t>
  </si>
  <si>
    <t>04-03-2015</t>
  </si>
  <si>
    <t>30-07-2015</t>
  </si>
  <si>
    <t>02-03-2016</t>
  </si>
  <si>
    <t>30-07-2016</t>
  </si>
  <si>
    <t>24-02-2017</t>
  </si>
  <si>
    <t>29-07-2017</t>
  </si>
  <si>
    <t>02-03-2018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</si>
</sst>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7" borderId="4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16" borderId="3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2" fillId="16" borderId="6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/>
    <xf numFmtId="49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0"/>
  <sheetViews>
    <sheetView tabSelected="1" topLeftCell="N1" workbookViewId="0">
      <selection activeCell="Q26" sqref="Q26"/>
    </sheetView>
  </sheetViews>
  <sheetFormatPr defaultColWidth="9.14285714285714" defaultRowHeight="15"/>
  <cols>
    <col min="1" max="1" width="11.1428571428571" customWidth="1"/>
    <col min="2" max="2" width="9.42857142857143" customWidth="1"/>
    <col min="3" max="3" width="12.8571428571429" customWidth="1"/>
    <col min="4" max="4" width="12.1428571428571" customWidth="1"/>
    <col min="5" max="5" width="16.5714285714286" customWidth="1"/>
    <col min="6" max="6" width="10.2857142857143" customWidth="1"/>
    <col min="7" max="7" width="18.5714285714286" customWidth="1"/>
    <col min="8" max="8" width="15.1428571428571" customWidth="1"/>
    <col min="9" max="9" width="19.2857142857143" customWidth="1"/>
    <col min="10" max="10" width="14.7142857142857" customWidth="1"/>
    <col min="11" max="11" width="22.5714285714286" customWidth="1"/>
    <col min="12" max="12" width="17.8571428571429" customWidth="1"/>
    <col min="13" max="13" width="21.7142857142857" customWidth="1"/>
    <col min="14" max="15" width="20.1428571428571" customWidth="1"/>
    <col min="16" max="16" width="15.1428571428571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 t="s">
        <v>18</v>
      </c>
      <c r="B2">
        <f>17977</f>
        <v>17977</v>
      </c>
      <c r="C2">
        <f>-10814</f>
        <v>-10814</v>
      </c>
      <c r="D2">
        <f t="shared" ref="D2:D24" si="0">B2+C2</f>
        <v>7163</v>
      </c>
      <c r="E2">
        <f>13169</f>
        <v>13169</v>
      </c>
      <c r="F2">
        <f>3490</f>
        <v>3490</v>
      </c>
      <c r="G2">
        <f>3445</f>
        <v>3445</v>
      </c>
      <c r="H2">
        <f>670.155074*1000000</f>
        <v>670155074</v>
      </c>
      <c r="I2">
        <f>466573-10775-18929-26844</f>
        <v>410025</v>
      </c>
      <c r="J2">
        <f>10775+18929+26844</f>
        <v>56548</v>
      </c>
      <c r="K2">
        <f>435588-28514</f>
        <v>407074</v>
      </c>
      <c r="L2">
        <f>28514</f>
        <v>28514</v>
      </c>
      <c r="M2">
        <f>294</f>
        <v>294</v>
      </c>
      <c r="N2">
        <f>-3357</f>
        <v>-3357</v>
      </c>
      <c r="O2">
        <f>4148</f>
        <v>4148</v>
      </c>
      <c r="P2">
        <f>9431-8343</f>
        <v>1088</v>
      </c>
      <c r="Q2">
        <f>0</f>
        <v>0</v>
      </c>
      <c r="R2">
        <f>1</f>
        <v>1</v>
      </c>
    </row>
    <row r="3" spans="1:18">
      <c r="A3" s="2" t="s">
        <v>19</v>
      </c>
      <c r="B3">
        <f>38368</f>
        <v>38368</v>
      </c>
      <c r="C3">
        <f>-23427</f>
        <v>-23427</v>
      </c>
      <c r="D3">
        <f t="shared" si="0"/>
        <v>14941</v>
      </c>
      <c r="E3">
        <f>28870</f>
        <v>28870</v>
      </c>
      <c r="F3">
        <f>8266</f>
        <v>8266</v>
      </c>
      <c r="G3">
        <f>7872</f>
        <v>7872</v>
      </c>
      <c r="H3">
        <f>671.955074*1000000</f>
        <v>671955074</v>
      </c>
      <c r="I3">
        <f>495112-16461-20829-17983-676</f>
        <v>439163</v>
      </c>
      <c r="J3">
        <f>16461+20829+17983+676</f>
        <v>55949</v>
      </c>
      <c r="K3">
        <f>460191-23484-1902</f>
        <v>434805</v>
      </c>
      <c r="L3">
        <f>23484+1902</f>
        <v>25386</v>
      </c>
      <c r="M3">
        <f>-4016</f>
        <v>-4016</v>
      </c>
      <c r="N3">
        <f>-2342</f>
        <v>-2342</v>
      </c>
      <c r="O3">
        <f>2799</f>
        <v>2799</v>
      </c>
      <c r="P3">
        <f>4787-8343</f>
        <v>-3556</v>
      </c>
      <c r="Q3">
        <f>1</f>
        <v>1</v>
      </c>
      <c r="R3">
        <f>0</f>
        <v>0</v>
      </c>
    </row>
    <row r="4" spans="1:18">
      <c r="A4" s="2" t="s">
        <v>20</v>
      </c>
      <c r="B4">
        <f>24185</f>
        <v>24185</v>
      </c>
      <c r="C4">
        <f>-15608</f>
        <v>-15608</v>
      </c>
      <c r="D4">
        <f t="shared" si="0"/>
        <v>8577</v>
      </c>
      <c r="E4">
        <f>16003</f>
        <v>16003</v>
      </c>
      <c r="F4">
        <f>4529</f>
        <v>4529</v>
      </c>
      <c r="G4">
        <f>4365</f>
        <v>4365</v>
      </c>
      <c r="H4">
        <v>674955074</v>
      </c>
      <c r="I4">
        <f>553893-17191-20848-17902-796</f>
        <v>497156</v>
      </c>
      <c r="J4">
        <f>17191+20848+17902+796</f>
        <v>56737</v>
      </c>
      <c r="K4">
        <f>515323-24112-2994</f>
        <v>488217</v>
      </c>
      <c r="L4">
        <f>24112+2994</f>
        <v>27106</v>
      </c>
      <c r="M4">
        <f>-1422</f>
        <v>-1422</v>
      </c>
      <c r="N4">
        <f>-772</f>
        <v>-772</v>
      </c>
      <c r="O4">
        <f>1317</f>
        <v>1317</v>
      </c>
      <c r="P4">
        <f>3911-4787</f>
        <v>-876</v>
      </c>
      <c r="Q4">
        <f>0</f>
        <v>0</v>
      </c>
      <c r="R4">
        <f>1</f>
        <v>1</v>
      </c>
    </row>
    <row r="5" spans="1:18">
      <c r="A5" s="2" t="s">
        <v>21</v>
      </c>
      <c r="B5">
        <f>55123</f>
        <v>55123</v>
      </c>
      <c r="C5">
        <f>-36233</f>
        <v>-36233</v>
      </c>
      <c r="D5">
        <f t="shared" si="0"/>
        <v>18890</v>
      </c>
      <c r="E5">
        <f>37690</f>
        <v>37690</v>
      </c>
      <c r="F5">
        <f>10025</f>
        <v>10025</v>
      </c>
      <c r="G5">
        <f>9413</f>
        <v>9413</v>
      </c>
      <c r="H5">
        <f>678.573074*1000000</f>
        <v>678573074</v>
      </c>
      <c r="I5">
        <f>640909-20629-22957-25824-725</f>
        <v>570774</v>
      </c>
      <c r="J5">
        <f>20629+22957+25824+725</f>
        <v>70135</v>
      </c>
      <c r="K5">
        <f>598349-58033-34919-2226</f>
        <v>503171</v>
      </c>
      <c r="L5">
        <f>58033+34919+2226</f>
        <v>95178</v>
      </c>
      <c r="M5">
        <f>7016</f>
        <v>7016</v>
      </c>
      <c r="N5">
        <f>-4996</f>
        <v>-4996</v>
      </c>
      <c r="O5">
        <f>-214</f>
        <v>-214</v>
      </c>
      <c r="P5">
        <f>6596-4787</f>
        <v>1809</v>
      </c>
      <c r="Q5">
        <f>1</f>
        <v>1</v>
      </c>
      <c r="R5">
        <f>0</f>
        <v>0</v>
      </c>
    </row>
    <row r="6" spans="1:18">
      <c r="A6" s="2" t="s">
        <v>22</v>
      </c>
      <c r="B6">
        <f>34832</f>
        <v>34832</v>
      </c>
      <c r="C6">
        <f>-24612</f>
        <v>-24612</v>
      </c>
      <c r="D6">
        <f t="shared" si="0"/>
        <v>10220</v>
      </c>
      <c r="E6">
        <f>20837</f>
        <v>20837</v>
      </c>
      <c r="F6">
        <f>5622</f>
        <v>5622</v>
      </c>
      <c r="G6">
        <f>4731</f>
        <v>4731</v>
      </c>
      <c r="H6">
        <f>680.128701*1000000</f>
        <v>680128701</v>
      </c>
      <c r="I6">
        <f>737577-22446-27978-62191-2032</f>
        <v>622930</v>
      </c>
      <c r="J6">
        <f>22446+27978+62191+2032</f>
        <v>114647</v>
      </c>
      <c r="K6">
        <f>692764-64256-4815</f>
        <v>623693</v>
      </c>
      <c r="L6">
        <f>64256+4815</f>
        <v>69071</v>
      </c>
      <c r="M6">
        <f>-3033</f>
        <v>-3033</v>
      </c>
      <c r="N6">
        <f>1964</f>
        <v>1964</v>
      </c>
      <c r="O6">
        <f>-813</f>
        <v>-813</v>
      </c>
      <c r="P6">
        <f>4710-6596</f>
        <v>-1886</v>
      </c>
      <c r="Q6">
        <f>0</f>
        <v>0</v>
      </c>
      <c r="R6">
        <f>1</f>
        <v>1</v>
      </c>
    </row>
    <row r="7" spans="1:18">
      <c r="A7" s="2" t="s">
        <v>23</v>
      </c>
      <c r="B7">
        <f>75949</f>
        <v>75949</v>
      </c>
      <c r="C7">
        <f>-54154</f>
        <v>-54154</v>
      </c>
      <c r="D7">
        <f t="shared" si="0"/>
        <v>21795</v>
      </c>
      <c r="E7">
        <f>37071</f>
        <v>37071</v>
      </c>
      <c r="F7">
        <f>11243</f>
        <v>11243</v>
      </c>
      <c r="G7">
        <f>9908</f>
        <v>9908</v>
      </c>
      <c r="H7">
        <f>680.278301*1000000</f>
        <v>680278301</v>
      </c>
      <c r="I7">
        <f>7737578-24847-33043-78879-3139</f>
        <v>7597670</v>
      </c>
      <c r="J7">
        <f>24847+33043+78879+3139</f>
        <v>139908</v>
      </c>
      <c r="K7">
        <f>720792-72737-1080</f>
        <v>646975</v>
      </c>
      <c r="L7">
        <f>72737+1080</f>
        <v>73817</v>
      </c>
      <c r="M7">
        <f>3236</f>
        <v>3236</v>
      </c>
      <c r="N7">
        <f>-1737</f>
        <v>-1737</v>
      </c>
      <c r="O7">
        <f>-1737</f>
        <v>-1737</v>
      </c>
      <c r="P7">
        <f>-2497</f>
        <v>-2497</v>
      </c>
      <c r="Q7">
        <f>1</f>
        <v>1</v>
      </c>
      <c r="R7">
        <f>0</f>
        <v>0</v>
      </c>
    </row>
    <row r="8" spans="1:18">
      <c r="A8" s="2" t="s">
        <v>24</v>
      </c>
      <c r="B8">
        <f>35493</f>
        <v>35493</v>
      </c>
      <c r="C8">
        <f>-24721</f>
        <v>-24721</v>
      </c>
      <c r="D8">
        <f t="shared" si="0"/>
        <v>10772</v>
      </c>
      <c r="E8">
        <f>16147</f>
        <v>16147</v>
      </c>
      <c r="F8">
        <f>3619</f>
        <v>3619</v>
      </c>
      <c r="G8">
        <f>3826</f>
        <v>3826</v>
      </c>
      <c r="H8">
        <f>718.210043*1000000</f>
        <v>718210043</v>
      </c>
      <c r="I8">
        <f>754312-22411-32213-68123-2824</f>
        <v>628741</v>
      </c>
      <c r="J8">
        <f>22411+32213+68123+2824</f>
        <v>125571</v>
      </c>
      <c r="K8">
        <f>701600-64341-1188</f>
        <v>636071</v>
      </c>
      <c r="L8">
        <f>64341+1188</f>
        <v>65529</v>
      </c>
      <c r="M8">
        <f>1086</f>
        <v>1086</v>
      </c>
      <c r="N8">
        <f>1372</f>
        <v>1372</v>
      </c>
      <c r="O8">
        <f>-3004</f>
        <v>-3004</v>
      </c>
      <c r="P8">
        <f>5056-5600</f>
        <v>-544</v>
      </c>
      <c r="Q8">
        <f>0</f>
        <v>0</v>
      </c>
      <c r="R8">
        <f>1</f>
        <v>1</v>
      </c>
    </row>
    <row r="9" spans="1:18">
      <c r="A9" s="2" t="s">
        <v>25</v>
      </c>
      <c r="B9">
        <f>65247</f>
        <v>65247</v>
      </c>
      <c r="C9">
        <f>-43393</f>
        <v>-43393</v>
      </c>
      <c r="D9">
        <f t="shared" si="0"/>
        <v>21854</v>
      </c>
      <c r="E9">
        <f>33119</f>
        <v>33119</v>
      </c>
      <c r="F9">
        <f>7502</f>
        <v>7502</v>
      </c>
      <c r="G9">
        <f>7621</f>
        <v>7621</v>
      </c>
      <c r="H9">
        <f>718.210043</f>
        <v>718.210043</v>
      </c>
      <c r="I9">
        <f>717740-20597-33943-61779-2558</f>
        <v>598863</v>
      </c>
      <c r="J9">
        <f>20597+33943+61779+2558</f>
        <v>118877</v>
      </c>
      <c r="K9">
        <f>661250-39616-53722-565</f>
        <v>567347</v>
      </c>
      <c r="L9">
        <f>39616+53722+565</f>
        <v>93903</v>
      </c>
      <c r="M9">
        <f>5011</f>
        <v>5011</v>
      </c>
      <c r="N9">
        <f>-2218</f>
        <v>-2218</v>
      </c>
      <c r="O9">
        <f>-1419</f>
        <v>-1419</v>
      </c>
      <c r="P9">
        <f>6976-5600</f>
        <v>1376</v>
      </c>
      <c r="Q9">
        <f>1</f>
        <v>1</v>
      </c>
      <c r="R9">
        <f>0</f>
        <v>0</v>
      </c>
    </row>
    <row r="10" spans="1:18">
      <c r="A10" s="2" t="s">
        <v>26</v>
      </c>
      <c r="B10">
        <f>27590</f>
        <v>27590</v>
      </c>
      <c r="C10">
        <f>-16297</f>
        <v>-16297</v>
      </c>
      <c r="D10">
        <f t="shared" si="0"/>
        <v>11293</v>
      </c>
      <c r="E10">
        <f>17302</f>
        <v>17302</v>
      </c>
      <c r="F10">
        <f>4111</f>
        <v>4111</v>
      </c>
      <c r="G10">
        <f>4322</f>
        <v>4322</v>
      </c>
      <c r="H10">
        <f>718.2*1000000</f>
        <v>718200000</v>
      </c>
      <c r="I10">
        <f>718204-22380-35846-56140-3515</f>
        <v>600323</v>
      </c>
      <c r="J10">
        <f>22380+35846+56140+3515</f>
        <v>117881</v>
      </c>
      <c r="K10">
        <f>658907-46516-1286</f>
        <v>611105</v>
      </c>
      <c r="L10">
        <f>45516+1286</f>
        <v>46802</v>
      </c>
      <c r="M10">
        <f>3163</f>
        <v>3163</v>
      </c>
      <c r="N10">
        <f>-246</f>
        <v>-246</v>
      </c>
      <c r="O10">
        <f>-2334</f>
        <v>-2334</v>
      </c>
      <c r="P10">
        <f>7561-6976</f>
        <v>585</v>
      </c>
      <c r="Q10">
        <f>0</f>
        <v>0</v>
      </c>
      <c r="R10">
        <f>1</f>
        <v>1</v>
      </c>
    </row>
    <row r="11" spans="1:18">
      <c r="A11" s="2" t="s">
        <v>27</v>
      </c>
      <c r="B11">
        <f>46220</f>
        <v>46220</v>
      </c>
      <c r="C11">
        <f>-23073</f>
        <v>-23073</v>
      </c>
      <c r="D11">
        <f t="shared" si="0"/>
        <v>23147</v>
      </c>
      <c r="E11">
        <f>36809</f>
        <v>36809</v>
      </c>
      <c r="F11">
        <f>8589</f>
        <v>8589</v>
      </c>
      <c r="G11">
        <f>8041</f>
        <v>8041</v>
      </c>
      <c r="H11">
        <f>720.7*1000000</f>
        <v>720700000</v>
      </c>
      <c r="I11">
        <f>716470-24361-48215-62047-4662</f>
        <v>577185</v>
      </c>
      <c r="J11">
        <f>24361+48215+62047+4662</f>
        <v>139285</v>
      </c>
      <c r="K11">
        <f>654321-47454-1881</f>
        <v>604986</v>
      </c>
      <c r="L11">
        <f>47454+1881</f>
        <v>49335</v>
      </c>
      <c r="M11">
        <f>2202</f>
        <v>2202</v>
      </c>
      <c r="N11">
        <f>1500</f>
        <v>1500</v>
      </c>
      <c r="O11">
        <f>-4263</f>
        <v>-4263</v>
      </c>
      <c r="P11">
        <f>6417-6976</f>
        <v>-559</v>
      </c>
      <c r="Q11">
        <f>1</f>
        <v>1</v>
      </c>
      <c r="R11">
        <f>0</f>
        <v>0</v>
      </c>
    </row>
    <row r="12" spans="1:18">
      <c r="A12" s="2" t="s">
        <v>28</v>
      </c>
      <c r="B12">
        <f>23730</f>
        <v>23730</v>
      </c>
      <c r="C12">
        <f>-11746</f>
        <v>-11746</v>
      </c>
      <c r="D12">
        <f t="shared" si="0"/>
        <v>11984</v>
      </c>
      <c r="E12">
        <f>19400</f>
        <v>19400</v>
      </c>
      <c r="F12">
        <f>4826</f>
        <v>4826</v>
      </c>
      <c r="G12">
        <f>4595</f>
        <v>4595</v>
      </c>
      <c r="H12">
        <f>719.7*1000000</f>
        <v>719700000</v>
      </c>
      <c r="I12">
        <f>715918-25814-50999-57607-3564</f>
        <v>577934</v>
      </c>
      <c r="J12">
        <f>25814+50999+57607+3564</f>
        <v>137984</v>
      </c>
      <c r="K12">
        <f>651685-35930-1351</f>
        <v>614404</v>
      </c>
      <c r="L12">
        <f>35930+1351</f>
        <v>37281</v>
      </c>
      <c r="M12">
        <f>1012</f>
        <v>1012</v>
      </c>
      <c r="N12">
        <f>1349</f>
        <v>1349</v>
      </c>
      <c r="O12">
        <f>-2022</f>
        <v>-2022</v>
      </c>
      <c r="P12">
        <f>6757-6417</f>
        <v>340</v>
      </c>
      <c r="Q12">
        <f>0</f>
        <v>0</v>
      </c>
      <c r="R12">
        <f>1</f>
        <v>1</v>
      </c>
    </row>
    <row r="13" spans="1:18">
      <c r="A13" s="2" t="s">
        <v>29</v>
      </c>
      <c r="B13">
        <f>49188</f>
        <v>49188</v>
      </c>
      <c r="C13">
        <f>-24454</f>
        <v>-24454</v>
      </c>
      <c r="D13">
        <f t="shared" si="0"/>
        <v>24734</v>
      </c>
      <c r="E13">
        <f>40751</f>
        <v>40751</v>
      </c>
      <c r="F13">
        <f>10184</f>
        <v>10184</v>
      </c>
      <c r="G13">
        <f>9719</f>
        <v>9719</v>
      </c>
      <c r="H13">
        <f>719.9*1000000</f>
        <v>719900000</v>
      </c>
      <c r="I13">
        <f>786719-26997-57473-84623-4299</f>
        <v>613327</v>
      </c>
      <c r="J13">
        <f>26997+57473+84623+4299</f>
        <v>173392</v>
      </c>
      <c r="K13">
        <f>718314-55960-2456</f>
        <v>659898</v>
      </c>
      <c r="L13">
        <f>55960+2456</f>
        <v>58416</v>
      </c>
      <c r="M13">
        <f>8307</f>
        <v>8307</v>
      </c>
      <c r="N13">
        <f>-515</f>
        <v>-515</v>
      </c>
      <c r="O13">
        <f>-4141</f>
        <v>-4141</v>
      </c>
      <c r="P13">
        <f>10068-6417</f>
        <v>3651</v>
      </c>
      <c r="Q13">
        <f>1</f>
        <v>1</v>
      </c>
      <c r="R13">
        <f>0</f>
        <v>0</v>
      </c>
    </row>
    <row r="14" spans="1:18">
      <c r="A14" s="2" t="s">
        <v>30</v>
      </c>
      <c r="B14">
        <f>25018</f>
        <v>25018</v>
      </c>
      <c r="C14">
        <f>-11978</f>
        <v>-11978</v>
      </c>
      <c r="D14">
        <f t="shared" si="0"/>
        <v>13040</v>
      </c>
      <c r="E14">
        <f>19063</f>
        <v>19063</v>
      </c>
      <c r="F14">
        <f>4320</f>
        <v>4320</v>
      </c>
      <c r="G14">
        <f>4332</f>
        <v>4332</v>
      </c>
      <c r="H14">
        <f>719.3*1000000</f>
        <v>719300000</v>
      </c>
      <c r="I14">
        <f>808806-25620-60061-96768-4868</f>
        <v>621489</v>
      </c>
      <c r="J14">
        <f>25620+60061+96768+4868</f>
        <v>187317</v>
      </c>
      <c r="K14">
        <f>738538-60446-3251</f>
        <v>674841</v>
      </c>
      <c r="L14">
        <f>25827+3251</f>
        <v>29078</v>
      </c>
      <c r="M14">
        <f>-2550</f>
        <v>-2550</v>
      </c>
      <c r="N14">
        <f>1721</f>
        <v>1721</v>
      </c>
      <c r="O14">
        <f>-3160</f>
        <v>-3160</v>
      </c>
      <c r="P14">
        <f>6080-10068</f>
        <v>-3988</v>
      </c>
      <c r="Q14">
        <f>0</f>
        <v>0</v>
      </c>
      <c r="R14">
        <f>1</f>
        <v>1</v>
      </c>
    </row>
    <row r="15" spans="1:18">
      <c r="A15" s="2" t="s">
        <v>31</v>
      </c>
      <c r="B15">
        <f>50485</f>
        <v>50485</v>
      </c>
      <c r="C15">
        <f>-24538</f>
        <v>-24538</v>
      </c>
      <c r="D15">
        <f t="shared" si="0"/>
        <v>25947</v>
      </c>
      <c r="E15">
        <f>38562</f>
        <v>38562</v>
      </c>
      <c r="F15">
        <f>8741</f>
        <v>8741</v>
      </c>
      <c r="G15">
        <f>8807</f>
        <v>8807</v>
      </c>
      <c r="H15">
        <f>719.2*1000000</f>
        <v>719200000</v>
      </c>
      <c r="I15">
        <f>807939-26221-63020-87203-5439</f>
        <v>626056</v>
      </c>
      <c r="J15">
        <f>26221+63020+87203+5439</f>
        <v>181883</v>
      </c>
      <c r="K15">
        <f>735145-51684-3855</f>
        <v>679606</v>
      </c>
      <c r="L15">
        <f>51684+3855</f>
        <v>55539</v>
      </c>
      <c r="M15">
        <f>5577</f>
        <v>5577</v>
      </c>
      <c r="N15">
        <f>-1882</f>
        <v>-1882</v>
      </c>
      <c r="O15">
        <f>-2045</f>
        <v>-2045</v>
      </c>
      <c r="P15">
        <f>11716-10068</f>
        <v>1648</v>
      </c>
      <c r="Q15">
        <f>1</f>
        <v>1</v>
      </c>
      <c r="R15">
        <f>0</f>
        <v>0</v>
      </c>
    </row>
    <row r="16" spans="1:18">
      <c r="A16" s="2" t="s">
        <v>32</v>
      </c>
      <c r="B16">
        <f>26362</f>
        <v>26362</v>
      </c>
      <c r="C16">
        <f>-12391</f>
        <v>-12391</v>
      </c>
      <c r="D16">
        <f t="shared" si="0"/>
        <v>13971</v>
      </c>
      <c r="E16">
        <f>20299</f>
        <v>20299</v>
      </c>
      <c r="F16">
        <f>4944</f>
        <v>4944</v>
      </c>
      <c r="G16">
        <f>4663</f>
        <v>4663</v>
      </c>
      <c r="H16">
        <f>718.5*1000000</f>
        <v>718500000</v>
      </c>
      <c r="I16">
        <f>841333-26315-66902-81780-3567</f>
        <v>662769</v>
      </c>
      <c r="J16">
        <f>26315+56307+81780+3567</f>
        <v>167969</v>
      </c>
      <c r="K16">
        <f>767669-56549-2505</f>
        <v>708615</v>
      </c>
      <c r="L16">
        <f>56549+2505</f>
        <v>59054</v>
      </c>
      <c r="M16">
        <f>3314</f>
        <v>3314</v>
      </c>
      <c r="N16">
        <f>-1114</f>
        <v>-1114</v>
      </c>
      <c r="O16">
        <f>-4784</f>
        <v>-4784</v>
      </c>
      <c r="P16">
        <f>9131-11716</f>
        <v>-2585</v>
      </c>
      <c r="Q16">
        <f>0</f>
        <v>0</v>
      </c>
      <c r="R16">
        <f>1</f>
        <v>1</v>
      </c>
    </row>
    <row r="17" spans="1:18">
      <c r="A17" s="2" t="s">
        <v>33</v>
      </c>
      <c r="B17">
        <f>60232</f>
        <v>60232</v>
      </c>
      <c r="C17">
        <f>-27881</f>
        <v>-27881</v>
      </c>
      <c r="D17">
        <f t="shared" si="0"/>
        <v>32351</v>
      </c>
      <c r="E17">
        <f>52419</f>
        <v>52419</v>
      </c>
      <c r="F17">
        <f>12874</f>
        <v>12874</v>
      </c>
      <c r="G17">
        <f>11981</f>
        <v>11981</v>
      </c>
      <c r="H17">
        <f>847.3*1000000</f>
        <v>847300000</v>
      </c>
      <c r="I17">
        <f>959599-50130-62055-87034-3357</f>
        <v>757023</v>
      </c>
      <c r="J17">
        <f>50130+62055+87034+3357</f>
        <v>202576</v>
      </c>
      <c r="K17">
        <f>874398-51477-2391</f>
        <v>820530</v>
      </c>
      <c r="L17">
        <f>51477+2391</f>
        <v>53868</v>
      </c>
      <c r="M17">
        <f>18035</f>
        <v>18035</v>
      </c>
      <c r="N17">
        <f>-1841</f>
        <v>-1841</v>
      </c>
      <c r="O17">
        <f>-14616</f>
        <v>-14616</v>
      </c>
      <c r="P17">
        <f>15854-13985</f>
        <v>1869</v>
      </c>
      <c r="Q17">
        <f>1</f>
        <v>1</v>
      </c>
      <c r="R17">
        <f>0</f>
        <v>0</v>
      </c>
    </row>
    <row r="18" spans="1:18">
      <c r="A18" s="2" t="s">
        <v>34</v>
      </c>
      <c r="B18">
        <f>31850</f>
        <v>31850</v>
      </c>
      <c r="C18">
        <f>-14653</f>
        <v>-14653</v>
      </c>
      <c r="D18">
        <f t="shared" si="0"/>
        <v>17197</v>
      </c>
      <c r="E18">
        <f>27116</f>
        <v>27116</v>
      </c>
      <c r="F18">
        <f>6593</f>
        <v>6593</v>
      </c>
      <c r="G18">
        <f>6166</f>
        <v>6166</v>
      </c>
      <c r="H18">
        <f>847.8*1000000</f>
        <v>847800000</v>
      </c>
      <c r="I18">
        <f>977809-44589-63589-86577-2512</f>
        <v>780542</v>
      </c>
      <c r="J18">
        <f>44589+63589+86577+2512</f>
        <v>197267</v>
      </c>
      <c r="K18">
        <f>891521-46155-2515</f>
        <v>842851</v>
      </c>
      <c r="L18">
        <f>46155+2512</f>
        <v>48667</v>
      </c>
      <c r="M18">
        <f>6753</f>
        <v>6753</v>
      </c>
      <c r="N18">
        <f>-5390</f>
        <v>-5390</v>
      </c>
      <c r="O18">
        <f>-5840</f>
        <v>-5840</v>
      </c>
      <c r="P18">
        <f>11211-15854</f>
        <v>-4643</v>
      </c>
      <c r="Q18">
        <f>0</f>
        <v>0</v>
      </c>
      <c r="R18">
        <f>1</f>
        <v>1</v>
      </c>
    </row>
    <row r="19" spans="1:18">
      <c r="A19" s="2" t="s">
        <v>35</v>
      </c>
      <c r="B19">
        <f>65646</f>
        <v>65646</v>
      </c>
      <c r="C19">
        <f>-30045</f>
        <v>-30045</v>
      </c>
      <c r="D19">
        <f t="shared" si="0"/>
        <v>35601</v>
      </c>
      <c r="E19">
        <f>56835</f>
        <v>56835</v>
      </c>
      <c r="F19">
        <f>14144</f>
        <v>14144</v>
      </c>
      <c r="G19">
        <f>13216</f>
        <v>13216</v>
      </c>
      <c r="H19">
        <f>847.6*1000000</f>
        <v>847600000</v>
      </c>
      <c r="I19">
        <f>991414-50335-85886-90498-2350</f>
        <v>762345</v>
      </c>
      <c r="J19">
        <f>50335+85886+90498+2350</f>
        <v>229069</v>
      </c>
      <c r="K19">
        <f>900469-49772-2577</f>
        <v>848120</v>
      </c>
      <c r="L19">
        <f>49772+2577</f>
        <v>52349</v>
      </c>
      <c r="M19">
        <f>18233</f>
        <v>18233</v>
      </c>
      <c r="N19">
        <f>-5462</f>
        <v>-5462</v>
      </c>
      <c r="O19">
        <f>-12055</f>
        <v>-12055</v>
      </c>
      <c r="P19">
        <f>16626-15854</f>
        <v>772</v>
      </c>
      <c r="Q19">
        <f>1</f>
        <v>1</v>
      </c>
      <c r="R19">
        <f>0</f>
        <v>0</v>
      </c>
    </row>
    <row r="20" spans="1:18">
      <c r="A20" s="2" t="s">
        <v>36</v>
      </c>
      <c r="B20">
        <f>34551</f>
        <v>34551</v>
      </c>
      <c r="C20">
        <f>-16088</f>
        <v>-16088</v>
      </c>
      <c r="D20">
        <f t="shared" si="0"/>
        <v>18463</v>
      </c>
      <c r="E20">
        <f>28873</f>
        <v>28873</v>
      </c>
      <c r="F20">
        <f>7269</f>
        <v>7269</v>
      </c>
      <c r="G20">
        <f>6770</f>
        <v>6770</v>
      </c>
      <c r="H20">
        <f>847.6*1000000</f>
        <v>847600000</v>
      </c>
      <c r="I20">
        <f>1038945-46224-78966-89426-2106</f>
        <v>822223</v>
      </c>
      <c r="J20">
        <f>46224+78966+89426+2106</f>
        <v>216722</v>
      </c>
      <c r="K20">
        <f>947086-48324-2432</f>
        <v>896330</v>
      </c>
      <c r="L20">
        <f>48324+2432</f>
        <v>50756</v>
      </c>
      <c r="M20">
        <f>3176</f>
        <v>3176</v>
      </c>
      <c r="N20">
        <f>-939</f>
        <v>-939</v>
      </c>
      <c r="O20">
        <f>-4633</f>
        <v>-4633</v>
      </c>
      <c r="P20">
        <f>13946-16626</f>
        <v>-2680</v>
      </c>
      <c r="Q20">
        <f>0</f>
        <v>0</v>
      </c>
      <c r="R20">
        <f>1</f>
        <v>1</v>
      </c>
    </row>
    <row r="21" spans="1:18">
      <c r="A21" s="2" t="s">
        <v>37</v>
      </c>
      <c r="B21">
        <f>73603</f>
        <v>73603</v>
      </c>
      <c r="C21">
        <f>-35196</f>
        <v>-35196</v>
      </c>
      <c r="D21">
        <f t="shared" si="0"/>
        <v>38407</v>
      </c>
      <c r="E21">
        <f>60278</f>
        <v>60278</v>
      </c>
      <c r="F21">
        <f>15404</f>
        <v>15404</v>
      </c>
      <c r="G21">
        <f>14331</f>
        <v>14331</v>
      </c>
      <c r="H21">
        <f>847.3*1000000</f>
        <v>847300000</v>
      </c>
      <c r="I21">
        <f>1144604-45904-100965-137163-2232</f>
        <v>858340</v>
      </c>
      <c r="J21">
        <f>45904+100965+137163+2232</f>
        <v>286264</v>
      </c>
      <c r="K21">
        <f>1045957-90407-4531</f>
        <v>951019</v>
      </c>
      <c r="L21">
        <f>90407+4531</f>
        <v>94938</v>
      </c>
      <c r="M21">
        <f>16357</f>
        <v>16357</v>
      </c>
      <c r="N21">
        <f>-4547</f>
        <v>-4547</v>
      </c>
      <c r="O21">
        <f>-7316</f>
        <v>-7316</v>
      </c>
      <c r="P21">
        <f>21366-16626</f>
        <v>4740</v>
      </c>
      <c r="Q21">
        <f>1</f>
        <v>1</v>
      </c>
      <c r="R21">
        <f>0</f>
        <v>0</v>
      </c>
    </row>
    <row r="22" spans="1:18">
      <c r="A22" s="2" t="s">
        <v>38</v>
      </c>
      <c r="B22">
        <f>42559</f>
        <v>42559</v>
      </c>
      <c r="C22">
        <f>-21466</f>
        <v>-21466</v>
      </c>
      <c r="D22">
        <f t="shared" si="0"/>
        <v>21093</v>
      </c>
      <c r="E22">
        <f>31311</f>
        <v>31311</v>
      </c>
      <c r="F22">
        <f>7610</f>
        <v>7610</v>
      </c>
      <c r="G22">
        <f>7019</f>
        <v>7019</v>
      </c>
      <c r="H22">
        <f>846.5*1000000</f>
        <v>846500000</v>
      </c>
      <c r="I22">
        <f>1142469-47734-101563-111651-1455</f>
        <v>880066</v>
      </c>
      <c r="J22">
        <f>47734+101563+111651+1455</f>
        <v>262403</v>
      </c>
      <c r="K22">
        <f>1041794-53020-2357</f>
        <v>986417</v>
      </c>
      <c r="L22">
        <f>53020+2357</f>
        <v>55377</v>
      </c>
      <c r="M22">
        <f>4701</f>
        <v>4701</v>
      </c>
      <c r="N22">
        <f>-1779</f>
        <v>-1779</v>
      </c>
      <c r="O22">
        <f>-5136</f>
        <v>-5136</v>
      </c>
      <c r="P22">
        <f>18954-21366</f>
        <v>-2412</v>
      </c>
      <c r="Q22">
        <f>0</f>
        <v>0</v>
      </c>
      <c r="R22">
        <f>1</f>
        <v>1</v>
      </c>
    </row>
    <row r="23" spans="1:18">
      <c r="A23" s="2" t="s">
        <v>39</v>
      </c>
      <c r="B23">
        <f>85114</f>
        <v>85114</v>
      </c>
      <c r="C23">
        <f>-43111</f>
        <v>-43111</v>
      </c>
      <c r="D23">
        <f t="shared" si="0"/>
        <v>42003</v>
      </c>
      <c r="E23">
        <f>63643</f>
        <v>63643</v>
      </c>
      <c r="F23">
        <f>15847</f>
        <v>15847</v>
      </c>
      <c r="G23">
        <f>14708</f>
        <v>14708</v>
      </c>
      <c r="H23">
        <f>846.6*1000000</f>
        <v>846600000</v>
      </c>
      <c r="I23">
        <f>1101023-50006-114315-96236-1745</f>
        <v>838721</v>
      </c>
      <c r="J23">
        <f>50006+114315+96236+1745</f>
        <v>262302</v>
      </c>
      <c r="K23">
        <f>998743-47429-2064</f>
        <v>949250</v>
      </c>
      <c r="L23">
        <f>47429+2064</f>
        <v>49493</v>
      </c>
      <c r="M23">
        <f>6962</f>
        <v>6962</v>
      </c>
      <c r="N23">
        <f>-4201</f>
        <v>-4201</v>
      </c>
      <c r="O23">
        <f>-7509</f>
        <v>-7509</v>
      </c>
      <c r="P23">
        <f>17734-21366</f>
        <v>-3632</v>
      </c>
      <c r="Q23">
        <f>1</f>
        <v>1</v>
      </c>
      <c r="R23">
        <f>0</f>
        <v>0</v>
      </c>
    </row>
    <row r="24" spans="1:18">
      <c r="A24" s="2" t="s">
        <v>40</v>
      </c>
      <c r="B24">
        <f>42938</f>
        <v>42938</v>
      </c>
      <c r="C24">
        <f>-22101</f>
        <v>-22101</v>
      </c>
      <c r="D24">
        <f t="shared" si="0"/>
        <v>20837</v>
      </c>
      <c r="E24">
        <f>32551</f>
        <v>32551</v>
      </c>
      <c r="F24">
        <f>7932</f>
        <v>7932</v>
      </c>
      <c r="G24">
        <f>7391</f>
        <v>7391</v>
      </c>
      <c r="H24">
        <f>846.7*1000000</f>
        <v>846700000</v>
      </c>
      <c r="I24">
        <f>1137876-45078-115834-101554-2278</f>
        <v>873132</v>
      </c>
      <c r="J24">
        <f>1021545-42564-1478</f>
        <v>977503</v>
      </c>
      <c r="K24">
        <f>1021545-42564-1478</f>
        <v>977503</v>
      </c>
      <c r="L24">
        <f>42564+1478</f>
        <v>44042</v>
      </c>
      <c r="M24">
        <f>1076</f>
        <v>1076</v>
      </c>
      <c r="N24">
        <f>-1455</f>
        <v>-1455</v>
      </c>
      <c r="O24">
        <f>6721</f>
        <v>6721</v>
      </c>
      <c r="P24">
        <f>24133-17734</f>
        <v>6399</v>
      </c>
      <c r="Q24">
        <f>0</f>
        <v>0</v>
      </c>
      <c r="R24">
        <f>1</f>
        <v>1</v>
      </c>
    </row>
    <row r="25" spans="1:18">
      <c r="A25" s="2" t="s">
        <v>41</v>
      </c>
      <c r="B25">
        <v>85918</v>
      </c>
      <c r="C25">
        <f>-43599</f>
        <v>-43599</v>
      </c>
      <c r="D25">
        <f>B25+C25</f>
        <v>42319</v>
      </c>
      <c r="E25">
        <v>65878</v>
      </c>
      <c r="F25">
        <v>16504</v>
      </c>
      <c r="G25">
        <v>15305</v>
      </c>
      <c r="H25">
        <f>847.8*1000000</f>
        <v>847800000</v>
      </c>
      <c r="I25">
        <f>1165067-J25</f>
        <v>810902</v>
      </c>
      <c r="J25">
        <f>48669+111409+55426+132183+2673+314+1308+892+1291</f>
        <v>354165</v>
      </c>
      <c r="K25">
        <f>1056759-L25</f>
        <v>1006485</v>
      </c>
      <c r="L25">
        <f>48669+314+1291</f>
        <v>50274</v>
      </c>
      <c r="M25">
        <f>10655</f>
        <v>10655</v>
      </c>
      <c r="N25">
        <v>-1718</v>
      </c>
      <c r="O25">
        <v>-9512</v>
      </c>
      <c r="P25">
        <f>SUM(M25:O25)</f>
        <v>-575</v>
      </c>
      <c r="Q25">
        <v>1</v>
      </c>
      <c r="R25">
        <v>0</v>
      </c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dcterms:created xsi:type="dcterms:W3CDTF">2017-12-06T19:58:00Z</dcterms:created>
  <dcterms:modified xsi:type="dcterms:W3CDTF">2018-03-12T15:51:03Z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</Properties>
</file>