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2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<sst xmlns="http://schemas.openxmlformats.org/spreadsheetml/2006/main" count="34">
  <si>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Date</t>
  </si>
  <si>
    <t>Revenue</t>
  </si>
  <si>
    <t>Cost of sales</t>
  </si>
  <si>
    <t>Gross profit</t>
  </si>
  <si>
    <t>Operating profit</t>
  </si>
  <si>
    <t>Net profit</t>
  </si>
  <si>
    <t>Headline earnings</t>
  </si>
  <si>
    <t>Shares in issue</t>
  </si>
  <si>
    <t>Non-current assets</t>
  </si>
  <si>
    <t>Current assets</t>
  </si>
  <si>
    <t>Non-current liabilities</t>
  </si>
  <si>
    <t>Current liabilities</t>
  </si>
  <si>
    <t>Cash from operations</t>
  </si>
  <si>
    <t>Cash from investing</t>
  </si>
  <si>
    <t>Cash from financing</t>
  </si>
  <si>
    <t>Change in cash</t>
  </si>
  <si>
    <t>Full year</t>
  </si>
  <si>
    <t>Half year</t>
  </si>
  <si>
    <t>04-08-2010</t>
  </si>
  <si>
    <t>03-03-2011</t>
  </si>
  <si>
    <t>04-08-2011</t>
  </si>
  <si>
    <t>01-03-2012</t>
  </si>
  <si>
    <t>01-08-2012</t>
  </si>
  <si>
    <t>01-03-2013</t>
  </si>
  <si>
    <t>31-07-2013</t>
  </si>
  <si>
    <t>26-02-2014</t>
  </si>
  <si>
    <t>02-08-2014</t>
  </si>
  <si>
    <t>27-02-2015</t>
  </si>
  <si>
    <t>30-07-2015</t>
  </si>
  <si>
    <t>25-02-2016</t>
  </si>
  <si>
    <t>27-07-2016</t>
  </si>
  <si>
    <t>22-02-2017</t>
  </si>
  <si>
    <t>22-07-2017</t>
  </si>
  <si>
    <t>22-02-2018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</si>
</sst>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A1" sqref="A1"/>
    </sheetView>
  </sheetViews>
  <sheetFormatPr defaultColWidth="9.14285714285714" defaultRowHeight="15"/>
  <cols>
    <col min="1" max="1" width="11.1428571428571" customWidth="1"/>
    <col min="2" max="2" width="9.42857142857143" customWidth="1"/>
    <col min="3" max="3" width="12.8571428571429" customWidth="1"/>
    <col min="4" max="4" width="12.1428571428571" customWidth="1"/>
    <col min="5" max="5" width="16.5714285714286" customWidth="1"/>
    <col min="6" max="6" width="10.2857142857143" customWidth="1"/>
    <col min="7" max="7" width="18.5714285714286" customWidth="1"/>
    <col min="8" max="8" width="15.1428571428571" customWidth="1"/>
    <col min="9" max="9" width="19.2857142857143" customWidth="1"/>
    <col min="10" max="10" width="14.7142857142857" customWidth="1"/>
    <col min="11" max="11" width="22.5714285714286" customWidth="1"/>
    <col min="12" max="12" width="17.8571428571429" customWidth="1"/>
    <col min="13" max="13" width="21.7142857142857" customWidth="1"/>
    <col min="14" max="15" width="20.1428571428571" customWidth="1"/>
    <col min="16" max="16" width="15.142857142857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2">
        <f>59.2*11.5188</f>
        <v>681.91296</v>
      </c>
      <c r="C2" s="2">
        <v>-240.74292</v>
      </c>
      <c r="D2" s="2">
        <f t="shared" ref="D2:D17" si="0">B2+C2</f>
        <v>441.17004</v>
      </c>
      <c r="E2" s="2">
        <v>1062.03336</v>
      </c>
      <c r="F2" s="2">
        <f>54.3*11.5188</f>
        <v>625.47084</v>
      </c>
      <c r="G2" s="2">
        <f>54.3*11.5188</f>
        <v>625.47084</v>
      </c>
      <c r="H2">
        <f>622*1000000</f>
        <v>622000000</v>
      </c>
      <c r="I2" s="2">
        <f>1377*11.5188</f>
        <v>15861.3876</v>
      </c>
      <c r="J2" s="2">
        <f>210.2*11.5188</f>
        <v>2421.25176</v>
      </c>
      <c r="K2" s="2">
        <f>728.8*11.5188</f>
        <v>8394.90144</v>
      </c>
      <c r="L2" s="2">
        <f>65.7*11.5188</f>
        <v>756.78516</v>
      </c>
      <c r="M2" s="2">
        <f>0.6*11.5188</f>
        <v>6.91128</v>
      </c>
      <c r="N2" s="2">
        <f>-6.3*11.5188</f>
        <v>-72.56844</v>
      </c>
      <c r="O2" s="2">
        <f>173.2*11.5188</f>
        <v>1995.05616</v>
      </c>
      <c r="P2" s="2">
        <v>1929.399</v>
      </c>
      <c r="Q2">
        <f>0</f>
        <v>0</v>
      </c>
      <c r="R2">
        <f>1</f>
        <v>1</v>
      </c>
    </row>
    <row r="3" spans="1:18">
      <c r="A3" s="1" t="s">
        <v>19</v>
      </c>
      <c r="B3" s="2">
        <f>113.7*11.2062</f>
        <v>1274.14494</v>
      </c>
      <c r="C3" s="2">
        <f>-44.6*11.2062</f>
        <v>-499.79652</v>
      </c>
      <c r="D3" s="2">
        <f t="shared" si="0"/>
        <v>774.34842</v>
      </c>
      <c r="E3" s="2">
        <f>178.8*11.2062</f>
        <v>2003.66856</v>
      </c>
      <c r="F3" s="2">
        <f>131.6*11.2062</f>
        <v>1474.73592</v>
      </c>
      <c r="G3" s="2">
        <f>131.6*11.2062</f>
        <v>1474.73592</v>
      </c>
      <c r="H3">
        <f>624*1000000</f>
        <v>624000000</v>
      </c>
      <c r="I3" s="2">
        <f>1457.3*11.2062</f>
        <v>16330.79526</v>
      </c>
      <c r="J3" s="2">
        <f>215.6*11.2062</f>
        <v>2416.05672</v>
      </c>
      <c r="K3" s="2">
        <f>710.7*11.2062</f>
        <v>7964.24634</v>
      </c>
      <c r="L3" s="2">
        <v>883.04856</v>
      </c>
      <c r="M3" s="2">
        <v>-5.6031</v>
      </c>
      <c r="N3" s="2">
        <v>-20.17116</v>
      </c>
      <c r="O3" s="2">
        <v>1854.6261</v>
      </c>
      <c r="P3" s="2">
        <f>163.2*11.2062</f>
        <v>1828.85184</v>
      </c>
      <c r="Q3">
        <v>1</v>
      </c>
      <c r="R3">
        <f>0</f>
        <v>0</v>
      </c>
    </row>
    <row r="4" spans="1:18">
      <c r="A4" s="1" t="s">
        <v>20</v>
      </c>
      <c r="B4" s="2">
        <v>662.98016</v>
      </c>
      <c r="C4" s="2">
        <v>-246.34708</v>
      </c>
      <c r="D4" s="2">
        <f t="shared" si="0"/>
        <v>416.63308</v>
      </c>
      <c r="E4" s="2">
        <f>83*11.3524</f>
        <v>942.2492</v>
      </c>
      <c r="F4" s="2">
        <f>68.5*11.3524</f>
        <v>777.6394</v>
      </c>
      <c r="G4" s="2">
        <v>777.6394</v>
      </c>
      <c r="H4">
        <v>644800000</v>
      </c>
      <c r="I4" s="2">
        <f>1546.1*11.3524</f>
        <v>17551.94564</v>
      </c>
      <c r="J4" s="2">
        <f>249.9*11.3524</f>
        <v>2836.96476</v>
      </c>
      <c r="K4" s="2">
        <f>685.1*11.3524</f>
        <v>7777.52924</v>
      </c>
      <c r="L4" s="2">
        <f>84.4*11.3524</f>
        <v>958.14256</v>
      </c>
      <c r="M4" s="2">
        <f>2.3*11.3524</f>
        <v>26.11052</v>
      </c>
      <c r="N4" s="2">
        <f>-65.6*11.3524</f>
        <v>-744.71744</v>
      </c>
      <c r="O4" s="2">
        <f>66*11.3524</f>
        <v>749.2584</v>
      </c>
      <c r="P4" s="2">
        <f>2.7*11.3524</f>
        <v>30.65148</v>
      </c>
      <c r="Q4">
        <f>0</f>
        <v>0</v>
      </c>
      <c r="R4">
        <f>1</f>
        <v>1</v>
      </c>
    </row>
    <row r="5" spans="1:18">
      <c r="A5" s="1" t="s">
        <v>21</v>
      </c>
      <c r="B5" s="2">
        <f>108.4*11.9094</f>
        <v>1290.97896</v>
      </c>
      <c r="C5" s="2">
        <f>-39.4*11.9094</f>
        <v>-469.23036</v>
      </c>
      <c r="D5" s="2">
        <f t="shared" si="0"/>
        <v>821.7486</v>
      </c>
      <c r="E5" s="2">
        <f>197.1*11.9094</f>
        <v>2347.34274</v>
      </c>
      <c r="F5" s="2">
        <f>153.7*11.9094</f>
        <v>1830.47478</v>
      </c>
      <c r="G5" s="2">
        <f>153.7*11.9094</f>
        <v>1830.47478</v>
      </c>
      <c r="H5">
        <f>668.3*1000000</f>
        <v>668300000</v>
      </c>
      <c r="I5" s="2">
        <f>1673.1*11.9094</f>
        <v>19925.61714</v>
      </c>
      <c r="J5" s="2">
        <f>117.1*11.9094</f>
        <v>1394.59074</v>
      </c>
      <c r="K5" s="2">
        <f>576.3*11.9094</f>
        <v>6863.38722</v>
      </c>
      <c r="L5" s="2">
        <f>110.8*11.9094</f>
        <v>1319.56152</v>
      </c>
      <c r="M5" s="2">
        <f>0*11.9094</f>
        <v>0</v>
      </c>
      <c r="N5" s="2">
        <f>-54.4*11.9094</f>
        <v>-647.87136</v>
      </c>
      <c r="O5" s="2">
        <f>-44.5*11.9094</f>
        <v>-529.9683</v>
      </c>
      <c r="P5" s="2">
        <f>-98.9*11.9094</f>
        <v>-1177.83966</v>
      </c>
      <c r="Q5">
        <f>1</f>
        <v>1</v>
      </c>
      <c r="R5">
        <f>0</f>
        <v>0</v>
      </c>
    </row>
    <row r="6" spans="1:18">
      <c r="A6" s="1" t="s">
        <v>22</v>
      </c>
      <c r="B6" s="2">
        <f>56.5*12.9652</f>
        <v>732.5338</v>
      </c>
      <c r="C6" s="2">
        <f>-16.1*12.9652</f>
        <v>-208.73972</v>
      </c>
      <c r="D6" s="2">
        <f t="shared" si="0"/>
        <v>523.79408</v>
      </c>
      <c r="E6" s="2">
        <f>113.3*12.9652</f>
        <v>1468.95716</v>
      </c>
      <c r="F6" s="2">
        <f>95.2*12.9652</f>
        <v>1234.28704</v>
      </c>
      <c r="G6" s="2">
        <f>95.2*12.9652</f>
        <v>1234.28704</v>
      </c>
      <c r="H6">
        <f>694.5*1000000</f>
        <v>694500000</v>
      </c>
      <c r="I6" s="2">
        <f>1652.2*12.9652</f>
        <v>21421.10344</v>
      </c>
      <c r="J6" s="2">
        <f>94.7*12.9652</f>
        <v>1227.80444</v>
      </c>
      <c r="K6" s="2">
        <f>370.6*12.9652</f>
        <v>4804.90312</v>
      </c>
      <c r="L6" s="2">
        <f>189.8*12.9652</f>
        <v>2460.79496</v>
      </c>
      <c r="M6" s="2">
        <f>6.1*12.9652</f>
        <v>79.08772</v>
      </c>
      <c r="N6" s="2">
        <f>70.2*12.9652</f>
        <v>910.15704</v>
      </c>
      <c r="O6" s="2">
        <f>-112.6*12.9652</f>
        <v>-1459.88152</v>
      </c>
      <c r="P6" s="2">
        <f>-36.3*12.9652</f>
        <v>-470.63676</v>
      </c>
      <c r="Q6">
        <f>0</f>
        <v>0</v>
      </c>
      <c r="R6">
        <f>1</f>
        <v>1</v>
      </c>
    </row>
    <row r="7" spans="1:18">
      <c r="A7" s="1" t="s">
        <v>23</v>
      </c>
      <c r="B7" s="2">
        <f>115.3*13.7199</f>
        <v>1581.90447</v>
      </c>
      <c r="C7" s="2">
        <f>-32.2*13.7199</f>
        <v>-441.78078</v>
      </c>
      <c r="D7" s="2">
        <f t="shared" si="0"/>
        <v>1140.12369</v>
      </c>
      <c r="E7" s="2">
        <f>269.6*13.7199</f>
        <v>3698.88504</v>
      </c>
      <c r="F7" s="2">
        <f>240*13.7199</f>
        <v>3292.776</v>
      </c>
      <c r="G7" s="2">
        <f>240*13.7199</f>
        <v>3292.776</v>
      </c>
      <c r="H7">
        <f>714.8*1000000</f>
        <v>714800000</v>
      </c>
      <c r="I7" s="2">
        <f>1630.7*13.7199</f>
        <v>22373.04093</v>
      </c>
      <c r="J7" s="2">
        <f>294.8*13.7199</f>
        <v>4044.62652</v>
      </c>
      <c r="K7" s="2">
        <f>299.3*13.7199</f>
        <v>4106.36607</v>
      </c>
      <c r="L7" s="2">
        <f>148.4*13.7199</f>
        <v>2036.03316</v>
      </c>
      <c r="M7" s="2">
        <f>4.8*13.7199</f>
        <v>65.85552</v>
      </c>
      <c r="N7" s="2">
        <f>162.9*13.7199</f>
        <v>2234.97171</v>
      </c>
      <c r="O7" s="2">
        <f>-72.8*13.7199</f>
        <v>-998.80872</v>
      </c>
      <c r="P7" s="2">
        <f>94.9*13.7199</f>
        <v>1302.01851</v>
      </c>
      <c r="Q7">
        <f>1</f>
        <v>1</v>
      </c>
      <c r="R7">
        <f>0</f>
        <v>0</v>
      </c>
    </row>
    <row r="8" spans="1:18">
      <c r="A8" s="1" t="s">
        <v>24</v>
      </c>
      <c r="B8" s="2">
        <f>54.5*15.0827</f>
        <v>822.00715</v>
      </c>
      <c r="C8" s="2">
        <f>-14.3*15.0827</f>
        <v>-215.68261</v>
      </c>
      <c r="D8" s="2">
        <f t="shared" si="0"/>
        <v>606.32454</v>
      </c>
      <c r="E8" s="2">
        <f>212.6*15.0827</f>
        <v>3206.58202</v>
      </c>
      <c r="F8" s="2">
        <f>212.3*15.0827</f>
        <v>3202.05721</v>
      </c>
      <c r="G8" s="2">
        <f>211.8*15.0827</f>
        <v>3194.51586</v>
      </c>
      <c r="H8">
        <f>766.6*1000000</f>
        <v>766600000</v>
      </c>
      <c r="I8" s="2">
        <f>1934.9*15.0827</f>
        <v>29183.51623</v>
      </c>
      <c r="J8" s="2">
        <f>307*15.0827</f>
        <v>4630.3889</v>
      </c>
      <c r="K8" s="2">
        <f>293.4*15.0827</f>
        <v>4425.26418</v>
      </c>
      <c r="L8" s="2">
        <f>217.7*15.0827</f>
        <v>3283.50379</v>
      </c>
      <c r="M8" s="2">
        <f>5.2*15.0827</f>
        <v>78.43004</v>
      </c>
      <c r="N8" s="2">
        <f>-50.7*15.0827</f>
        <v>-764.69289</v>
      </c>
      <c r="O8" s="2">
        <f>-6.2*15.0827</f>
        <v>-93.51274</v>
      </c>
      <c r="P8" s="2">
        <f>-6.1*15.0827</f>
        <v>-92.00447</v>
      </c>
      <c r="Q8">
        <f>0</f>
        <v>0</v>
      </c>
      <c r="R8">
        <f>1</f>
        <v>1</v>
      </c>
    </row>
    <row r="9" spans="1:18">
      <c r="A9" s="1" t="s">
        <v>25</v>
      </c>
      <c r="B9" s="2">
        <f>118.8*17.8601</f>
        <v>2121.77988</v>
      </c>
      <c r="C9" s="2">
        <f>-29.1*17.8601</f>
        <v>-519.72891</v>
      </c>
      <c r="D9" s="2">
        <f t="shared" si="0"/>
        <v>1602.05097</v>
      </c>
      <c r="E9" s="2">
        <f>351.9*17.8601</f>
        <v>6284.96919</v>
      </c>
      <c r="F9" s="2">
        <f>338.4*17.8601</f>
        <v>6043.85784</v>
      </c>
      <c r="G9" s="2">
        <f>337.4*17.8601</f>
        <v>6025.99774</v>
      </c>
      <c r="H9">
        <f>767*1000000</f>
        <v>767000000</v>
      </c>
      <c r="I9" s="2">
        <f>2102*17.8601</f>
        <v>37541.9302</v>
      </c>
      <c r="J9" s="2">
        <f>180.5*17.8601</f>
        <v>3223.74805</v>
      </c>
      <c r="K9" s="2">
        <f>385.2*17.8601</f>
        <v>6879.71052</v>
      </c>
      <c r="L9" s="2">
        <f>85.2*17.8601</f>
        <v>1521.68052</v>
      </c>
      <c r="M9" s="2">
        <f>8.5*17.8601</f>
        <v>151.81085</v>
      </c>
      <c r="N9" s="2">
        <f>-150.3*17.8601</f>
        <v>-2684.37303</v>
      </c>
      <c r="O9" s="2">
        <f>-43.7*17.8601</f>
        <v>-780.48637</v>
      </c>
      <c r="P9" s="2">
        <f>-139.5*17.8601</f>
        <v>-2491.48395</v>
      </c>
      <c r="Q9">
        <f>1</f>
        <v>1</v>
      </c>
      <c r="R9">
        <f>0</f>
        <v>0</v>
      </c>
    </row>
    <row r="10" spans="1:18">
      <c r="A10" s="1" t="s">
        <v>26</v>
      </c>
      <c r="B10" s="2">
        <f>54.2*17.9695</f>
        <v>973.9469</v>
      </c>
      <c r="C10" s="2">
        <f>-14.1*17.9695</f>
        <v>-253.36995</v>
      </c>
      <c r="D10" s="2">
        <f t="shared" si="0"/>
        <v>720.57695</v>
      </c>
      <c r="E10" s="2">
        <f>149.4*17.9695</f>
        <v>2684.6433</v>
      </c>
      <c r="F10" s="2">
        <f>137.5*17.9695</f>
        <v>2470.80625</v>
      </c>
      <c r="G10" s="2">
        <f>137.5*17.9695</f>
        <v>2470.80625</v>
      </c>
      <c r="H10">
        <f>788.5*1000000</f>
        <v>788500000</v>
      </c>
      <c r="I10" s="2">
        <f>2435.9*17.9695</f>
        <v>43771.90505</v>
      </c>
      <c r="J10" s="2">
        <f>143.3*17.9695</f>
        <v>2575.02935</v>
      </c>
      <c r="K10" s="2">
        <f>294.2*17.9695</f>
        <v>5286.6269</v>
      </c>
      <c r="L10" s="2">
        <f>89*17.9695</f>
        <v>1599.2855</v>
      </c>
      <c r="M10" s="2">
        <f>0.7*17.9695</f>
        <v>12.57865</v>
      </c>
      <c r="N10" s="2">
        <f>-128.5*17.9695</f>
        <v>-2309.08075</v>
      </c>
      <c r="O10" s="2">
        <f>142.1*17.9695</f>
        <v>2553.46595</v>
      </c>
      <c r="P10" s="2">
        <f>14.4*17.9695</f>
        <v>258.7608</v>
      </c>
      <c r="Q10">
        <f>0</f>
        <v>0</v>
      </c>
      <c r="R10">
        <f>1</f>
        <v>1</v>
      </c>
    </row>
    <row r="11" spans="1:18">
      <c r="A11" s="1" t="s">
        <v>27</v>
      </c>
      <c r="B11" s="2">
        <f>110.6*18.0872</f>
        <v>2000.44432</v>
      </c>
      <c r="C11" s="2">
        <f>-30.3*18.0872</f>
        <v>-548.04216</v>
      </c>
      <c r="D11" s="2">
        <f t="shared" si="0"/>
        <v>1452.40216</v>
      </c>
      <c r="E11" s="2">
        <f>474.2*18.0872</f>
        <v>8576.95024</v>
      </c>
      <c r="F11" s="2">
        <f>448.6*18.0872</f>
        <v>8113.91792</v>
      </c>
      <c r="G11" s="2">
        <f>448.6*18.0872</f>
        <v>8113.91792</v>
      </c>
      <c r="H11">
        <f>815.5*1000000</f>
        <v>815500000</v>
      </c>
      <c r="I11" s="2">
        <f>2917.5*18.0872</f>
        <v>52769.406</v>
      </c>
      <c r="J11" s="2">
        <f>159.7*18.0872</f>
        <v>2888.52584</v>
      </c>
      <c r="K11" s="2">
        <f>449.4*18.0872</f>
        <v>8128.38768</v>
      </c>
      <c r="L11" s="2">
        <f>121.5*18.0872</f>
        <v>2197.5948</v>
      </c>
      <c r="M11" s="2">
        <f>15*18.0872</f>
        <v>271.308</v>
      </c>
      <c r="N11" s="2">
        <f>-257.4*18.0872</f>
        <v>-4655.64528</v>
      </c>
      <c r="O11" s="2">
        <f>294.1*18.0872</f>
        <v>5319.44552</v>
      </c>
      <c r="P11" s="2">
        <f>51.8*18.0872</f>
        <v>936.91696</v>
      </c>
      <c r="Q11">
        <f>1</f>
        <v>1</v>
      </c>
      <c r="R11">
        <f>0</f>
        <v>0</v>
      </c>
    </row>
    <row r="12" spans="1:18">
      <c r="A12" s="1" t="s">
        <v>28</v>
      </c>
      <c r="B12" s="2">
        <f>52*19.7735</f>
        <v>1028.222</v>
      </c>
      <c r="C12" s="2">
        <f>-11.8*19.7735</f>
        <v>-233.3273</v>
      </c>
      <c r="D12" s="2">
        <f t="shared" si="0"/>
        <v>794.8947</v>
      </c>
      <c r="E12" s="2">
        <f>280.6*19.7735</f>
        <v>5548.4441</v>
      </c>
      <c r="F12" s="2">
        <f>269.1*19.7735</f>
        <v>5321.04885</v>
      </c>
      <c r="G12" s="2">
        <f>263.9*19.7735</f>
        <v>5218.22665</v>
      </c>
      <c r="H12">
        <f>845.8*1000000</f>
        <v>845800000</v>
      </c>
      <c r="I12" s="2">
        <f>3720.6*19.7735</f>
        <v>73569.2841</v>
      </c>
      <c r="J12" s="2">
        <f>109.2*19.7735</f>
        <v>2159.2662</v>
      </c>
      <c r="K12" s="2">
        <f>483.9*19.7735</f>
        <v>9568.39665</v>
      </c>
      <c r="L12" s="2">
        <f>141*19.7735</f>
        <v>2788.0635</v>
      </c>
      <c r="M12" s="2">
        <f>-1.8*19.7735</f>
        <v>-35.5923</v>
      </c>
      <c r="N12" s="2">
        <f>-116.1*19.7735</f>
        <v>-2295.70335</v>
      </c>
      <c r="O12" s="2">
        <f>73*19.7735</f>
        <v>1443.4655</v>
      </c>
      <c r="P12" s="2">
        <f>-44.9*19.7735</f>
        <v>-887.83015</v>
      </c>
      <c r="Q12">
        <f>0</f>
        <v>0</v>
      </c>
      <c r="R12">
        <f>1</f>
        <v>1</v>
      </c>
    </row>
    <row r="13" spans="1:18">
      <c r="A13" s="1" t="s">
        <v>29</v>
      </c>
      <c r="B13" s="2">
        <f>114.9*22.4269</f>
        <v>2576.85081</v>
      </c>
      <c r="C13" s="2">
        <f>-24.4*22.4269</f>
        <v>-547.21636</v>
      </c>
      <c r="D13" s="2">
        <f t="shared" si="0"/>
        <v>2029.63445</v>
      </c>
      <c r="E13" s="2">
        <f>472*22.4269</f>
        <v>10585.4968</v>
      </c>
      <c r="F13" s="2">
        <f>457.2*22.4269</f>
        <v>10253.57868</v>
      </c>
      <c r="G13" s="2">
        <f>431.1*22.4269</f>
        <v>9668.23659</v>
      </c>
      <c r="H13">
        <f>846.3*1000000</f>
        <v>846300000</v>
      </c>
      <c r="I13" s="2">
        <f>4037.6*22.4269</f>
        <v>90550.85144</v>
      </c>
      <c r="J13" s="2">
        <f>114.7*22.4269</f>
        <v>2572.36543</v>
      </c>
      <c r="K13" s="2">
        <f>630.3*22.4269</f>
        <v>14135.67507</v>
      </c>
      <c r="L13" s="2">
        <f>119.2*22.4269</f>
        <v>2673.28648</v>
      </c>
      <c r="M13" s="2">
        <f>-2.3*22.4269</f>
        <v>-51.58187</v>
      </c>
      <c r="N13" s="2">
        <f>-256.3*22.4269</f>
        <v>-5748.01447</v>
      </c>
      <c r="O13" s="2">
        <f>230.7*22.4269</f>
        <v>5173.88583</v>
      </c>
      <c r="P13" s="2">
        <f>-27.9*22.4269</f>
        <v>-625.71051</v>
      </c>
      <c r="Q13">
        <f>1</f>
        <v>1</v>
      </c>
      <c r="R13">
        <f>0</f>
        <v>0</v>
      </c>
    </row>
    <row r="14" spans="1:18">
      <c r="A14" s="1" t="s">
        <v>30</v>
      </c>
      <c r="B14" s="2">
        <f>58.4*18.6219</f>
        <v>1087.51896</v>
      </c>
      <c r="C14" s="2">
        <f>-11.7*18.6219</f>
        <v>-217.87623</v>
      </c>
      <c r="D14" s="2">
        <f t="shared" si="0"/>
        <v>869.64273</v>
      </c>
      <c r="E14" s="2">
        <f>-162.6*18.6219</f>
        <v>-3027.92094</v>
      </c>
      <c r="F14" s="2">
        <f>-172.4*18.6219</f>
        <v>-3210.41556</v>
      </c>
      <c r="G14" s="2">
        <f>-109*18.6219</f>
        <v>-2029.7871</v>
      </c>
      <c r="H14">
        <f>844.6*1000000</f>
        <v>844600000</v>
      </c>
      <c r="I14" s="2">
        <f>3940.5*18.6219</f>
        <v>73379.59695</v>
      </c>
      <c r="J14" s="2">
        <f>86.4*18.6219</f>
        <v>1608.93216</v>
      </c>
      <c r="K14" s="2">
        <f>702.5*18.6219</f>
        <v>13081.88475</v>
      </c>
      <c r="L14" s="2">
        <f>93.1*18.6219</f>
        <v>1733.69889</v>
      </c>
      <c r="M14" s="2">
        <f>-6*18.6219</f>
        <v>-111.7314</v>
      </c>
      <c r="N14" s="2">
        <f>-77.2*18.6219</f>
        <v>-1437.61068</v>
      </c>
      <c r="O14" s="2">
        <f>63.4*18.6219</f>
        <v>1180.62846</v>
      </c>
      <c r="P14" s="2">
        <f>-19.8*18.6219</f>
        <v>-368.71362</v>
      </c>
      <c r="Q14">
        <f>0</f>
        <v>0</v>
      </c>
      <c r="R14">
        <f>1</f>
        <v>1</v>
      </c>
    </row>
    <row r="15" spans="1:18">
      <c r="A15" s="1" t="s">
        <v>31</v>
      </c>
      <c r="B15" s="2">
        <f>127.4*16.1583</f>
        <v>2058.56742</v>
      </c>
      <c r="C15" s="2">
        <f>-22*16.1583</f>
        <v>-355.4826</v>
      </c>
      <c r="D15" s="2">
        <f t="shared" si="0"/>
        <v>1703.08482</v>
      </c>
      <c r="E15" s="2">
        <f>-212.8*16.1583</f>
        <v>-3438.48624</v>
      </c>
      <c r="F15" s="2">
        <f>-240.3*16.1583</f>
        <v>-3882.83949</v>
      </c>
      <c r="G15" s="2">
        <f>-118.6*16.1583</f>
        <v>-1916.37438</v>
      </c>
      <c r="H15">
        <f>845.9*1000000</f>
        <v>845900000</v>
      </c>
      <c r="I15" s="2">
        <f>4037*16.1583</f>
        <v>65231.0571</v>
      </c>
      <c r="J15" s="2">
        <f>81.6*16.1583</f>
        <v>1318.51728</v>
      </c>
      <c r="K15" s="2">
        <f>845.3*16.1583</f>
        <v>13658.61099</v>
      </c>
      <c r="L15" s="2">
        <f>100.1*16.1583</f>
        <v>1617.44583</v>
      </c>
      <c r="M15" s="2">
        <f>-29.5*16.1583</f>
        <v>-476.66985</v>
      </c>
      <c r="N15" s="2">
        <f>-209*16.1583</f>
        <v>-3377.0847</v>
      </c>
      <c r="O15" s="2">
        <f>202.5*16.1583</f>
        <v>3272.05575</v>
      </c>
      <c r="P15" s="2">
        <f>-36*16.1583</f>
        <v>-581.6988</v>
      </c>
      <c r="Q15">
        <f>1</f>
        <v>1</v>
      </c>
      <c r="R15">
        <f>0</f>
        <v>0</v>
      </c>
    </row>
    <row r="16" spans="1:18">
      <c r="A16" s="1" t="s">
        <v>32</v>
      </c>
      <c r="B16" s="2">
        <f>43.7*16.8865</f>
        <v>737.94005</v>
      </c>
      <c r="C16" s="2">
        <f>-5.3*16.8865</f>
        <v>-89.49845</v>
      </c>
      <c r="D16" s="2">
        <f t="shared" si="0"/>
        <v>648.4416</v>
      </c>
      <c r="E16" s="2">
        <f>25.9*16.8865</f>
        <v>437.36035</v>
      </c>
      <c r="F16" s="2">
        <f>28.4*16.8865</f>
        <v>479.5766</v>
      </c>
      <c r="G16" s="2">
        <f>34.7*16.8865</f>
        <v>585.96155</v>
      </c>
      <c r="H16">
        <f>849.6*1000000</f>
        <v>849600000</v>
      </c>
      <c r="I16" s="2">
        <f>3846.5*16.8865</f>
        <v>64953.92225</v>
      </c>
      <c r="J16" s="2">
        <f>57.4*16.8865</f>
        <v>969.2851</v>
      </c>
      <c r="K16" s="2">
        <f>641.9*16.8865</f>
        <v>10839.44435</v>
      </c>
      <c r="L16" s="2">
        <f>62.4*16.8865</f>
        <v>1053.7176</v>
      </c>
      <c r="M16" s="2">
        <f>4.4*16.8865</f>
        <v>74.3006</v>
      </c>
      <c r="N16" s="2">
        <f>153.6*16.8865</f>
        <v>2593.7664</v>
      </c>
      <c r="O16" s="2">
        <f>-163.6*16.8865</f>
        <v>-2762.6314</v>
      </c>
      <c r="P16" s="2">
        <f>-5.6*16.8865</f>
        <v>-94.5644</v>
      </c>
      <c r="Q16">
        <f>0</f>
        <v>0</v>
      </c>
      <c r="R16">
        <f>1</f>
        <v>1</v>
      </c>
    </row>
    <row r="17" spans="1:18">
      <c r="A17" s="1" t="s">
        <v>33</v>
      </c>
      <c r="B17" s="2">
        <f>87.7*16.1255</f>
        <v>1414.20635</v>
      </c>
      <c r="C17" s="2">
        <f>-13.1*16.1255</f>
        <v>-211.24405</v>
      </c>
      <c r="D17" s="2">
        <f t="shared" si="0"/>
        <v>1202.9623</v>
      </c>
      <c r="E17" s="2">
        <f>-59.4*16.1255</f>
        <v>-957.8547</v>
      </c>
      <c r="F17" s="2">
        <f>-63.1*16.1255</f>
        <v>-1017.51905</v>
      </c>
      <c r="G17" s="2">
        <f>-0.4*16.1255</f>
        <v>-6.4502</v>
      </c>
      <c r="H17">
        <f>848.7*1000000</f>
        <v>848700000</v>
      </c>
      <c r="I17" s="2">
        <f>3899.5*16.1255</f>
        <v>62881.38725</v>
      </c>
      <c r="J17" s="2">
        <f>61.7*16.1255</f>
        <v>994.94335</v>
      </c>
      <c r="K17" s="2">
        <f>782*16.1255</f>
        <v>12610.141</v>
      </c>
      <c r="L17" s="2">
        <f>73.6*16.1255</f>
        <v>1186.8368</v>
      </c>
      <c r="M17" s="2">
        <f>-5.6*16.1255</f>
        <v>-90.3028</v>
      </c>
      <c r="N17" s="2">
        <f>38.3*16.1255</f>
        <v>617.60665</v>
      </c>
      <c r="O17" s="2">
        <f>-29*16.1255</f>
        <v>-467.6395</v>
      </c>
      <c r="P17" s="2">
        <f>SUM(M17:O17)</f>
        <v>59.6643500000001</v>
      </c>
      <c r="Q17">
        <v>1</v>
      </c>
      <c r="R17">
        <v>0</v>
      </c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2017-12-08T09:53:00Z</dcterms:created>
  <dcterms:modified xsi:type="dcterms:W3CDTF">2018-02-26T16:01:40Z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