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80" windowHeight="26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<sst xmlns="http://schemas.openxmlformats.org/spreadsheetml/2006/main" count="34">
  <si>
    <t>Date</t>
  </si>
  <si>
    <t>Revenue</t>
  </si>
  <si>
    <t>Cost of sales</t>
  </si>
  <si>
    <t>Gross profit</t>
  </si>
  <si>
    <t>Operating profit</t>
  </si>
  <si>
    <t>Net profit</t>
  </si>
  <si>
    <t>Headline earnings</t>
  </si>
  <si>
    <t>Shares in issue</t>
  </si>
  <si>
    <t>Non-current assets</t>
  </si>
  <si>
    <t>Current assets</t>
  </si>
  <si>
    <t>Non-current liabilities</t>
  </si>
  <si>
    <t>Current liabilities</t>
  </si>
  <si>
    <t>Cash from operations</t>
  </si>
  <si>
    <t>Cash from investing</t>
  </si>
  <si>
    <t>Cash from financing</t>
  </si>
  <si>
    <t>Change in cash</t>
  </si>
  <si>
    <t>Full year</t>
  </si>
  <si>
    <t>Half year</t>
  </si>
  <si>
    <t>07-09-2006</t>
  </si>
  <si>
    <t>22-02-2007</t>
  </si>
  <si>
    <t>04-09-2007</t>
  </si>
  <si>
    <t>03-09-2008</t>
  </si>
  <si>
    <t>02-09-2009</t>
  </si>
  <si>
    <t>25-02-2010</t>
  </si>
  <si>
    <t>07-09-2010</t>
  </si>
  <si>
    <t>01-09-2011</t>
  </si>
  <si>
    <t>05-09-2012</t>
  </si>
  <si>
    <t>13-04-2013</t>
  </si>
  <si>
    <t>25-02-2014</t>
  </si>
  <si>
    <t>22-04-2015</t>
  </si>
  <si>
    <t>08-04-2016</t>
  </si>
  <si>
    <t>07-04-2017</t>
  </si>
  <si>
    <t>07-09-2017</t>
  </si>
  <si>
    <t>20-02-2018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</si>
</sst>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  <numFmt numFmtId="178" formatCode="_ * #,##0_ ;_ * \-#,##0_ ;_ * &quot;-&quot;??_ ;_ @_ "/>
    <numFmt numFmtId="179" formatCode="0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15" borderId="7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179" fontId="0" fillId="0" borderId="0" xfId="0" applyNumberFormat="1">
      <alignment vertical="center"/>
    </xf>
    <xf numFmtId="178" fontId="0" fillId="0" borderId="0" xfId="2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2"/>
  <sheetViews>
    <sheetView tabSelected="1" workbookViewId="0">
      <selection activeCell="A1" sqref="A1"/>
    </sheetView>
  </sheetViews>
  <sheetFormatPr defaultColWidth="9.14285714285714" defaultRowHeight="15"/>
  <cols>
    <col min="1" max="1" width="11.1428571428571" customWidth="1"/>
    <col min="2" max="2" width="10.5714285714286"/>
    <col min="3" max="3" width="12.8571428571429" customWidth="1"/>
    <col min="4" max="4" width="12.1428571428571" customWidth="1"/>
    <col min="5" max="5" width="16.5714285714286" customWidth="1"/>
    <col min="6" max="6" width="10.2857142857143" customWidth="1"/>
    <col min="7" max="7" width="18.5714285714286" customWidth="1"/>
    <col min="8" max="8" width="15.1428571428571" customWidth="1"/>
    <col min="9" max="9" width="19.2857142857143" customWidth="1"/>
    <col min="10" max="10" width="14.7142857142857" customWidth="1"/>
    <col min="11" max="11" width="22.5714285714286" customWidth="1"/>
    <col min="12" max="12" width="17.8571428571429" customWidth="1"/>
    <col min="13" max="13" width="21.7142857142857" customWidth="1"/>
    <col min="14" max="15" width="20.1428571428571" customWidth="1"/>
    <col min="16" max="16" width="15.142857142857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s="1" t="s">
        <v>18</v>
      </c>
      <c r="B2" s="2">
        <f>5422</f>
        <v>5422</v>
      </c>
      <c r="C2" s="2">
        <f>-974-908-2624-121</f>
        <v>-4627</v>
      </c>
      <c r="D2" s="2">
        <f t="shared" ref="D2:D17" si="0">B2+C2</f>
        <v>795</v>
      </c>
      <c r="E2" s="2">
        <f>1102</f>
        <v>1102</v>
      </c>
      <c r="F2" s="2">
        <f>666</f>
        <v>666</v>
      </c>
      <c r="G2" s="2">
        <f>669</f>
        <v>669</v>
      </c>
      <c r="H2" s="2">
        <f>553.2*1000000</f>
        <v>553200000</v>
      </c>
      <c r="I2" s="2">
        <f>6792-J2</f>
        <v>3354</v>
      </c>
      <c r="J2" s="2">
        <f>1322+77+206+233+1600</f>
        <v>3438</v>
      </c>
      <c r="K2" s="2">
        <f>2580-L2</f>
        <v>1510</v>
      </c>
      <c r="L2" s="2">
        <f>464+36+522+48</f>
        <v>1070</v>
      </c>
      <c r="M2" s="2">
        <f>580</f>
        <v>580</v>
      </c>
      <c r="N2" s="2">
        <f>-138</f>
        <v>-138</v>
      </c>
      <c r="O2" s="2">
        <f>-39</f>
        <v>-39</v>
      </c>
      <c r="P2" s="2">
        <f>403</f>
        <v>403</v>
      </c>
      <c r="Q2">
        <f>1</f>
        <v>1</v>
      </c>
      <c r="R2">
        <f>0</f>
        <v>0</v>
      </c>
    </row>
    <row r="3" spans="1:18">
      <c r="A3" s="1" t="s">
        <v>19</v>
      </c>
      <c r="B3" s="2">
        <f>3056</f>
        <v>3056</v>
      </c>
      <c r="C3" s="2">
        <f>-691-509-1441-95</f>
        <v>-2736</v>
      </c>
      <c r="D3" s="2">
        <f t="shared" si="0"/>
        <v>320</v>
      </c>
      <c r="E3" s="2">
        <f>628</f>
        <v>628</v>
      </c>
      <c r="F3" s="2">
        <f>404</f>
        <v>404</v>
      </c>
      <c r="G3" s="2">
        <f>403</f>
        <v>403</v>
      </c>
      <c r="H3" s="2">
        <f>537.393*1000000</f>
        <v>537393000</v>
      </c>
      <c r="I3" s="2">
        <f>7550-J2</f>
        <v>4112</v>
      </c>
      <c r="J3" s="2">
        <f>882+18+87+494+323+1945</f>
        <v>3749</v>
      </c>
      <c r="K3" s="2">
        <f>2843-L3</f>
        <v>1707</v>
      </c>
      <c r="L3" s="2">
        <f>568+568</f>
        <v>1136</v>
      </c>
      <c r="M3" s="2">
        <f>90</f>
        <v>90</v>
      </c>
      <c r="N3" s="2">
        <f>-388</f>
        <v>-388</v>
      </c>
      <c r="O3" s="2">
        <f>-144</f>
        <v>-144</v>
      </c>
      <c r="P3" s="2">
        <f>-442</f>
        <v>-442</v>
      </c>
      <c r="Q3">
        <f>0</f>
        <v>0</v>
      </c>
      <c r="R3">
        <f>1</f>
        <v>1</v>
      </c>
    </row>
    <row r="4" spans="1:18">
      <c r="A4" s="1" t="s">
        <v>20</v>
      </c>
      <c r="B4" s="2">
        <f>6501</f>
        <v>6501</v>
      </c>
      <c r="C4" s="2">
        <f>-1444-1015-3069-141</f>
        <v>-5669</v>
      </c>
      <c r="D4" s="2">
        <f t="shared" si="0"/>
        <v>832</v>
      </c>
      <c r="E4" s="2">
        <f>1476</f>
        <v>1476</v>
      </c>
      <c r="F4" s="2">
        <f>1073</f>
        <v>1073</v>
      </c>
      <c r="G4" s="2">
        <f>1073</f>
        <v>1073</v>
      </c>
      <c r="H4" s="2">
        <f>538.7*1000000</f>
        <v>538700000</v>
      </c>
      <c r="I4" s="2">
        <f>8643-J4</f>
        <v>4465</v>
      </c>
      <c r="J4" s="2">
        <f>996+4+123+577+323+2155</f>
        <v>4178</v>
      </c>
      <c r="K4" s="2">
        <f>3281-L4</f>
        <v>1756</v>
      </c>
      <c r="L4" s="2">
        <f>742+48+735</f>
        <v>1525</v>
      </c>
      <c r="M4" s="2">
        <f>575</f>
        <v>575</v>
      </c>
      <c r="N4" s="2">
        <f>-625</f>
        <v>-625</v>
      </c>
      <c r="O4" s="2">
        <f>-283</f>
        <v>-283</v>
      </c>
      <c r="P4" s="2">
        <f>-333</f>
        <v>-333</v>
      </c>
      <c r="Q4">
        <f>1</f>
        <v>1</v>
      </c>
      <c r="R4">
        <f>0</f>
        <v>0</v>
      </c>
    </row>
    <row r="5" spans="1:18">
      <c r="A5" s="1" t="s">
        <v>21</v>
      </c>
      <c r="B5" s="2">
        <f>7323</f>
        <v>7323</v>
      </c>
      <c r="C5" s="2">
        <f>-1555-1132-3784-14</f>
        <v>-6485</v>
      </c>
      <c r="D5" s="2">
        <f t="shared" si="0"/>
        <v>838</v>
      </c>
      <c r="E5" s="2">
        <f>1712</f>
        <v>1712</v>
      </c>
      <c r="F5" s="2">
        <f>1158</f>
        <v>1158</v>
      </c>
      <c r="G5" s="2">
        <f>1156</f>
        <v>1156</v>
      </c>
      <c r="H5" s="2">
        <f>543.016*1000000</f>
        <v>543016000</v>
      </c>
      <c r="I5" s="2">
        <f>10793-J5</f>
        <v>6160</v>
      </c>
      <c r="J5" s="2">
        <f>812+35+1034+65+173+459+2055</f>
        <v>4633</v>
      </c>
      <c r="K5" s="2">
        <f>4629-L5</f>
        <v>1496</v>
      </c>
      <c r="L5" s="2">
        <f>1778+65+1278+12</f>
        <v>3133</v>
      </c>
      <c r="M5" s="2">
        <f>385</f>
        <v>385</v>
      </c>
      <c r="N5" s="2">
        <f>-269</f>
        <v>-269</v>
      </c>
      <c r="O5" s="2">
        <f>-334</f>
        <v>-334</v>
      </c>
      <c r="P5" s="2">
        <f>-218</f>
        <v>-218</v>
      </c>
      <c r="Q5">
        <f>1</f>
        <v>1</v>
      </c>
      <c r="R5">
        <f>0</f>
        <v>0</v>
      </c>
    </row>
    <row r="6" spans="1:18">
      <c r="A6" s="1" t="s">
        <v>22</v>
      </c>
      <c r="B6" s="2">
        <f>9187</f>
        <v>9187</v>
      </c>
      <c r="C6" s="2">
        <f>-1876-1313-4329-35</f>
        <v>-7553</v>
      </c>
      <c r="D6" s="2">
        <f t="shared" si="0"/>
        <v>1634</v>
      </c>
      <c r="E6" s="2">
        <f>1854</f>
        <v>1854</v>
      </c>
      <c r="F6" s="2">
        <f>1224</f>
        <v>1224</v>
      </c>
      <c r="G6" s="2">
        <f>1212</f>
        <v>1212</v>
      </c>
      <c r="H6" s="2">
        <f>541.043*1000000</f>
        <v>541043000</v>
      </c>
      <c r="I6" s="2">
        <f>14931-J6</f>
        <v>8273</v>
      </c>
      <c r="J6" s="2">
        <f>1737+142+83+68+958+20+488+693+2469</f>
        <v>6658</v>
      </c>
      <c r="K6" s="2">
        <f>7918-L6</f>
        <v>4797</v>
      </c>
      <c r="L6" s="2">
        <f>1778+65+1278</f>
        <v>3121</v>
      </c>
      <c r="M6" s="2">
        <f>1211</f>
        <v>1211</v>
      </c>
      <c r="N6" s="2">
        <f>-50</f>
        <v>-50</v>
      </c>
      <c r="O6" s="2">
        <f>-177</f>
        <v>-177</v>
      </c>
      <c r="P6" s="2">
        <f>984</f>
        <v>984</v>
      </c>
      <c r="Q6">
        <f>1</f>
        <v>1</v>
      </c>
      <c r="R6">
        <f>0</f>
        <v>0</v>
      </c>
    </row>
    <row r="7" spans="1:18">
      <c r="A7" s="1" t="s">
        <v>23</v>
      </c>
      <c r="B7" s="2">
        <f>7186</f>
        <v>7186</v>
      </c>
      <c r="C7" s="2">
        <f>-801-1112-2249-1692-219</f>
        <v>-6073</v>
      </c>
      <c r="D7" s="2">
        <f t="shared" si="0"/>
        <v>1113</v>
      </c>
      <c r="E7" s="2">
        <f>1184</f>
        <v>1184</v>
      </c>
      <c r="F7" s="2">
        <f>827</f>
        <v>827</v>
      </c>
      <c r="G7" s="2">
        <f>829</f>
        <v>829</v>
      </c>
      <c r="H7" s="2">
        <f>553.733*1000000</f>
        <v>553733000</v>
      </c>
      <c r="I7" s="2">
        <f>17941-J7</f>
        <v>8859</v>
      </c>
      <c r="J7" s="2">
        <f>2240+110+61+1532+19+546+1243+3331</f>
        <v>9082</v>
      </c>
      <c r="K7" s="2">
        <f>10133-L7</f>
        <v>2184</v>
      </c>
      <c r="L7" s="2">
        <f>6198+70+1681</f>
        <v>7949</v>
      </c>
      <c r="M7" s="2">
        <f>1066</f>
        <v>1066</v>
      </c>
      <c r="N7" s="2">
        <f>-343</f>
        <v>-343</v>
      </c>
      <c r="O7" s="2">
        <f>-199</f>
        <v>-199</v>
      </c>
      <c r="P7" s="2">
        <f>524</f>
        <v>524</v>
      </c>
      <c r="Q7">
        <f>1</f>
        <v>1</v>
      </c>
      <c r="R7">
        <f>0</f>
        <v>0</v>
      </c>
    </row>
    <row r="8" spans="1:18">
      <c r="A8" s="1" t="s">
        <v>24</v>
      </c>
      <c r="B8" s="2">
        <f>13830</f>
        <v>13830</v>
      </c>
      <c r="C8" s="2">
        <f>-1745-1961-4807-2717-175</f>
        <v>-11405</v>
      </c>
      <c r="D8" s="2">
        <f t="shared" si="0"/>
        <v>2425</v>
      </c>
      <c r="E8" s="2">
        <f>2514</f>
        <v>2514</v>
      </c>
      <c r="F8" s="2">
        <f>1715</f>
        <v>1715</v>
      </c>
      <c r="G8" s="2">
        <f>1717</f>
        <v>1717</v>
      </c>
      <c r="H8" s="2">
        <f>556.257*1000000</f>
        <v>556257000</v>
      </c>
      <c r="I8" s="2">
        <f>20994-J8</f>
        <v>9949</v>
      </c>
      <c r="J8" s="2">
        <f>2845+101+111+1453+68+714+2861+2892</f>
        <v>11045</v>
      </c>
      <c r="K8" s="2">
        <f>12612-L8</f>
        <v>1653</v>
      </c>
      <c r="L8" s="2">
        <f>8938+73+1948</f>
        <v>10959</v>
      </c>
      <c r="M8" s="2">
        <f>-824</f>
        <v>-824</v>
      </c>
      <c r="N8" s="2">
        <f>-340</f>
        <v>-340</v>
      </c>
      <c r="O8" s="2">
        <f>279</f>
        <v>279</v>
      </c>
      <c r="P8" s="2">
        <f>-885</f>
        <v>-885</v>
      </c>
      <c r="Q8">
        <f>0</f>
        <v>0</v>
      </c>
      <c r="R8">
        <f>1</f>
        <v>1</v>
      </c>
    </row>
    <row r="9" spans="1:18">
      <c r="A9" s="1" t="s">
        <v>25</v>
      </c>
      <c r="B9" s="2">
        <f>17222</f>
        <v>17222</v>
      </c>
      <c r="C9" s="2">
        <f>-4640-2116-6012-97-1530-52</f>
        <v>-14447</v>
      </c>
      <c r="D9" s="2">
        <f t="shared" si="0"/>
        <v>2775</v>
      </c>
      <c r="E9" s="2">
        <f>2914</f>
        <v>2914</v>
      </c>
      <c r="F9" s="2">
        <f>2579</f>
        <v>2579</v>
      </c>
      <c r="G9" s="2">
        <f>2577</f>
        <v>2577</v>
      </c>
      <c r="H9" s="2">
        <f>554.847*1000000</f>
        <v>554847000</v>
      </c>
      <c r="I9" s="2">
        <f>30905-J9</f>
        <v>14991</v>
      </c>
      <c r="J9" s="2">
        <f>3285+46+2680+159+1535+4742+3467</f>
        <v>15914</v>
      </c>
      <c r="K9" s="2">
        <f>21932-L9</f>
        <v>8801</v>
      </c>
      <c r="L9" s="2">
        <f>10621+22+97+2391</f>
        <v>13131</v>
      </c>
      <c r="M9" s="2">
        <f>-6</f>
        <v>-6</v>
      </c>
      <c r="N9" s="2">
        <f>313</f>
        <v>313</v>
      </c>
      <c r="O9" s="2">
        <f>198</f>
        <v>198</v>
      </c>
      <c r="P9" s="2">
        <f>505</f>
        <v>505</v>
      </c>
      <c r="Q9">
        <f t="shared" ref="Q9:Q16" si="1">1</f>
        <v>1</v>
      </c>
      <c r="R9">
        <f t="shared" ref="R9:R16" si="2">0</f>
        <v>0</v>
      </c>
    </row>
    <row r="10" spans="1:18">
      <c r="A10" s="1" t="s">
        <v>26</v>
      </c>
      <c r="B10" s="2">
        <f>19869</f>
        <v>19869</v>
      </c>
      <c r="C10" s="2">
        <f>-5502-2775-6910-152-1075-50</f>
        <v>-16464</v>
      </c>
      <c r="D10" s="2">
        <f t="shared" si="0"/>
        <v>3405</v>
      </c>
      <c r="E10" s="2">
        <f>3553</f>
        <v>3553</v>
      </c>
      <c r="F10" s="2">
        <f>2222</f>
        <v>2222</v>
      </c>
      <c r="G10" s="2">
        <f>2199</f>
        <v>2199</v>
      </c>
      <c r="H10" s="2">
        <f>554.93*1000000</f>
        <v>554930000</v>
      </c>
      <c r="I10" s="2">
        <f>40662-J10</f>
        <v>18169</v>
      </c>
      <c r="J10" s="2">
        <f>1929+18+149+5729+257+2835+6480+5096</f>
        <v>22493</v>
      </c>
      <c r="K10" s="2">
        <f>28931-L10</f>
        <v>10890</v>
      </c>
      <c r="L10" s="2">
        <f>14319+71+3535+116</f>
        <v>18041</v>
      </c>
      <c r="M10" s="2">
        <f>1457</f>
        <v>1457</v>
      </c>
      <c r="N10" s="2">
        <f>-3222</f>
        <v>-3222</v>
      </c>
      <c r="O10" s="2">
        <f>202</f>
        <v>202</v>
      </c>
      <c r="P10" s="2">
        <f>-1563</f>
        <v>-1563</v>
      </c>
      <c r="Q10">
        <f t="shared" si="1"/>
        <v>1</v>
      </c>
      <c r="R10">
        <f t="shared" si="2"/>
        <v>0</v>
      </c>
    </row>
    <row r="11" spans="1:18">
      <c r="A11" s="1" t="s">
        <v>27</v>
      </c>
      <c r="B11" s="2">
        <f>28225.777</f>
        <v>28225.777</v>
      </c>
      <c r="C11" s="2">
        <f>-23093.777</f>
        <v>-23093.777</v>
      </c>
      <c r="D11" s="2">
        <f t="shared" si="0"/>
        <v>5132</v>
      </c>
      <c r="E11" s="2">
        <f>187.179</f>
        <v>187.179</v>
      </c>
      <c r="F11" s="2">
        <f>788.79</f>
        <v>788.79</v>
      </c>
      <c r="G11" s="2">
        <f>788.79</f>
        <v>788.79</v>
      </c>
      <c r="H11" s="2">
        <f>554.93*1000000</f>
        <v>554930000</v>
      </c>
      <c r="I11" s="2">
        <f>0</f>
        <v>0</v>
      </c>
      <c r="J11" s="2">
        <f>12108.48</f>
        <v>12108.48</v>
      </c>
      <c r="K11" s="2">
        <f>12108.48-L11</f>
        <v>8240.82</v>
      </c>
      <c r="L11" s="2">
        <f>3867.66</f>
        <v>3867.66</v>
      </c>
      <c r="M11" s="2">
        <f>2420.65</f>
        <v>2420.65</v>
      </c>
      <c r="N11" s="2">
        <f>0</f>
        <v>0</v>
      </c>
      <c r="O11" s="2">
        <f>32.788</f>
        <v>32.788</v>
      </c>
      <c r="P11" s="2">
        <f>3680.089-1226.651</f>
        <v>2453.438</v>
      </c>
      <c r="Q11">
        <f t="shared" si="1"/>
        <v>1</v>
      </c>
      <c r="R11">
        <f t="shared" si="2"/>
        <v>0</v>
      </c>
    </row>
    <row r="12" spans="1:18">
      <c r="A12" s="1" t="s">
        <v>28</v>
      </c>
      <c r="B12" s="2">
        <f>32509.819</f>
        <v>32509.819</v>
      </c>
      <c r="C12" s="2">
        <f>-26230.531</f>
        <v>-26230.531</v>
      </c>
      <c r="D12" s="2">
        <f t="shared" si="0"/>
        <v>6279.288</v>
      </c>
      <c r="E12" s="2">
        <f>859.776</f>
        <v>859.776</v>
      </c>
      <c r="F12" s="2">
        <f>1534.5</f>
        <v>1534.5</v>
      </c>
      <c r="G12" s="2">
        <f>1534.5</f>
        <v>1534.5</v>
      </c>
      <c r="H12" s="2">
        <f>554.93*1000000</f>
        <v>554930000</v>
      </c>
      <c r="I12" s="2">
        <f>1.717</f>
        <v>1.717</v>
      </c>
      <c r="J12" s="2">
        <f>14571.535</f>
        <v>14571.535</v>
      </c>
      <c r="K12" s="2">
        <f>9970.118</f>
        <v>9970.118</v>
      </c>
      <c r="L12" s="2">
        <f>4603.134</f>
        <v>4603.134</v>
      </c>
      <c r="M12" s="2">
        <f>1503.135</f>
        <v>1503.135</v>
      </c>
      <c r="N12" s="2">
        <f>0</f>
        <v>0</v>
      </c>
      <c r="O12" s="2">
        <f>0</f>
        <v>0</v>
      </c>
      <c r="P12" s="2">
        <f>1769.19</f>
        <v>1769.19</v>
      </c>
      <c r="Q12">
        <f t="shared" si="1"/>
        <v>1</v>
      </c>
      <c r="R12">
        <f t="shared" si="2"/>
        <v>0</v>
      </c>
    </row>
    <row r="13" spans="1:18">
      <c r="A13" s="1" t="s">
        <v>29</v>
      </c>
      <c r="B13" s="2">
        <f>36111</f>
        <v>36111</v>
      </c>
      <c r="C13" s="2">
        <f>-29491.013</f>
        <v>-29491.013</v>
      </c>
      <c r="D13" s="2">
        <f t="shared" si="0"/>
        <v>6619.987</v>
      </c>
      <c r="E13" s="2">
        <f>753.191</f>
        <v>753.191</v>
      </c>
      <c r="F13" s="2">
        <f>1536.808</f>
        <v>1536.808</v>
      </c>
      <c r="G13" s="2">
        <f>1536.808</f>
        <v>1536.808</v>
      </c>
      <c r="H13" s="2">
        <f>554.93*1000000</f>
        <v>554930000</v>
      </c>
      <c r="I13" s="2">
        <f>1.511</f>
        <v>1.511</v>
      </c>
      <c r="J13" s="2">
        <f>16785.039</f>
        <v>16785.039</v>
      </c>
      <c r="K13" s="2">
        <f>11652.804</f>
        <v>11652.804</v>
      </c>
      <c r="L13" s="2">
        <f>5133.746</f>
        <v>5133.746</v>
      </c>
      <c r="M13" s="2">
        <f>233.99</f>
        <v>233.99</v>
      </c>
      <c r="N13" s="2">
        <f>0</f>
        <v>0</v>
      </c>
      <c r="O13" s="2">
        <f>0</f>
        <v>0</v>
      </c>
      <c r="P13" s="2">
        <f>5683.269-5449.279</f>
        <v>233.99</v>
      </c>
      <c r="Q13">
        <f t="shared" si="1"/>
        <v>1</v>
      </c>
      <c r="R13">
        <f t="shared" si="2"/>
        <v>0</v>
      </c>
    </row>
    <row r="14" spans="1:18">
      <c r="A14" s="1" t="s">
        <v>30</v>
      </c>
      <c r="B14" s="2">
        <f>40066.741</f>
        <v>40066.741</v>
      </c>
      <c r="C14" s="2">
        <f>-34503.627</f>
        <v>-34503.627</v>
      </c>
      <c r="D14" s="2">
        <f t="shared" si="0"/>
        <v>5563.114</v>
      </c>
      <c r="E14" s="2">
        <f>506.957</f>
        <v>506.957</v>
      </c>
      <c r="F14" s="2">
        <f>1276.14</f>
        <v>1276.14</v>
      </c>
      <c r="G14" s="2">
        <f>1276.14</f>
        <v>1276.14</v>
      </c>
      <c r="H14" s="2">
        <f>554.93*1000000</f>
        <v>554930000</v>
      </c>
      <c r="I14" s="2">
        <f>1.071</f>
        <v>1.071</v>
      </c>
      <c r="J14" s="2">
        <f>18897.501</f>
        <v>18897.501</v>
      </c>
      <c r="K14" s="2">
        <f>12929.011</f>
        <v>12929.011</v>
      </c>
      <c r="L14" s="2">
        <f>5969.561</f>
        <v>5969.561</v>
      </c>
      <c r="M14" s="2">
        <f>182.314</f>
        <v>182.314</v>
      </c>
      <c r="N14" s="2">
        <f>0</f>
        <v>0</v>
      </c>
      <c r="O14" s="2">
        <f>0</f>
        <v>0</v>
      </c>
      <c r="P14" s="2">
        <f>5865.583-5683.269</f>
        <v>182.313999999999</v>
      </c>
      <c r="Q14">
        <f t="shared" si="1"/>
        <v>1</v>
      </c>
      <c r="R14">
        <f t="shared" si="2"/>
        <v>0</v>
      </c>
    </row>
    <row r="15" spans="1:18">
      <c r="A15" s="1" t="s">
        <v>31</v>
      </c>
      <c r="B15" s="2">
        <f>43626.398</f>
        <v>43626.398</v>
      </c>
      <c r="C15" s="2">
        <f>-38035.898</f>
        <v>-38035.898</v>
      </c>
      <c r="D15" s="2">
        <f t="shared" si="0"/>
        <v>5590.5</v>
      </c>
      <c r="E15" s="2">
        <f>102.452</f>
        <v>102.452</v>
      </c>
      <c r="F15" s="2">
        <f>1305.45</f>
        <v>1305.45</v>
      </c>
      <c r="G15" s="2">
        <f>1305.45</f>
        <v>1305.45</v>
      </c>
      <c r="H15" s="2">
        <f>646.7*1000000</f>
        <v>646700000</v>
      </c>
      <c r="I15" s="2">
        <f>5.614</f>
        <v>5.614</v>
      </c>
      <c r="J15" s="2">
        <f>20864.905</f>
        <v>20864.905</v>
      </c>
      <c r="K15" s="2">
        <f>14234.461</f>
        <v>14234.461</v>
      </c>
      <c r="L15" s="2">
        <f>6636.058</f>
        <v>6636.058</v>
      </c>
      <c r="M15" s="2">
        <f>674.877</f>
        <v>674.877</v>
      </c>
      <c r="N15" s="2">
        <f>0</f>
        <v>0</v>
      </c>
      <c r="O15" s="2">
        <f>0</f>
        <v>0</v>
      </c>
      <c r="P15" s="2">
        <f>6540.46-5865.583</f>
        <v>674.877</v>
      </c>
      <c r="Q15">
        <f t="shared" si="1"/>
        <v>1</v>
      </c>
      <c r="R15">
        <f t="shared" si="2"/>
        <v>0</v>
      </c>
    </row>
    <row r="16" spans="1:18">
      <c r="A16" s="1" t="s">
        <v>32</v>
      </c>
      <c r="B16" s="2">
        <f>45209</f>
        <v>45209</v>
      </c>
      <c r="C16" s="2">
        <f>-17279-5237-15652-171-3362-248</f>
        <v>-41949</v>
      </c>
      <c r="D16" s="2">
        <f t="shared" si="0"/>
        <v>3260</v>
      </c>
      <c r="E16" s="2">
        <f>6245</f>
        <v>6245</v>
      </c>
      <c r="F16" s="2">
        <f>4494</f>
        <v>4494</v>
      </c>
      <c r="G16" s="2">
        <f>4494</f>
        <v>4494</v>
      </c>
      <c r="H16" s="2">
        <f>646.2*1000000</f>
        <v>646200000</v>
      </c>
      <c r="I16" s="2">
        <f>130923-J16</f>
        <v>54174</v>
      </c>
      <c r="J16" s="2">
        <f>9098+34+392+58948+7298+979</f>
        <v>76749</v>
      </c>
      <c r="K16" s="2">
        <f>98633-L16</f>
        <v>38238</v>
      </c>
      <c r="L16" s="2">
        <f>52477+223+191+7369+135</f>
        <v>60395</v>
      </c>
      <c r="M16" s="2">
        <f>-832</f>
        <v>-832</v>
      </c>
      <c r="N16" s="2">
        <f>15</f>
        <v>15</v>
      </c>
      <c r="O16" s="2">
        <f>1913</f>
        <v>1913</v>
      </c>
      <c r="P16" s="2">
        <f>1096</f>
        <v>1096</v>
      </c>
      <c r="Q16">
        <f t="shared" si="1"/>
        <v>1</v>
      </c>
      <c r="R16">
        <f t="shared" si="2"/>
        <v>0</v>
      </c>
    </row>
    <row r="17" spans="1:18">
      <c r="A17" s="1" t="s">
        <v>33</v>
      </c>
      <c r="B17">
        <v>27567</v>
      </c>
      <c r="C17">
        <f>-9767-8401-2846-8449-4031-1155</f>
        <v>-34649</v>
      </c>
      <c r="D17" s="2">
        <f t="shared" si="0"/>
        <v>-7082</v>
      </c>
      <c r="E17">
        <f>3859</f>
        <v>3859</v>
      </c>
      <c r="F17">
        <v>2697</v>
      </c>
      <c r="G17">
        <v>2656</v>
      </c>
      <c r="H17">
        <f>645344*1000</f>
        <v>645344000</v>
      </c>
      <c r="I17">
        <f>146663-J17</f>
        <v>51329</v>
      </c>
      <c r="J17">
        <f>9771+278+27+1819+7565+66836+876+7117+1045</f>
        <v>95334</v>
      </c>
      <c r="K17">
        <f>112451-L17</f>
        <v>70437</v>
      </c>
      <c r="L17">
        <f>177+224+293+7757+8783+136+17108+7536</f>
        <v>42014</v>
      </c>
      <c r="M17">
        <f>1736</f>
        <v>1736</v>
      </c>
      <c r="N17">
        <f>-1613</f>
        <v>-1613</v>
      </c>
      <c r="O17">
        <f>566</f>
        <v>566</v>
      </c>
      <c r="P17">
        <f>SUM(M17:O17)</f>
        <v>689</v>
      </c>
      <c r="Q17">
        <v>0</v>
      </c>
      <c r="R17">
        <v>1</v>
      </c>
    </row>
    <row r="18" spans="1:1">
      <c r="A18" s="1"/>
    </row>
    <row r="19" spans="1:1">
      <c r="A19" s="1"/>
    </row>
    <row r="20" spans="1:8">
      <c r="A20" s="1"/>
      <c r="H20" s="3"/>
    </row>
    <row r="21" spans="1:1">
      <c r="A21" s="1"/>
    </row>
    <row r="22" spans="1:8">
      <c r="A22" s="1"/>
      <c r="H22" s="2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2017-12-08T11:35:00Z</dcterms:created>
  <dcterms:modified xsi:type="dcterms:W3CDTF">2018-02-26T16:01:46Z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