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935" windowHeight="90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<sst xmlns="http://schemas.openxmlformats.org/spreadsheetml/2006/main" count="46">
  <si>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</si>
  <si>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</si>
  <si>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</si>
  <si>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</si>
  <si>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</si>
  <si>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</si>
  <si>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</si>
  <si>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</si>
  <si>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</si>
  <si>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</si>
  <si>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</si>
  <si>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</si>
  <si>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</si>
  <si>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</si>
  <si>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</si>
  <si>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</si>
  <si>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</si>
  <si>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</si>
  <si>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21-02-2003</t>
  </si>
  <si>
    <t>09-09-2003</t>
  </si>
  <si>
    <t>27-02-2004</t>
  </si>
  <si>
    <t>23-02-2005</t>
  </si>
  <si>
    <t>06-09-2005</t>
  </si>
  <si>
    <t>23-02-2006</t>
  </si>
  <si>
    <t>24-08-2006</t>
  </si>
  <si>
    <t>23-02-2007</t>
  </si>
  <si>
    <t>23-08-2007</t>
  </si>
  <si>
    <t>28-02-2008</t>
  </si>
  <si>
    <t>28-08-2008</t>
  </si>
  <si>
    <t>19-02-2009</t>
  </si>
  <si>
    <t>27-08-2009</t>
  </si>
  <si>
    <t>25-02-2010</t>
  </si>
  <si>
    <t>26-08-2010</t>
  </si>
  <si>
    <t>24-02-2011</t>
  </si>
  <si>
    <t>30-08-2012</t>
  </si>
  <si>
    <t>28-02-2013</t>
  </si>
  <si>
    <t>29-08-2013</t>
  </si>
  <si>
    <t>05-03-2014</t>
  </si>
  <si>
    <t>28-08-2014</t>
  </si>
  <si>
    <t>05-03-2015</t>
  </si>
  <si>
    <t>27-08-2015</t>
  </si>
  <si>
    <t>03-03-2016</t>
  </si>
  <si>
    <t>02-09-2016</t>
  </si>
  <si>
    <t>02-03-2017</t>
  </si>
  <si>
    <t>31-08-2017</t>
  </si>
  <si>
    <t>28-02-2018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</si>
</sst>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1"/>
      <color rgb="FF410F2C"/>
      <name val="Calibri"/>
      <charset val="134"/>
    </font>
    <font>
      <sz val="11"/>
      <color rgb="FF410F2C"/>
      <name val="Calibri"/>
      <charset val="134"/>
      <scheme val="minor"/>
    </font>
    <font>
      <sz val="11"/>
      <color rgb="FF262727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Fill="1" applyAlignment="1"/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49" fontId="1" fillId="0" borderId="0" xfId="0" applyNumberFormat="1" applyFont="1" applyFill="1" applyAlignment="1">
      <alignment horizontal="left" wrapText="1"/>
    </xf>
    <xf numFmtId="176" fontId="2" fillId="0" borderId="0" xfId="0" applyNumberFormat="1" applyFont="1" applyFill="1" applyAlignment="1">
      <alignment horizontal="right" wrapText="1"/>
    </xf>
    <xf numFmtId="176" fontId="3" fillId="0" borderId="0" xfId="0" applyNumberFormat="1" applyFont="1" applyFill="1" applyAlignment="1">
      <alignment horizontal="right" wrapText="1"/>
    </xf>
    <xf numFmtId="0" fontId="1" fillId="0" borderId="0" xfId="0" applyFont="1" applyFill="1" applyAlignment="1">
      <alignment horizontal="left" wrapText="1"/>
    </xf>
    <xf numFmtId="176" fontId="1" fillId="0" borderId="0" xfId="0" applyNumberFormat="1" applyFont="1" applyFill="1" applyAlignment="1">
      <alignment horizontal="right" wrapText="1"/>
    </xf>
    <xf numFmtId="176" fontId="4" fillId="0" borderId="0" xfId="0" applyNumberFormat="1" applyFont="1">
      <alignment vertical="center"/>
    </xf>
    <xf numFmtId="0" fontId="4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9"/>
  <sheetViews>
    <sheetView tabSelected="1" topLeftCell="M7" workbookViewId="0">
      <selection activeCell="Q30" sqref="Q30"/>
    </sheetView>
  </sheetViews>
  <sheetFormatPr defaultColWidth="9.14285714285714" defaultRowHeight="15"/>
  <cols>
    <col min="1" max="1" width="11.1428571428571" customWidth="1"/>
    <col min="2" max="2" width="11.5714285714286" customWidth="1"/>
    <col min="3" max="3" width="12.8571428571429" customWidth="1"/>
    <col min="4" max="4" width="12.1428571428571" customWidth="1"/>
    <col min="5" max="5" width="16.5714285714286" customWidth="1"/>
    <col min="6" max="6" width="10.2857142857143" customWidth="1"/>
    <col min="7" max="7" width="18.5714285714286" customWidth="1"/>
    <col min="8" max="8" width="20.2857142857143" customWidth="1"/>
    <col min="9" max="9" width="19.2857142857143" customWidth="1"/>
    <col min="10" max="10" width="14.7142857142857" customWidth="1"/>
    <col min="11" max="11" width="22.5714285714286" customWidth="1"/>
    <col min="12" max="12" width="17.8571428571429" customWidth="1"/>
    <col min="13" max="13" width="21.7142857142857" customWidth="1"/>
    <col min="14" max="15" width="20.1428571428571" customWidth="1"/>
    <col min="16" max="16" width="15.1428571428571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3">
        <f>188281/1000</f>
        <v>188.281</v>
      </c>
      <c r="C2" s="3">
        <f>(-108700-43099)/1000</f>
        <v>-151.799</v>
      </c>
      <c r="D2" s="3">
        <f t="shared" ref="D2:D28" si="0">B2+C2</f>
        <v>36.482</v>
      </c>
      <c r="E2" s="3">
        <f>101/1000</f>
        <v>0.101</v>
      </c>
      <c r="F2" s="3">
        <f>87/1000</f>
        <v>0.087</v>
      </c>
      <c r="G2" s="3">
        <f>87/1000</f>
        <v>0.087</v>
      </c>
      <c r="H2" s="3">
        <v>254116303</v>
      </c>
      <c r="I2" s="3">
        <f>(2660551/1000)-J2</f>
        <v>2597.604</v>
      </c>
      <c r="J2" s="3">
        <f>62947/1000</f>
        <v>62.947</v>
      </c>
      <c r="K2" s="3">
        <f>841834/1000</f>
        <v>841.834</v>
      </c>
      <c r="L2" s="3">
        <f>181916/1000</f>
        <v>181.916</v>
      </c>
      <c r="M2" s="3">
        <f>125723/1000</f>
        <v>125.723</v>
      </c>
      <c r="N2" s="3">
        <f>-263210/1000</f>
        <v>-263.21</v>
      </c>
      <c r="O2" s="3">
        <f>199435/1000</f>
        <v>199.435</v>
      </c>
      <c r="P2" s="3">
        <f t="shared" ref="P2:P28" si="1">SUM(M2:O2)</f>
        <v>61.948</v>
      </c>
      <c r="Q2" s="3">
        <f t="shared" ref="Q2:Q7" si="2">0</f>
        <v>0</v>
      </c>
      <c r="R2" s="3">
        <f t="shared" ref="R2:R7" si="3">1</f>
        <v>1</v>
      </c>
    </row>
    <row r="3" spans="1:18">
      <c r="A3" s="2" t="s">
        <v>19</v>
      </c>
      <c r="B3" s="3">
        <f>452982/1000</f>
        <v>452.982</v>
      </c>
      <c r="C3" s="3">
        <f>(-227197-146814)/1000</f>
        <v>-374.011</v>
      </c>
      <c r="D3" s="3">
        <f t="shared" si="0"/>
        <v>78.971</v>
      </c>
      <c r="E3" s="3">
        <f>3790/1000</f>
        <v>3.79</v>
      </c>
      <c r="F3" s="3">
        <f>227/1000</f>
        <v>0.227</v>
      </c>
      <c r="G3" s="3">
        <f>227/1000</f>
        <v>0.227</v>
      </c>
      <c r="H3" s="3">
        <v>314910131</v>
      </c>
      <c r="I3" s="3">
        <f>(5423651/1000)-J3</f>
        <v>5319.822</v>
      </c>
      <c r="J3" s="3">
        <f>103829/1000</f>
        <v>103.829</v>
      </c>
      <c r="K3" s="3">
        <f>3287244/1000</f>
        <v>3287.244</v>
      </c>
      <c r="L3" s="3">
        <f>336926/1000</f>
        <v>336.926</v>
      </c>
      <c r="M3" s="3">
        <f>160751/1000</f>
        <v>160.751</v>
      </c>
      <c r="N3" s="3">
        <f>-465687/1000</f>
        <v>-465.687</v>
      </c>
      <c r="O3" s="3">
        <f>253515/1000</f>
        <v>253.515</v>
      </c>
      <c r="P3" s="3">
        <f t="shared" si="1"/>
        <v>-51.421</v>
      </c>
      <c r="Q3" s="3">
        <f t="shared" ref="Q3:Q8" si="4">1</f>
        <v>1</v>
      </c>
      <c r="R3" s="3">
        <f t="shared" ref="R3:R8" si="5">0</f>
        <v>0</v>
      </c>
    </row>
    <row r="4" spans="1:18">
      <c r="A4" s="2" t="s">
        <v>20</v>
      </c>
      <c r="B4" s="3">
        <f>434221/1000</f>
        <v>434.221</v>
      </c>
      <c r="C4" s="3">
        <f>(-208552-133939-11456)/1000</f>
        <v>-353.947</v>
      </c>
      <c r="D4" s="3">
        <f t="shared" si="0"/>
        <v>80.274</v>
      </c>
      <c r="E4" s="3">
        <f>1392/1000</f>
        <v>1.392</v>
      </c>
      <c r="F4" s="3">
        <f>208/1000</f>
        <v>0.208</v>
      </c>
      <c r="G4" s="3">
        <f>-271/1000</f>
        <v>-0.271</v>
      </c>
      <c r="H4" s="3">
        <f>623.100092*1000000</f>
        <v>623100092</v>
      </c>
      <c r="I4" s="3">
        <f>(5757690/1000)-J4</f>
        <v>5511.793</v>
      </c>
      <c r="J4" s="3">
        <f>245897/1000</f>
        <v>245.897</v>
      </c>
      <c r="K4" s="3">
        <f>2088254/1000</f>
        <v>2088.254</v>
      </c>
      <c r="L4" s="3">
        <f>366550/1000</f>
        <v>366.55</v>
      </c>
      <c r="M4" s="3">
        <f>165590/1000</f>
        <v>165.59</v>
      </c>
      <c r="N4" s="3">
        <f>-1024239/1000</f>
        <v>-1024.239</v>
      </c>
      <c r="O4" s="3">
        <f>1040208/1000</f>
        <v>1040.208</v>
      </c>
      <c r="P4" s="3">
        <f t="shared" si="1"/>
        <v>181.559</v>
      </c>
      <c r="Q4" s="3">
        <f t="shared" si="2"/>
        <v>0</v>
      </c>
      <c r="R4" s="3">
        <f t="shared" si="3"/>
        <v>1</v>
      </c>
    </row>
    <row r="5" spans="1:18">
      <c r="A5" s="2" t="s">
        <v>21</v>
      </c>
      <c r="B5" s="3">
        <f>495695/1000</f>
        <v>495.695</v>
      </c>
      <c r="C5" s="3">
        <f>(-231897-156082-18306)/1000</f>
        <v>-406.285</v>
      </c>
      <c r="D5" s="3">
        <f t="shared" si="0"/>
        <v>89.41</v>
      </c>
      <c r="E5" s="3">
        <f>376/1000</f>
        <v>0.376</v>
      </c>
      <c r="F5" s="3">
        <f>232/1000</f>
        <v>0.232</v>
      </c>
      <c r="G5" s="3">
        <f>-618504/1000</f>
        <v>-618.504</v>
      </c>
      <c r="H5" s="3">
        <f>652.767981*1000000</f>
        <v>652767981</v>
      </c>
      <c r="I5" s="3">
        <f>(8525740/1000)-J5</f>
        <v>8336.942</v>
      </c>
      <c r="J5" s="3">
        <f>188798/1000</f>
        <v>188.798</v>
      </c>
      <c r="K5" s="3">
        <f>3233081/1000</f>
        <v>3233.081</v>
      </c>
      <c r="L5" s="3">
        <f>682423/1000</f>
        <v>682.423</v>
      </c>
      <c r="M5" s="3">
        <f>502/1000</f>
        <v>0.502</v>
      </c>
      <c r="N5" s="3">
        <f>-378631/1000</f>
        <v>-378.631</v>
      </c>
      <c r="O5" s="3">
        <f>378850/1000</f>
        <v>378.85</v>
      </c>
      <c r="P5" s="3">
        <f t="shared" si="1"/>
        <v>0.72100000000006</v>
      </c>
      <c r="Q5" s="3">
        <f t="shared" si="2"/>
        <v>0</v>
      </c>
      <c r="R5" s="3">
        <f t="shared" si="3"/>
        <v>1</v>
      </c>
    </row>
    <row r="6" spans="1:18">
      <c r="A6" s="2" t="s">
        <v>22</v>
      </c>
      <c r="B6" s="3">
        <f>1013939/1000</f>
        <v>1013.939</v>
      </c>
      <c r="C6" s="3">
        <f>(-481792-298096-36169)/1000</f>
        <v>-816.057</v>
      </c>
      <c r="D6" s="3">
        <f t="shared" si="0"/>
        <v>197.882</v>
      </c>
      <c r="E6" s="3">
        <f>25443/1000</f>
        <v>25.443</v>
      </c>
      <c r="F6" s="3">
        <f>482/1000</f>
        <v>0.482</v>
      </c>
      <c r="G6" s="3">
        <f>-825932/1000</f>
        <v>-825.932</v>
      </c>
      <c r="H6" s="3">
        <f>655.916674*1000000</f>
        <v>655916674</v>
      </c>
      <c r="I6" s="3">
        <f>(9659998/1000)-J6</f>
        <v>9527.824</v>
      </c>
      <c r="J6" s="3">
        <f>132174/1000</f>
        <v>132.174</v>
      </c>
      <c r="K6" s="3">
        <f>3834794/1000</f>
        <v>3834.794</v>
      </c>
      <c r="L6" s="3">
        <f>957709/1000</f>
        <v>957.709</v>
      </c>
      <c r="M6" s="3">
        <f>16450/1000</f>
        <v>16.45</v>
      </c>
      <c r="N6" s="3">
        <f>-909513/1000</f>
        <v>-909.513</v>
      </c>
      <c r="O6" s="3">
        <f>852648/1000</f>
        <v>852.648</v>
      </c>
      <c r="P6" s="3">
        <f t="shared" si="1"/>
        <v>-40.415</v>
      </c>
      <c r="Q6" s="3">
        <f t="shared" si="4"/>
        <v>1</v>
      </c>
      <c r="R6" s="3">
        <f t="shared" si="5"/>
        <v>0</v>
      </c>
    </row>
    <row r="7" spans="1:18">
      <c r="A7" s="2" t="s">
        <v>23</v>
      </c>
      <c r="B7" s="4">
        <f>628627/1000</f>
        <v>628.627</v>
      </c>
      <c r="C7" s="4">
        <f>(-274574-177939-4961)/1000</f>
        <v>-457.474</v>
      </c>
      <c r="D7" s="3">
        <f t="shared" si="0"/>
        <v>171.153</v>
      </c>
      <c r="E7" s="4">
        <f>18645/1000</f>
        <v>18.645</v>
      </c>
      <c r="F7" s="4">
        <f>275/1000</f>
        <v>0.275</v>
      </c>
      <c r="G7" s="4">
        <f>-289505/1000</f>
        <v>-289.505</v>
      </c>
      <c r="H7" s="4">
        <f>702.938618*1000000</f>
        <v>702938618</v>
      </c>
      <c r="I7" s="4">
        <f>(10400805/1000)-J7</f>
        <v>10266.432</v>
      </c>
      <c r="J7" s="4">
        <f>134373/1000</f>
        <v>134.373</v>
      </c>
      <c r="K7" s="4">
        <f>4111333/1000</f>
        <v>4111.333</v>
      </c>
      <c r="L7" s="4">
        <f>667241/1000</f>
        <v>667.241</v>
      </c>
      <c r="M7" s="4">
        <f>35080/1000</f>
        <v>35.08</v>
      </c>
      <c r="N7" s="4">
        <f>-618768/1000</f>
        <v>-618.768</v>
      </c>
      <c r="O7" s="4">
        <f>554331/1000</f>
        <v>554.331</v>
      </c>
      <c r="P7" s="3">
        <f t="shared" si="1"/>
        <v>-29.357</v>
      </c>
      <c r="Q7" s="3">
        <f t="shared" si="2"/>
        <v>0</v>
      </c>
      <c r="R7" s="3">
        <f t="shared" si="3"/>
        <v>1</v>
      </c>
    </row>
    <row r="8" spans="1:18">
      <c r="A8" s="5" t="s">
        <v>24</v>
      </c>
      <c r="B8" s="6">
        <f>1298549/1000</f>
        <v>1298.549</v>
      </c>
      <c r="C8" s="6">
        <f>(-602641-361369-9434)/1000</f>
        <v>-973.444</v>
      </c>
      <c r="D8" s="3">
        <f t="shared" si="0"/>
        <v>325.105</v>
      </c>
      <c r="E8" s="6">
        <f>23751/1000</f>
        <v>23.751</v>
      </c>
      <c r="F8" s="7">
        <f>603/1000</f>
        <v>0.603</v>
      </c>
      <c r="G8" s="7">
        <f>-1064549/1000</f>
        <v>-1064.549</v>
      </c>
      <c r="H8" s="7">
        <f>705.248004*1000000</f>
        <v>705248004</v>
      </c>
      <c r="I8" s="7">
        <f>(15544132/1000)-J8</f>
        <v>15352.882</v>
      </c>
      <c r="J8" s="4">
        <f>191250/1000</f>
        <v>191.25</v>
      </c>
      <c r="K8" s="4">
        <f>5747838/1000</f>
        <v>5747.838</v>
      </c>
      <c r="L8" s="4">
        <f>1813831/1000</f>
        <v>1813.831</v>
      </c>
      <c r="M8" s="4">
        <f>2744/1000</f>
        <v>2.744</v>
      </c>
      <c r="N8" s="4">
        <f>-1134787/1000</f>
        <v>-1134.787</v>
      </c>
      <c r="O8" s="4">
        <f>1102441/1000</f>
        <v>1102.441</v>
      </c>
      <c r="P8" s="3">
        <f t="shared" si="1"/>
        <v>-29.6020000000001</v>
      </c>
      <c r="Q8" s="3">
        <f t="shared" si="4"/>
        <v>1</v>
      </c>
      <c r="R8" s="3">
        <f t="shared" si="5"/>
        <v>0</v>
      </c>
    </row>
    <row r="9" spans="1:18">
      <c r="A9" s="5" t="s">
        <v>25</v>
      </c>
      <c r="B9" s="6">
        <f>952429/1000</f>
        <v>952.429</v>
      </c>
      <c r="C9" s="6">
        <f>(-435012-265117-8007)/1000</f>
        <v>-708.136</v>
      </c>
      <c r="D9" s="3">
        <f t="shared" si="0"/>
        <v>244.293</v>
      </c>
      <c r="E9" s="4">
        <f>7325/1000</f>
        <v>7.325</v>
      </c>
      <c r="F9" s="4">
        <f>435/1000</f>
        <v>0.435</v>
      </c>
      <c r="G9" s="4">
        <f>220000/1000</f>
        <v>220</v>
      </c>
      <c r="H9" s="4">
        <f>964.11474*1000000</f>
        <v>964114740</v>
      </c>
      <c r="I9" s="4">
        <f>(20164956/1000)-J9</f>
        <v>19769.663</v>
      </c>
      <c r="J9" s="4">
        <f>395293/1000</f>
        <v>395.293</v>
      </c>
      <c r="K9" s="4">
        <f>8294695/1000</f>
        <v>8294.695</v>
      </c>
      <c r="L9" s="4">
        <f>1650712/1000</f>
        <v>1650.712</v>
      </c>
      <c r="M9" s="4">
        <f>-165463/1000</f>
        <v>-165.463</v>
      </c>
      <c r="N9" s="4">
        <f>-363799/1000</f>
        <v>-363.799</v>
      </c>
      <c r="O9" s="4">
        <f>631117/1000</f>
        <v>631.117</v>
      </c>
      <c r="P9" s="3">
        <f t="shared" si="1"/>
        <v>101.855</v>
      </c>
      <c r="Q9" s="3">
        <f t="shared" ref="Q9:Q13" si="6">0</f>
        <v>0</v>
      </c>
      <c r="R9" s="3">
        <f t="shared" ref="R9:R13" si="7">1</f>
        <v>1</v>
      </c>
    </row>
    <row r="10" spans="1:18">
      <c r="A10" t="s">
        <v>26</v>
      </c>
      <c r="B10" s="4">
        <f>2152000/1000</f>
        <v>2152</v>
      </c>
      <c r="C10" s="4">
        <f>(-966000-615000-16000)/1000</f>
        <v>-1597</v>
      </c>
      <c r="D10" s="3">
        <f t="shared" si="0"/>
        <v>555</v>
      </c>
      <c r="E10" s="4">
        <f>3000/1000</f>
        <v>3</v>
      </c>
      <c r="F10" s="4">
        <f>1000/1000</f>
        <v>1</v>
      </c>
      <c r="G10" s="4">
        <f>935000/1000</f>
        <v>935</v>
      </c>
      <c r="H10" s="4">
        <f>1030.639648*1000000</f>
        <v>1030639648</v>
      </c>
      <c r="I10" s="4">
        <f>(22957000/1000)-J10</f>
        <v>22632</v>
      </c>
      <c r="J10" s="4">
        <f>325000/1000</f>
        <v>325</v>
      </c>
      <c r="K10" s="7">
        <f>8293000/1000</f>
        <v>8293</v>
      </c>
      <c r="L10" s="4">
        <f>964000/1000</f>
        <v>964</v>
      </c>
      <c r="M10" s="4">
        <f>99000/1000</f>
        <v>99</v>
      </c>
      <c r="N10" s="4">
        <f>-1339000/1000</f>
        <v>-1339</v>
      </c>
      <c r="O10" s="4">
        <f>1243000/1000</f>
        <v>1243</v>
      </c>
      <c r="P10" s="3">
        <f t="shared" si="1"/>
        <v>3</v>
      </c>
      <c r="Q10" s="3">
        <f t="shared" ref="Q10:Q14" si="8">1</f>
        <v>1</v>
      </c>
      <c r="R10" s="3">
        <f t="shared" ref="R10:R14" si="9">0</f>
        <v>0</v>
      </c>
    </row>
    <row r="11" spans="1:18">
      <c r="A11" t="s">
        <v>27</v>
      </c>
      <c r="B11" s="3">
        <f>1418000/1000</f>
        <v>1418</v>
      </c>
      <c r="C11" s="3">
        <f>(-654000-363000-79000)/1000</f>
        <v>-1096</v>
      </c>
      <c r="D11" s="3">
        <f t="shared" si="0"/>
        <v>322</v>
      </c>
      <c r="E11" s="3">
        <v>-49</v>
      </c>
      <c r="F11" s="3">
        <f>-48000/1000</f>
        <v>-48</v>
      </c>
      <c r="G11" s="3">
        <f>555000/1000</f>
        <v>555</v>
      </c>
      <c r="H11" s="3">
        <f>1196.77319*1000000</f>
        <v>1196773190</v>
      </c>
      <c r="I11" s="3">
        <f>(26986000/1000)-J11</f>
        <v>26621</v>
      </c>
      <c r="J11" s="3">
        <f>365000/1000</f>
        <v>365</v>
      </c>
      <c r="K11" s="3">
        <f>7976000/1000</f>
        <v>7976</v>
      </c>
      <c r="L11" s="3">
        <f>1107000/1000</f>
        <v>1107</v>
      </c>
      <c r="M11" s="3">
        <f>97000/1000</f>
        <v>97</v>
      </c>
      <c r="N11" s="3">
        <f>-1355000/1000</f>
        <v>-1355</v>
      </c>
      <c r="O11" s="3">
        <f>1259000/1000</f>
        <v>1259</v>
      </c>
      <c r="P11" s="3">
        <f t="shared" si="1"/>
        <v>1</v>
      </c>
      <c r="Q11" s="3">
        <f t="shared" si="6"/>
        <v>0</v>
      </c>
      <c r="R11" s="3">
        <f t="shared" si="7"/>
        <v>1</v>
      </c>
    </row>
    <row r="12" spans="1:18">
      <c r="A12" s="8" t="s">
        <v>28</v>
      </c>
      <c r="B12" s="9">
        <f>2920000/1000</f>
        <v>2920</v>
      </c>
      <c r="C12" s="9">
        <f>(-1363000-697000-193000)/1000</f>
        <v>-2253</v>
      </c>
      <c r="D12" s="3">
        <f t="shared" si="0"/>
        <v>667</v>
      </c>
      <c r="E12" s="9">
        <v>-99</v>
      </c>
      <c r="F12" s="10">
        <f>-98000/1000</f>
        <v>-98</v>
      </c>
      <c r="G12" s="10">
        <f>1973000/1000</f>
        <v>1973</v>
      </c>
      <c r="H12" s="10">
        <f>1238.460442*1000000</f>
        <v>1238460442</v>
      </c>
      <c r="I12" s="10">
        <f>(30657000/1000)-J12</f>
        <v>30231</v>
      </c>
      <c r="J12" s="10">
        <f>426000/1000</f>
        <v>426</v>
      </c>
      <c r="K12" s="10">
        <f>9132000/1000</f>
        <v>9132</v>
      </c>
      <c r="L12" s="10">
        <f>1354000/1000</f>
        <v>1354</v>
      </c>
      <c r="M12" s="10">
        <f>384000/1000</f>
        <v>384</v>
      </c>
      <c r="N12" s="10">
        <f>-3296000/1000</f>
        <v>-3296</v>
      </c>
      <c r="O12" s="10">
        <f>2920000/1000</f>
        <v>2920</v>
      </c>
      <c r="P12" s="3">
        <f t="shared" si="1"/>
        <v>8</v>
      </c>
      <c r="Q12" s="3">
        <f t="shared" si="8"/>
        <v>1</v>
      </c>
      <c r="R12" s="3">
        <f t="shared" si="9"/>
        <v>0</v>
      </c>
    </row>
    <row r="13" spans="1:18">
      <c r="A13" s="8" t="s">
        <v>29</v>
      </c>
      <c r="B13" s="9">
        <f>1661000/1000</f>
        <v>1661</v>
      </c>
      <c r="C13" s="9">
        <f>(-720000-451000-61000)/1000</f>
        <v>-1232</v>
      </c>
      <c r="D13" s="3">
        <f t="shared" si="0"/>
        <v>429</v>
      </c>
      <c r="E13" s="9">
        <v>-47</v>
      </c>
      <c r="F13" s="10">
        <f>-34000/1000</f>
        <v>-34</v>
      </c>
      <c r="G13" s="10">
        <f>-807000/1000</f>
        <v>-807</v>
      </c>
      <c r="H13" s="10">
        <f>1280.926195*1000000</f>
        <v>1280926195</v>
      </c>
      <c r="I13" s="10">
        <f>(32562000/1000)-J13</f>
        <v>31451</v>
      </c>
      <c r="J13" s="10">
        <f>1111000/1000</f>
        <v>1111</v>
      </c>
      <c r="K13" s="10">
        <f>10168000/1000</f>
        <v>10168</v>
      </c>
      <c r="L13" s="10">
        <f>3859000/1000</f>
        <v>3859</v>
      </c>
      <c r="M13" s="10">
        <f>-159000/1000</f>
        <v>-159</v>
      </c>
      <c r="N13" s="10">
        <f>-1393000/1000</f>
        <v>-1393</v>
      </c>
      <c r="O13" s="10">
        <f>2173000/1000</f>
        <v>2173</v>
      </c>
      <c r="P13" s="3">
        <f t="shared" si="1"/>
        <v>621</v>
      </c>
      <c r="Q13" s="3">
        <f t="shared" si="6"/>
        <v>0</v>
      </c>
      <c r="R13" s="3">
        <f t="shared" si="7"/>
        <v>1</v>
      </c>
    </row>
    <row r="14" spans="1:18">
      <c r="A14" s="8" t="s">
        <v>30</v>
      </c>
      <c r="B14" s="9">
        <f>3430000/1000</f>
        <v>3430</v>
      </c>
      <c r="C14" s="9">
        <f>(-1612000-921000-140000)/1000</f>
        <v>-2673</v>
      </c>
      <c r="D14" s="3">
        <f t="shared" si="0"/>
        <v>757</v>
      </c>
      <c r="E14" s="9">
        <v>-92</v>
      </c>
      <c r="F14" s="10">
        <f>-69000/1000</f>
        <v>-69</v>
      </c>
      <c r="G14" s="10">
        <f>638000/1000</f>
        <v>638</v>
      </c>
      <c r="H14" s="10">
        <f>1409.018815*1000000</f>
        <v>1409018815</v>
      </c>
      <c r="I14" s="10">
        <f>(32365000/1000)-J14</f>
        <v>30989</v>
      </c>
      <c r="J14" s="10">
        <f>1376000/1000</f>
        <v>1376</v>
      </c>
      <c r="K14" s="10">
        <f>8815000/1000</f>
        <v>8815</v>
      </c>
      <c r="L14" s="10">
        <f>3114000/1000</f>
        <v>3114</v>
      </c>
      <c r="M14" s="10">
        <f>93000/1000</f>
        <v>93</v>
      </c>
      <c r="N14" s="10">
        <f>-1767000/1000</f>
        <v>-1767</v>
      </c>
      <c r="O14" s="10">
        <f>2144000/1000</f>
        <v>2144</v>
      </c>
      <c r="P14" s="3">
        <f t="shared" si="1"/>
        <v>470</v>
      </c>
      <c r="Q14" s="3">
        <f t="shared" si="8"/>
        <v>1</v>
      </c>
      <c r="R14" s="3">
        <f t="shared" si="9"/>
        <v>0</v>
      </c>
    </row>
    <row r="15" spans="1:18">
      <c r="A15" s="11" t="s">
        <v>31</v>
      </c>
      <c r="B15" s="10">
        <f>2100000/1000</f>
        <v>2100</v>
      </c>
      <c r="C15" s="10">
        <f>(-914000-589000+131000)/1000</f>
        <v>-1372</v>
      </c>
      <c r="D15" s="3">
        <f t="shared" si="0"/>
        <v>728</v>
      </c>
      <c r="E15" s="10">
        <f>178000/1000</f>
        <v>178</v>
      </c>
      <c r="F15" s="10">
        <f>207000/1000</f>
        <v>207</v>
      </c>
      <c r="G15" s="10">
        <f>880000/1000</f>
        <v>880</v>
      </c>
      <c r="H15" s="10">
        <f>1547.521924*1000000</f>
        <v>1547521924</v>
      </c>
      <c r="I15" s="10">
        <f>(37817000/1000)-J15</f>
        <v>36439</v>
      </c>
      <c r="J15" s="10">
        <f>1378000/1000</f>
        <v>1378</v>
      </c>
      <c r="K15" s="10">
        <f>10472000/1000</f>
        <v>10472</v>
      </c>
      <c r="L15" s="10">
        <f>3783000/1000</f>
        <v>3783</v>
      </c>
      <c r="M15" s="10">
        <f>433000/1000</f>
        <v>433</v>
      </c>
      <c r="N15" s="10">
        <f>-1663000/1000</f>
        <v>-1663</v>
      </c>
      <c r="O15" s="10">
        <f>1266000/1000</f>
        <v>1266</v>
      </c>
      <c r="P15" s="3">
        <f t="shared" si="1"/>
        <v>36</v>
      </c>
      <c r="Q15" s="3">
        <f t="shared" ref="Q15:Q19" si="10">0</f>
        <v>0</v>
      </c>
      <c r="R15" s="3">
        <f t="shared" ref="R15:R19" si="11">1</f>
        <v>1</v>
      </c>
    </row>
    <row r="16" spans="1:18">
      <c r="A16" t="s">
        <v>32</v>
      </c>
      <c r="B16" s="3">
        <f>4206000/1000</f>
        <v>4206</v>
      </c>
      <c r="C16" s="3">
        <f>(-1874000-1157000+67000)/1000</f>
        <v>-2964</v>
      </c>
      <c r="D16" s="3">
        <f t="shared" si="0"/>
        <v>1242</v>
      </c>
      <c r="E16" s="3">
        <f>142000/1000</f>
        <v>142</v>
      </c>
      <c r="F16" s="3">
        <f>106000/1000</f>
        <v>106</v>
      </c>
      <c r="G16" s="3">
        <f>1495000/1000</f>
        <v>1495</v>
      </c>
      <c r="H16" s="3">
        <f>1547.521924*1000000</f>
        <v>1547521924</v>
      </c>
      <c r="I16" s="3">
        <f>(37691000/1000)-J16</f>
        <v>36395</v>
      </c>
      <c r="J16" s="3">
        <f>1296000/1000</f>
        <v>1296</v>
      </c>
      <c r="K16" s="3">
        <f>9932000/1000</f>
        <v>9932</v>
      </c>
      <c r="L16" s="10">
        <f>4512000/1000</f>
        <v>4512</v>
      </c>
      <c r="M16" s="10">
        <f>204000/1000</f>
        <v>204</v>
      </c>
      <c r="N16" s="10">
        <f>-1741000/1000</f>
        <v>-1741</v>
      </c>
      <c r="O16" s="10">
        <f>1352000/1000</f>
        <v>1352</v>
      </c>
      <c r="P16" s="3">
        <f t="shared" si="1"/>
        <v>-185</v>
      </c>
      <c r="Q16" s="3">
        <f t="shared" ref="Q16:Q20" si="12">1</f>
        <v>1</v>
      </c>
      <c r="R16" s="3">
        <f t="shared" ref="R16:R20" si="13">0</f>
        <v>0</v>
      </c>
    </row>
    <row r="17" spans="1:18">
      <c r="A17" t="s">
        <v>33</v>
      </c>
      <c r="B17" s="3">
        <f>2228000/1000</f>
        <v>2228</v>
      </c>
      <c r="C17" s="3">
        <f>(-1003000-584000-53000)/1000</f>
        <v>-1640</v>
      </c>
      <c r="D17" s="3">
        <f t="shared" si="0"/>
        <v>588</v>
      </c>
      <c r="E17" s="3">
        <f>-98000/1000</f>
        <v>-98</v>
      </c>
      <c r="F17" s="3">
        <f>-166000/1000</f>
        <v>-166</v>
      </c>
      <c r="G17" s="3">
        <f>504000/1000</f>
        <v>504</v>
      </c>
      <c r="H17" s="3">
        <f>1571.517392*1000000</f>
        <v>1571517392</v>
      </c>
      <c r="I17" s="3">
        <f>(41325000/1000)-J17</f>
        <v>39885</v>
      </c>
      <c r="J17" s="3">
        <f>1440000/1000</f>
        <v>1440</v>
      </c>
      <c r="K17" s="3">
        <f>10756000/1000</f>
        <v>10756</v>
      </c>
      <c r="L17" s="10">
        <f>5410000/1000</f>
        <v>5410</v>
      </c>
      <c r="M17" s="10">
        <f>-75000/1000</f>
        <v>-75</v>
      </c>
      <c r="N17" s="10">
        <f>-1767000/1000</f>
        <v>-1767</v>
      </c>
      <c r="O17" s="10">
        <f>2055000/1000</f>
        <v>2055</v>
      </c>
      <c r="P17" s="3">
        <f t="shared" si="1"/>
        <v>213</v>
      </c>
      <c r="Q17" s="3">
        <f t="shared" si="10"/>
        <v>0</v>
      </c>
      <c r="R17" s="3">
        <f t="shared" si="11"/>
        <v>1</v>
      </c>
    </row>
    <row r="18" spans="1:18">
      <c r="A18" t="s">
        <v>34</v>
      </c>
      <c r="B18" s="3">
        <f>4615000/1000</f>
        <v>4615</v>
      </c>
      <c r="C18" s="3">
        <f>(-2070000-1237000-111000)/1000</f>
        <v>-3418</v>
      </c>
      <c r="D18" s="3">
        <f t="shared" si="0"/>
        <v>1197</v>
      </c>
      <c r="E18" s="3">
        <f>-114000/1000</f>
        <v>-114</v>
      </c>
      <c r="F18" s="3">
        <f>-235000/1000</f>
        <v>-235</v>
      </c>
      <c r="G18" s="3">
        <f>1664000/1000</f>
        <v>1664</v>
      </c>
      <c r="H18" s="3">
        <f>1591.971441*1000000</f>
        <v>1591971441</v>
      </c>
      <c r="I18" s="3">
        <f>(48664000/1000)-J18</f>
        <v>47466</v>
      </c>
      <c r="J18" s="3">
        <f>1198000/1000</f>
        <v>1198</v>
      </c>
      <c r="K18" s="3">
        <f>15983000/1000</f>
        <v>15983</v>
      </c>
      <c r="L18" s="3">
        <f>5906000/1000</f>
        <v>5906</v>
      </c>
      <c r="M18" s="3">
        <f>-36000/1000</f>
        <v>-36</v>
      </c>
      <c r="N18" s="3">
        <f>-7531000/1000</f>
        <v>-7531</v>
      </c>
      <c r="O18" s="3">
        <f>7493000/1000</f>
        <v>7493</v>
      </c>
      <c r="P18" s="3">
        <f t="shared" si="1"/>
        <v>-74</v>
      </c>
      <c r="Q18" s="3">
        <f t="shared" si="12"/>
        <v>1</v>
      </c>
      <c r="R18" s="3">
        <f t="shared" si="13"/>
        <v>0</v>
      </c>
    </row>
    <row r="19" spans="1:18">
      <c r="A19" t="s">
        <v>35</v>
      </c>
      <c r="B19" s="3">
        <f>2866000/1000</f>
        <v>2866</v>
      </c>
      <c r="C19" s="3">
        <f>(-1284000-938000-53000)/1000</f>
        <v>-2275</v>
      </c>
      <c r="D19" s="3">
        <f t="shared" si="0"/>
        <v>591</v>
      </c>
      <c r="E19" s="3">
        <f>-183000/1000</f>
        <v>-183</v>
      </c>
      <c r="F19" s="3">
        <f>-371000/1000</f>
        <v>-371</v>
      </c>
      <c r="G19" s="3">
        <f>788000/1000</f>
        <v>788</v>
      </c>
      <c r="H19" s="3">
        <f>1767.603559*1000000</f>
        <v>1767603559</v>
      </c>
      <c r="I19" s="3">
        <f>(58780000/1000)-J19</f>
        <v>56214</v>
      </c>
      <c r="J19" s="3">
        <f>2566000/1000</f>
        <v>2566</v>
      </c>
      <c r="K19" s="3">
        <f>20124000/1000</f>
        <v>20124</v>
      </c>
      <c r="L19" s="3">
        <f>5740000/1000</f>
        <v>5740</v>
      </c>
      <c r="M19" s="3">
        <f>-206000/1000</f>
        <v>-206</v>
      </c>
      <c r="N19" s="3">
        <f>-1167000/1000</f>
        <v>-1167</v>
      </c>
      <c r="O19" s="3">
        <f>1441000/1000</f>
        <v>1441</v>
      </c>
      <c r="P19" s="3">
        <f t="shared" si="1"/>
        <v>68</v>
      </c>
      <c r="Q19" s="3">
        <f t="shared" si="10"/>
        <v>0</v>
      </c>
      <c r="R19" s="3">
        <f t="shared" si="11"/>
        <v>1</v>
      </c>
    </row>
    <row r="20" spans="1:18">
      <c r="A20" t="s">
        <v>36</v>
      </c>
      <c r="B20" s="3">
        <f>5782000/1000</f>
        <v>5782</v>
      </c>
      <c r="C20" s="3">
        <f>(-2725000-1782000)/1000</f>
        <v>-4507</v>
      </c>
      <c r="D20" s="3">
        <f t="shared" si="0"/>
        <v>1275</v>
      </c>
      <c r="E20" s="3">
        <f>-249000/1000</f>
        <v>-249</v>
      </c>
      <c r="F20" s="3">
        <f>-709000/1000</f>
        <v>-709</v>
      </c>
      <c r="G20" s="3">
        <f>2623000/1000</f>
        <v>2623</v>
      </c>
      <c r="H20" s="3">
        <f>1891.558328*1000000</f>
        <v>1891558328</v>
      </c>
      <c r="I20" s="3">
        <f>(64154000/1000)-J20</f>
        <v>61112</v>
      </c>
      <c r="J20" s="3">
        <f>3042000/1000</f>
        <v>3042</v>
      </c>
      <c r="K20" s="3">
        <f>18906000/1000</f>
        <v>18906</v>
      </c>
      <c r="L20" s="3">
        <f>4764000/1000</f>
        <v>4764</v>
      </c>
      <c r="M20" s="3">
        <f>-166000/1000</f>
        <v>-166</v>
      </c>
      <c r="N20" s="3">
        <f>-1550000/1000</f>
        <v>-1550</v>
      </c>
      <c r="O20" s="3">
        <f>3228000/1000</f>
        <v>3228</v>
      </c>
      <c r="P20" s="3">
        <f t="shared" si="1"/>
        <v>1512</v>
      </c>
      <c r="Q20" s="3">
        <f t="shared" si="12"/>
        <v>1</v>
      </c>
      <c r="R20" s="3">
        <f t="shared" si="13"/>
        <v>0</v>
      </c>
    </row>
    <row r="21" spans="1:18">
      <c r="A21" s="2" t="s">
        <v>37</v>
      </c>
      <c r="B21" s="3">
        <f>3045000/1000</f>
        <v>3045</v>
      </c>
      <c r="C21" s="3">
        <f>(-874000-47000)/1000</f>
        <v>-921</v>
      </c>
      <c r="D21" s="3">
        <f t="shared" si="0"/>
        <v>2124</v>
      </c>
      <c r="E21" s="3">
        <f>2915000/1000</f>
        <v>2915</v>
      </c>
      <c r="F21" s="3">
        <f>2897000/1000</f>
        <v>2897</v>
      </c>
      <c r="G21" s="3">
        <f>1449000/1000</f>
        <v>1449</v>
      </c>
      <c r="H21" s="3">
        <f>1921.573203*1000000</f>
        <v>1921573203</v>
      </c>
      <c r="I21" s="3">
        <f>(67051000/1000)-J21</f>
        <v>64489</v>
      </c>
      <c r="J21" s="3">
        <f>2562000/1000</f>
        <v>2562</v>
      </c>
      <c r="K21" s="3">
        <f>19061000/1000</f>
        <v>19061</v>
      </c>
      <c r="L21" s="3">
        <f>2888000/1000</f>
        <v>2888</v>
      </c>
      <c r="M21" s="3">
        <f>-114000/1000</f>
        <v>-114</v>
      </c>
      <c r="N21" s="3">
        <f>-682000/1000</f>
        <v>-682</v>
      </c>
      <c r="O21" s="3">
        <f>480000/1000</f>
        <v>480</v>
      </c>
      <c r="P21" s="3">
        <f t="shared" si="1"/>
        <v>-316</v>
      </c>
      <c r="Q21" s="3">
        <f t="shared" ref="Q21:Q25" si="14">0</f>
        <v>0</v>
      </c>
      <c r="R21" s="3">
        <f t="shared" ref="R21:R25" si="15">1</f>
        <v>1</v>
      </c>
    </row>
    <row r="22" spans="1:18">
      <c r="A22" s="2" t="s">
        <v>38</v>
      </c>
      <c r="B22" s="3">
        <f>6605000/1000</f>
        <v>6605</v>
      </c>
      <c r="C22" s="3">
        <f>-1748000/1000</f>
        <v>-1748</v>
      </c>
      <c r="D22" s="3">
        <f t="shared" si="0"/>
        <v>4857</v>
      </c>
      <c r="E22" s="3">
        <f>6147000/1000</f>
        <v>6147</v>
      </c>
      <c r="F22" s="3">
        <f>5977000/1000</f>
        <v>5977</v>
      </c>
      <c r="G22" s="3">
        <f>3080000/1000</f>
        <v>3080</v>
      </c>
      <c r="H22" s="3">
        <f>1996.917123*1000000</f>
        <v>1996917123</v>
      </c>
      <c r="I22" s="3">
        <f>(83244000/1000)-J22</f>
        <v>81573</v>
      </c>
      <c r="J22" s="3">
        <f>1671000/1000</f>
        <v>1671</v>
      </c>
      <c r="K22" s="3">
        <f>21591000/1000</f>
        <v>21591</v>
      </c>
      <c r="L22" s="3">
        <f>6153000/1000</f>
        <v>6153</v>
      </c>
      <c r="M22" s="3">
        <f>-34000/1000</f>
        <v>-34</v>
      </c>
      <c r="N22" s="3">
        <f>-7253000/1000</f>
        <v>-7253</v>
      </c>
      <c r="O22" s="3">
        <f>5742000/1000</f>
        <v>5742</v>
      </c>
      <c r="P22" s="3">
        <f t="shared" si="1"/>
        <v>-1545</v>
      </c>
      <c r="Q22" s="3">
        <f t="shared" ref="Q22:Q26" si="16">1</f>
        <v>1</v>
      </c>
      <c r="R22" s="3">
        <f t="shared" ref="R22:R26" si="17">0</f>
        <v>0</v>
      </c>
    </row>
    <row r="23" spans="1:18">
      <c r="A23" s="2" t="s">
        <v>39</v>
      </c>
      <c r="B23" s="3">
        <f>3776000/1000</f>
        <v>3776</v>
      </c>
      <c r="C23" s="3">
        <f>-1016000/1000</f>
        <v>-1016</v>
      </c>
      <c r="D23" s="3">
        <f t="shared" si="0"/>
        <v>2760</v>
      </c>
      <c r="E23" s="3">
        <f>3940000/1000</f>
        <v>3940</v>
      </c>
      <c r="F23" s="3">
        <f>3804000/1000</f>
        <v>3804</v>
      </c>
      <c r="G23" s="3">
        <f>1623000/1000</f>
        <v>1623</v>
      </c>
      <c r="H23" s="3">
        <f>2279.099073*1000000</f>
        <v>2279099073</v>
      </c>
      <c r="I23" s="3">
        <f>(86616000/1000)-J23</f>
        <v>84214</v>
      </c>
      <c r="J23" s="3">
        <f>2402000/1000</f>
        <v>2402</v>
      </c>
      <c r="K23" s="3">
        <f>23424000/1000</f>
        <v>23424</v>
      </c>
      <c r="L23" s="3">
        <f>4406000/1000</f>
        <v>4406</v>
      </c>
      <c r="M23" s="3">
        <f>92000/1000</f>
        <v>92</v>
      </c>
      <c r="N23" s="3">
        <f>-898000/1000</f>
        <v>-898</v>
      </c>
      <c r="O23" s="3">
        <f>1136000/1000</f>
        <v>1136</v>
      </c>
      <c r="P23" s="3">
        <f t="shared" si="1"/>
        <v>330</v>
      </c>
      <c r="Q23" s="3">
        <f t="shared" si="14"/>
        <v>0</v>
      </c>
      <c r="R23" s="3">
        <f t="shared" si="15"/>
        <v>1</v>
      </c>
    </row>
    <row r="24" spans="1:18">
      <c r="A24" s="2" t="s">
        <v>40</v>
      </c>
      <c r="B24" s="3">
        <f>7870000/1000</f>
        <v>7870</v>
      </c>
      <c r="C24" s="3">
        <f>-2086000/1000</f>
        <v>-2086</v>
      </c>
      <c r="D24" s="3">
        <f t="shared" si="0"/>
        <v>5784</v>
      </c>
      <c r="E24" s="3">
        <f>8168000/1000</f>
        <v>8168</v>
      </c>
      <c r="F24" s="3">
        <f>7904000/1000</f>
        <v>7904</v>
      </c>
      <c r="G24" s="3">
        <f>3526000/1000</f>
        <v>3526</v>
      </c>
      <c r="H24" s="3">
        <f>2359.724314*1000000</f>
        <v>2359724314</v>
      </c>
      <c r="I24" s="3">
        <f>(106403000/1000)-J24</f>
        <v>103187</v>
      </c>
      <c r="J24" s="3">
        <f>3216000/1000</f>
        <v>3216</v>
      </c>
      <c r="K24" s="3">
        <f>28755000/1000</f>
        <v>28755</v>
      </c>
      <c r="L24" s="3">
        <f>7949000/1000</f>
        <v>7949</v>
      </c>
      <c r="M24" s="3">
        <f>-1357000/1000</f>
        <v>-1357</v>
      </c>
      <c r="N24" s="3">
        <f>-2283000/1000</f>
        <v>-2283</v>
      </c>
      <c r="O24" s="3">
        <f>3781000/1000</f>
        <v>3781</v>
      </c>
      <c r="P24" s="3">
        <f t="shared" si="1"/>
        <v>141</v>
      </c>
      <c r="Q24" s="3">
        <f t="shared" si="16"/>
        <v>1</v>
      </c>
      <c r="R24" s="3">
        <f t="shared" si="17"/>
        <v>0</v>
      </c>
    </row>
    <row r="25" spans="1:18">
      <c r="A25" s="2" t="s">
        <v>41</v>
      </c>
      <c r="B25" s="3">
        <f>4777000/1000</f>
        <v>4777</v>
      </c>
      <c r="C25" s="3">
        <f>-1217000/1000</f>
        <v>-1217</v>
      </c>
      <c r="D25" s="3">
        <f t="shared" si="0"/>
        <v>3560</v>
      </c>
      <c r="E25" s="3">
        <f>4504000/1000</f>
        <v>4504</v>
      </c>
      <c r="F25" s="3">
        <f>3654000/1000</f>
        <v>3654</v>
      </c>
      <c r="G25" s="3">
        <f>1611000/1000</f>
        <v>1611</v>
      </c>
      <c r="H25" s="3">
        <f>2697.710851*1000000</f>
        <v>2697710851</v>
      </c>
      <c r="I25" s="3">
        <f>(116322000/1000)-J25</f>
        <v>112922</v>
      </c>
      <c r="J25" s="3">
        <f>3400000/1000</f>
        <v>3400</v>
      </c>
      <c r="K25" s="3">
        <f>30369000/1000</f>
        <v>30369</v>
      </c>
      <c r="L25" s="3">
        <f>9719000/1000</f>
        <v>9719</v>
      </c>
      <c r="M25" s="3">
        <f>1503000/1000</f>
        <v>1503</v>
      </c>
      <c r="N25" s="3">
        <f>-1577000/1000</f>
        <v>-1577</v>
      </c>
      <c r="O25" s="3">
        <f>334000/1000</f>
        <v>334</v>
      </c>
      <c r="P25" s="3">
        <f t="shared" si="1"/>
        <v>260</v>
      </c>
      <c r="Q25" s="3">
        <f t="shared" si="14"/>
        <v>0</v>
      </c>
      <c r="R25" s="3">
        <f t="shared" si="15"/>
        <v>1</v>
      </c>
    </row>
    <row r="26" spans="1:18">
      <c r="A26" s="2" t="s">
        <v>42</v>
      </c>
      <c r="B26" s="3">
        <f>10219000/1000</f>
        <v>10219</v>
      </c>
      <c r="C26" s="3">
        <f>-2466000/1000</f>
        <v>-2466</v>
      </c>
      <c r="D26" s="3">
        <f t="shared" si="0"/>
        <v>7753</v>
      </c>
      <c r="E26" s="3">
        <f>6808000/1000</f>
        <v>6808</v>
      </c>
      <c r="F26" s="3">
        <f>5967000/1000</f>
        <v>5967</v>
      </c>
      <c r="G26" s="3">
        <f>3811000/1000</f>
        <v>3811</v>
      </c>
      <c r="H26" s="3">
        <f>2711.111433*1000000</f>
        <v>2711111433</v>
      </c>
      <c r="I26" s="3">
        <f>(118527000/1000)-J26</f>
        <v>113176</v>
      </c>
      <c r="J26" s="3">
        <f>5351000/1000</f>
        <v>5351</v>
      </c>
      <c r="K26" s="3">
        <f>35183000/1000</f>
        <v>35183</v>
      </c>
      <c r="L26" s="3">
        <f>6796000/1000</f>
        <v>6796</v>
      </c>
      <c r="M26" s="3">
        <f>684000/1000</f>
        <v>684</v>
      </c>
      <c r="N26" s="3">
        <f>-5266000/1000</f>
        <v>-5266</v>
      </c>
      <c r="O26" s="3">
        <f>4923000/1000</f>
        <v>4923</v>
      </c>
      <c r="P26" s="3">
        <f t="shared" si="1"/>
        <v>341</v>
      </c>
      <c r="Q26" s="3">
        <f t="shared" si="16"/>
        <v>1</v>
      </c>
      <c r="R26" s="3">
        <f t="shared" si="17"/>
        <v>0</v>
      </c>
    </row>
    <row r="27" spans="1:18">
      <c r="A27" s="2" t="s">
        <v>43</v>
      </c>
      <c r="B27" s="3">
        <f>5218000/1000</f>
        <v>5218</v>
      </c>
      <c r="C27" s="3">
        <f>-1254000/1000</f>
        <v>-1254</v>
      </c>
      <c r="D27" s="3">
        <f t="shared" si="0"/>
        <v>3964</v>
      </c>
      <c r="E27" s="3">
        <f>4639000/1000</f>
        <v>4639</v>
      </c>
      <c r="F27" s="3">
        <f>4776000/1000</f>
        <v>4776</v>
      </c>
      <c r="G27" s="3">
        <f>2783000/1000</f>
        <v>2783</v>
      </c>
      <c r="H27" s="3">
        <f>2779.720157*1000000</f>
        <v>2779720157</v>
      </c>
      <c r="I27" s="3">
        <f>(126194000/1000)-J27</f>
        <v>120833</v>
      </c>
      <c r="J27" s="3">
        <f>5361000/1000</f>
        <v>5361</v>
      </c>
      <c r="K27" s="3">
        <f>37941000/1000</f>
        <v>37941</v>
      </c>
      <c r="L27" s="3">
        <f>9941000/1000</f>
        <v>9941</v>
      </c>
      <c r="M27" s="3">
        <f>-230000/1000</f>
        <v>-230</v>
      </c>
      <c r="N27" s="3">
        <f>-8764000/1000</f>
        <v>-8764</v>
      </c>
      <c r="O27" s="3">
        <f>9165000/1000</f>
        <v>9165</v>
      </c>
      <c r="P27" s="3">
        <f t="shared" si="1"/>
        <v>171</v>
      </c>
      <c r="Q27" s="3">
        <f>0</f>
        <v>0</v>
      </c>
      <c r="R27" s="3">
        <f>1</f>
        <v>1</v>
      </c>
    </row>
    <row r="28" spans="1:18">
      <c r="A28" s="2" t="s">
        <v>44</v>
      </c>
      <c r="B28" s="3">
        <f>10755000/1000</f>
        <v>10755</v>
      </c>
      <c r="C28" s="3">
        <f>-2510000/1000</f>
        <v>-2510</v>
      </c>
      <c r="D28" s="3">
        <f t="shared" si="0"/>
        <v>8245</v>
      </c>
      <c r="E28" s="3">
        <f>8495000/1000</f>
        <v>8495</v>
      </c>
      <c r="F28" s="3">
        <f>8447000/1000</f>
        <v>8447</v>
      </c>
      <c r="G28" s="3">
        <f>5049000/1000</f>
        <v>5049</v>
      </c>
      <c r="H28" s="3">
        <f>2786.093366*1000000</f>
        <v>2786093366</v>
      </c>
      <c r="I28" s="3">
        <f>(126857000/1000)-J28</f>
        <v>121789</v>
      </c>
      <c r="J28" s="3">
        <f>5068000/1000</f>
        <v>5068</v>
      </c>
      <c r="K28" s="3">
        <f>42568000/1000</f>
        <v>42568</v>
      </c>
      <c r="L28" s="3">
        <f>3203000/1000</f>
        <v>3203</v>
      </c>
      <c r="M28" s="3">
        <f>-603000/1000</f>
        <v>-603</v>
      </c>
      <c r="N28" s="3">
        <f>-8637000/1000</f>
        <v>-8637</v>
      </c>
      <c r="O28" s="3">
        <f>8993000/1000</f>
        <v>8993</v>
      </c>
      <c r="P28" s="3">
        <f t="shared" si="1"/>
        <v>-247</v>
      </c>
      <c r="Q28" s="3">
        <f>1</f>
        <v>1</v>
      </c>
      <c r="R28" s="3">
        <f>0</f>
        <v>0</v>
      </c>
    </row>
    <row r="29" spans="1:18">
      <c r="A29" t="s">
        <v>45</v>
      </c>
      <c r="B29">
        <f>5487</f>
        <v>5487</v>
      </c>
      <c r="C29">
        <f>-1192</f>
        <v>-1192</v>
      </c>
      <c r="D29" s="3">
        <f>B29+C29</f>
        <v>4295</v>
      </c>
      <c r="E29">
        <f>4089</f>
        <v>4089</v>
      </c>
      <c r="F29">
        <f>5526</f>
        <v>5526</v>
      </c>
      <c r="G29">
        <f>5092</f>
        <v>5092</v>
      </c>
      <c r="H29">
        <v>2906954088</v>
      </c>
      <c r="I29">
        <f>160+111145+353+12142+14+2314</f>
        <v>126128</v>
      </c>
      <c r="J29">
        <f>631+3697+697+722</f>
        <v>5747</v>
      </c>
      <c r="K29">
        <f>43810+2441</f>
        <v>46251</v>
      </c>
      <c r="L29">
        <f>2739+566+71+43810</f>
        <v>47186</v>
      </c>
      <c r="M29">
        <f>-379</f>
        <v>-379</v>
      </c>
      <c r="N29">
        <f>-1917</f>
        <v>-1917</v>
      </c>
      <c r="O29">
        <f>2331</f>
        <v>2331</v>
      </c>
      <c r="P29" s="3">
        <f>SUM(M29:O29)</f>
        <v>35</v>
      </c>
      <c r="Q29">
        <v>0</v>
      </c>
      <c r="R29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2017-12-11T16:28:00Z</dcterms:created>
  <dcterms:modified xsi:type="dcterms:W3CDTF">2018-03-12T15:27:57Z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