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480" windowHeight="268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<sst xmlns="http://schemas.openxmlformats.org/spreadsheetml/2006/main" count="42">
  <si>
    <t>Date</t>
  </si>
  <si>
    <t>Revenue</t>
  </si>
  <si>
    <t>Cost of sales</t>
  </si>
  <si>
    <t>Gross profit</t>
  </si>
  <si>
    <t>Operating profit</t>
  </si>
  <si>
    <t>Net profit</t>
  </si>
  <si>
    <t>Headline earnings</t>
  </si>
  <si>
    <t>Shares in issue</t>
  </si>
  <si>
    <t>Non-current assets</t>
  </si>
  <si>
    <t>Current assets</t>
  </si>
  <si>
    <t>Non-current liabilities</t>
  </si>
  <si>
    <t>Current liabilities</t>
  </si>
  <si>
    <t>Cash from operations</t>
  </si>
  <si>
    <t>Cash from investing</t>
  </si>
  <si>
    <t>Cash from financing</t>
  </si>
  <si>
    <t>Change in cash</t>
  </si>
  <si>
    <t>Full year</t>
  </si>
  <si>
    <t>Half year</t>
  </si>
  <si>
    <t>11-03-2005</t>
  </si>
  <si>
    <t>01-03-2006</t>
  </si>
  <si>
    <t>21-03-2007</t>
  </si>
  <si>
    <t>08-03-2008</t>
  </si>
  <si>
    <t>31-07-2008</t>
  </si>
  <si>
    <t>07-03-2009</t>
  </si>
  <si>
    <t>30-07-2009</t>
  </si>
  <si>
    <t>12-03-2010</t>
  </si>
  <si>
    <t>11-08-2010</t>
  </si>
  <si>
    <t>12-03-2011</t>
  </si>
  <si>
    <t>03-08-2011</t>
  </si>
  <si>
    <t>17-03-2012</t>
  </si>
  <si>
    <t>04-08-2012</t>
  </si>
  <si>
    <t>20-03-2013</t>
  </si>
  <si>
    <t>06-08-2013</t>
  </si>
  <si>
    <t>19-03-2014</t>
  </si>
  <si>
    <t>08-08-2014</t>
  </si>
  <si>
    <t>20-03-2015</t>
  </si>
  <si>
    <t>14-08-2015</t>
  </si>
  <si>
    <t>23-03-2016</t>
  </si>
  <si>
    <t>13-08-2016</t>
  </si>
  <si>
    <t>23-03-2017</t>
  </si>
  <si>
    <t>18-08-2017</t>
  </si>
  <si>
    <t>20-02-2018</t>
  </si>
</sst>
</file>

<file path=xl/styles.xml><?xml version="1.0" encoding="utf-8"?>
<styleSheet xmlns="http://schemas.openxmlformats.org/spreadsheetml/2006/main">
  <numFmts count="5">
    <numFmt numFmtId="176" formatCode="_ * #,##0_ ;_ * \-#,##0_ ;_ * &quot;-&quot;_ ;_ @_ "/>
    <numFmt numFmtId="177" formatCode="_ * #,##0.00_ ;_ * \-#,##0.00_ ;_ * &quot;-&quot;??_ ;_ @_ "/>
    <numFmt numFmtId="178" formatCode="0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0"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" fillId="20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6" borderId="2" applyNumberFormat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0" fillId="21" borderId="4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" fillId="4" borderId="1" applyNumberFormat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4" fillId="3" borderId="6" applyNumberForma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</cellStyleXfs>
  <cellXfs count="4">
    <xf numFmtId="0" fontId="0" fillId="0" borderId="0" xfId="0"/>
    <xf numFmtId="49" fontId="0" fillId="0" borderId="0" xfId="0" applyNumberFormat="1"/>
    <xf numFmtId="178" fontId="0" fillId="0" borderId="0" xfId="0" applyNumberFormat="1"/>
    <xf numFmtId="49" fontId="0" fillId="0" borderId="0" xfId="0" applyNumberFormat="1" applyFill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R41"/>
  <sheetViews>
    <sheetView tabSelected="1" workbookViewId="0">
      <selection activeCell="A1" sqref="A1"/>
    </sheetView>
  </sheetViews>
  <sheetFormatPr defaultColWidth="9" defaultRowHeight="15"/>
  <cols>
    <col min="1" max="1" width="11.1428571428571" customWidth="1"/>
    <col min="2" max="2" width="9.42857142857143" customWidth="1"/>
    <col min="3" max="3" width="12.8571428571429" customWidth="1"/>
    <col min="4" max="4" width="12.1428571428571" customWidth="1"/>
    <col min="5" max="5" width="16.5714285714286" customWidth="1"/>
    <col min="6" max="6" width="10.2857142857143" customWidth="1"/>
    <col min="7" max="7" width="18.5714285714286" customWidth="1"/>
    <col min="8" max="8" width="15.1428571428571" customWidth="1"/>
    <col min="9" max="9" width="19.2857142857143" customWidth="1"/>
    <col min="10" max="10" width="14.7142857142857" customWidth="1"/>
    <col min="11" max="11" width="22.5714285714286" customWidth="1"/>
    <col min="12" max="12" width="17.8571428571429" customWidth="1"/>
    <col min="13" max="13" width="21.7142857142857" customWidth="1"/>
    <col min="14" max="15" width="20.1428571428571" customWidth="1"/>
    <col min="16" max="16" width="15.1428571428571" customWidth="1"/>
    <col min="17" max="17" width="9.14285714285714" customWidth="1"/>
    <col min="18" max="18" width="9.42857142857143" customWidth="1"/>
  </cols>
  <sheetData>
    <row r="1" spans="1:1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>
      <c r="A2" s="1" t="s">
        <v>18</v>
      </c>
      <c r="B2">
        <f>16150</f>
        <v>16150</v>
      </c>
      <c r="C2">
        <f>-12933</f>
        <v>-12933</v>
      </c>
      <c r="D2">
        <f t="shared" ref="D2:D25" si="0">B2+C2</f>
        <v>3217</v>
      </c>
      <c r="E2">
        <f>638</f>
        <v>638</v>
      </c>
      <c r="F2">
        <f>691</f>
        <v>691</v>
      </c>
      <c r="G2">
        <f>567</f>
        <v>567</v>
      </c>
      <c r="H2" s="2">
        <f>252.048301*1000000</f>
        <v>252048301</v>
      </c>
      <c r="I2">
        <f>37588</f>
        <v>37588</v>
      </c>
      <c r="J2">
        <f>8640</f>
        <v>8640</v>
      </c>
      <c r="K2">
        <f>19848</f>
        <v>19848</v>
      </c>
      <c r="L2">
        <f>7825</f>
        <v>7825</v>
      </c>
      <c r="M2">
        <f>2910</f>
        <v>2910</v>
      </c>
      <c r="N2">
        <f>-5138</f>
        <v>-5138</v>
      </c>
      <c r="O2">
        <f>815</f>
        <v>815</v>
      </c>
      <c r="P2">
        <f>1758-3367</f>
        <v>-1609</v>
      </c>
      <c r="Q2">
        <f>1</f>
        <v>1</v>
      </c>
      <c r="R2">
        <f>0</f>
        <v>0</v>
      </c>
    </row>
    <row r="3" spans="1:18">
      <c r="A3" s="1" t="s">
        <v>19</v>
      </c>
      <c r="B3">
        <f>17388</f>
        <v>17388</v>
      </c>
      <c r="C3">
        <f>-14713-949</f>
        <v>-15662</v>
      </c>
      <c r="D3">
        <f t="shared" si="0"/>
        <v>1726</v>
      </c>
      <c r="E3">
        <f>-320</f>
        <v>-320</v>
      </c>
      <c r="F3">
        <f>-1116</f>
        <v>-1116</v>
      </c>
      <c r="G3">
        <f>-477</f>
        <v>-477</v>
      </c>
      <c r="H3" s="2">
        <v>264635634</v>
      </c>
      <c r="I3">
        <f>42794</f>
        <v>42794</v>
      </c>
      <c r="J3">
        <f>9728</f>
        <v>9728</v>
      </c>
      <c r="K3">
        <f>24239</f>
        <v>24239</v>
      </c>
      <c r="L3">
        <f>11425</f>
        <v>11425</v>
      </c>
      <c r="M3">
        <f>3892</f>
        <v>3892</v>
      </c>
      <c r="N3">
        <f>-4886</f>
        <v>-4886</v>
      </c>
      <c r="O3">
        <f>549</f>
        <v>549</v>
      </c>
      <c r="P3">
        <f>1328-1630</f>
        <v>-302</v>
      </c>
      <c r="Q3">
        <f>1</f>
        <v>1</v>
      </c>
      <c r="R3">
        <f>0</f>
        <v>0</v>
      </c>
    </row>
    <row r="4" spans="1:18">
      <c r="A4" s="1" t="s">
        <v>20</v>
      </c>
      <c r="B4">
        <f>21104</f>
        <v>21104</v>
      </c>
      <c r="C4">
        <f>-15482</f>
        <v>-15482</v>
      </c>
      <c r="D4">
        <f t="shared" si="0"/>
        <v>5622</v>
      </c>
      <c r="E4">
        <f>1349</f>
        <v>1349</v>
      </c>
      <c r="F4">
        <f>-385</f>
        <v>-385</v>
      </c>
      <c r="G4">
        <f>-215</f>
        <v>-215</v>
      </c>
      <c r="H4" s="2">
        <f>272.808217*1000000</f>
        <v>272808217</v>
      </c>
      <c r="I4">
        <f>49676</f>
        <v>49676</v>
      </c>
      <c r="J4">
        <f>12940</f>
        <v>12940</v>
      </c>
      <c r="K4">
        <f>23785</f>
        <v>23785</v>
      </c>
      <c r="L4">
        <f>17500</f>
        <v>17500</v>
      </c>
      <c r="M4">
        <f>7825</f>
        <v>7825</v>
      </c>
      <c r="N4">
        <f>-4975</f>
        <v>-4975</v>
      </c>
      <c r="O4">
        <f>-895</f>
        <v>-895</v>
      </c>
      <c r="P4">
        <f>3467-1328</f>
        <v>2139</v>
      </c>
      <c r="Q4">
        <f>1</f>
        <v>1</v>
      </c>
      <c r="R4">
        <f>0</f>
        <v>0</v>
      </c>
    </row>
    <row r="5" spans="1:18">
      <c r="A5" s="1" t="s">
        <v>21</v>
      </c>
      <c r="B5">
        <f>24383</f>
        <v>24383</v>
      </c>
      <c r="C5">
        <f>-18495</f>
        <v>-18495</v>
      </c>
      <c r="D5">
        <f t="shared" si="0"/>
        <v>5888</v>
      </c>
      <c r="E5">
        <f>-2636</f>
        <v>-2636</v>
      </c>
      <c r="F5">
        <f>-4047</f>
        <v>-4047</v>
      </c>
      <c r="G5">
        <f>-1516</f>
        <v>-1516</v>
      </c>
      <c r="H5" s="2">
        <f>281.455107*1000000</f>
        <v>281455107</v>
      </c>
      <c r="I5">
        <f>53318</f>
        <v>53318</v>
      </c>
      <c r="J5">
        <f>13563</f>
        <v>13563</v>
      </c>
      <c r="K5">
        <f>23358</f>
        <v>23358</v>
      </c>
      <c r="L5">
        <f>26890</f>
        <v>26890</v>
      </c>
      <c r="M5">
        <f>6238</f>
        <v>6238</v>
      </c>
      <c r="N5">
        <f>-7189</f>
        <v>-7189</v>
      </c>
      <c r="O5">
        <f>861</f>
        <v>861</v>
      </c>
      <c r="P5">
        <f>3381-3467</f>
        <v>-86</v>
      </c>
      <c r="Q5">
        <f>1</f>
        <v>1</v>
      </c>
      <c r="R5">
        <f>0</f>
        <v>0</v>
      </c>
    </row>
    <row r="6" spans="1:18">
      <c r="A6" s="1" t="s">
        <v>22</v>
      </c>
      <c r="B6">
        <f>15191</f>
        <v>15191</v>
      </c>
      <c r="C6">
        <f>-10398</f>
        <v>-10398</v>
      </c>
      <c r="D6">
        <f t="shared" si="0"/>
        <v>4793</v>
      </c>
      <c r="E6">
        <f>355</f>
        <v>355</v>
      </c>
      <c r="F6">
        <f>-4419</f>
        <v>-4419</v>
      </c>
      <c r="G6">
        <f>-1639</f>
        <v>-1639</v>
      </c>
      <c r="H6" s="2">
        <f>282.466563*1000000</f>
        <v>282466563</v>
      </c>
      <c r="I6">
        <f>63259</f>
        <v>63259</v>
      </c>
      <c r="J6">
        <f>16965</f>
        <v>16965</v>
      </c>
      <c r="K6">
        <f>21467</f>
        <v>21467</v>
      </c>
      <c r="L6">
        <f>42200</f>
        <v>42200</v>
      </c>
      <c r="M6">
        <f>2165</f>
        <v>2165</v>
      </c>
      <c r="N6">
        <f>-4470</f>
        <v>-4470</v>
      </c>
      <c r="O6">
        <f>2510</f>
        <v>2510</v>
      </c>
      <c r="P6">
        <f>3914-3381</f>
        <v>533</v>
      </c>
      <c r="Q6">
        <f>0</f>
        <v>0</v>
      </c>
      <c r="R6">
        <f>1</f>
        <v>1</v>
      </c>
    </row>
    <row r="7" spans="1:18">
      <c r="A7" s="1" t="s">
        <v>23</v>
      </c>
      <c r="B7">
        <f>30790</f>
        <v>30790</v>
      </c>
      <c r="C7">
        <f>-22558</f>
        <v>-22558</v>
      </c>
      <c r="D7">
        <f t="shared" si="0"/>
        <v>8232</v>
      </c>
      <c r="E7">
        <f>-16709</f>
        <v>-16709</v>
      </c>
      <c r="F7">
        <f>-15781</f>
        <v>-15781</v>
      </c>
      <c r="G7">
        <f>-5077</f>
        <v>-5077</v>
      </c>
      <c r="H7" s="2">
        <f>317.203948*1000000</f>
        <v>317203948</v>
      </c>
      <c r="I7">
        <f>49725</f>
        <v>49725</v>
      </c>
      <c r="J7">
        <f>26477</f>
        <v>26477</v>
      </c>
      <c r="K7">
        <f>19549</f>
        <v>19549</v>
      </c>
      <c r="L7">
        <f>32907</f>
        <v>32907</v>
      </c>
      <c r="M7">
        <f>-3127</f>
        <v>-3127</v>
      </c>
      <c r="N7">
        <f>-8640</f>
        <v>-8640</v>
      </c>
      <c r="O7">
        <f>13896</f>
        <v>13896</v>
      </c>
      <c r="P7">
        <f>5438-3246</f>
        <v>2192</v>
      </c>
      <c r="Q7">
        <f>1</f>
        <v>1</v>
      </c>
      <c r="R7">
        <f>0</f>
        <v>0</v>
      </c>
    </row>
    <row r="8" spans="1:18">
      <c r="A8" s="1" t="s">
        <v>24</v>
      </c>
      <c r="B8">
        <f>13641</f>
        <v>13641</v>
      </c>
      <c r="C8">
        <f>-10833</f>
        <v>-10833</v>
      </c>
      <c r="D8">
        <f t="shared" si="0"/>
        <v>2808</v>
      </c>
      <c r="E8">
        <f>3562</f>
        <v>3562</v>
      </c>
      <c r="F8">
        <f>2440</f>
        <v>2440</v>
      </c>
      <c r="G8">
        <f>643</f>
        <v>643</v>
      </c>
      <c r="H8" s="2">
        <f>359.414544*1000000</f>
        <v>359414544</v>
      </c>
      <c r="I8">
        <f>44564</f>
        <v>44564</v>
      </c>
      <c r="J8">
        <f>31223</f>
        <v>31223</v>
      </c>
      <c r="K8">
        <f>24986</f>
        <v>24986</v>
      </c>
      <c r="L8">
        <f>26033</f>
        <v>26033</v>
      </c>
      <c r="M8">
        <f>4301</f>
        <v>4301</v>
      </c>
      <c r="N8">
        <f>2716</f>
        <v>2716</v>
      </c>
      <c r="O8">
        <f>6178</f>
        <v>6178</v>
      </c>
      <c r="P8">
        <f>17768-5438</f>
        <v>12330</v>
      </c>
      <c r="Q8">
        <f>0</f>
        <v>0</v>
      </c>
      <c r="R8">
        <f>1</f>
        <v>1</v>
      </c>
    </row>
    <row r="9" spans="1:18">
      <c r="A9" s="1" t="s">
        <v>25</v>
      </c>
      <c r="B9">
        <f>31961</f>
        <v>31961</v>
      </c>
      <c r="C9">
        <f>-23220</f>
        <v>-23220</v>
      </c>
      <c r="D9">
        <f t="shared" si="0"/>
        <v>8741</v>
      </c>
      <c r="E9">
        <f>-1859</f>
        <v>-1859</v>
      </c>
      <c r="F9">
        <f>-2345</f>
        <v>-2345</v>
      </c>
      <c r="G9">
        <f>-765</f>
        <v>-765</v>
      </c>
      <c r="H9" s="2">
        <f>361.228295*1000000</f>
        <v>361228295</v>
      </c>
      <c r="I9">
        <f>54489</f>
        <v>54489</v>
      </c>
      <c r="J9">
        <f>18281</f>
        <v>18281</v>
      </c>
      <c r="K9">
        <f>16409</f>
        <v>16409</v>
      </c>
      <c r="L9">
        <f>33837</f>
        <v>33837</v>
      </c>
      <c r="M9">
        <f>3781</f>
        <v>3781</v>
      </c>
      <c r="N9">
        <f>-2000</f>
        <v>-2000</v>
      </c>
      <c r="O9">
        <f>1629</f>
        <v>1629</v>
      </c>
      <c r="P9">
        <f>8176-5438</f>
        <v>2738</v>
      </c>
      <c r="Q9">
        <f>1</f>
        <v>1</v>
      </c>
      <c r="R9">
        <f>0</f>
        <v>0</v>
      </c>
    </row>
    <row r="10" spans="1:18">
      <c r="A10" s="1" t="s">
        <v>26</v>
      </c>
      <c r="B10">
        <f>18371</f>
        <v>18371</v>
      </c>
      <c r="C10">
        <f>-12159</f>
        <v>-12159</v>
      </c>
      <c r="D10">
        <f t="shared" si="0"/>
        <v>6212</v>
      </c>
      <c r="E10">
        <f>427</f>
        <v>427</v>
      </c>
      <c r="F10">
        <f>-48</f>
        <v>-48</v>
      </c>
      <c r="G10">
        <f>-57</f>
        <v>-57</v>
      </c>
      <c r="H10" s="2">
        <f>366.96131*1000000</f>
        <v>366961310</v>
      </c>
      <c r="I10">
        <f>54883</f>
        <v>54883</v>
      </c>
      <c r="J10">
        <f>17887</f>
        <v>17887</v>
      </c>
      <c r="K10">
        <f>16409</f>
        <v>16409</v>
      </c>
      <c r="L10">
        <f>33837</f>
        <v>33837</v>
      </c>
      <c r="M10">
        <f>4289</f>
        <v>4289</v>
      </c>
      <c r="N10">
        <f>-2991</f>
        <v>-2991</v>
      </c>
      <c r="O10">
        <f>-3048</f>
        <v>-3048</v>
      </c>
      <c r="P10">
        <f>6607-8176</f>
        <v>-1569</v>
      </c>
      <c r="Q10">
        <f>0</f>
        <v>0</v>
      </c>
      <c r="R10">
        <f>1</f>
        <v>1</v>
      </c>
    </row>
    <row r="11" spans="1:18">
      <c r="A11" s="1" t="s">
        <v>27</v>
      </c>
      <c r="B11">
        <f>40135</f>
        <v>40135</v>
      </c>
      <c r="C11">
        <f>-25833</f>
        <v>-25833</v>
      </c>
      <c r="D11">
        <f t="shared" si="0"/>
        <v>14302</v>
      </c>
      <c r="E11">
        <f>3786</f>
        <v>3786</v>
      </c>
      <c r="F11">
        <f>1018</f>
        <v>1018</v>
      </c>
      <c r="G11">
        <f>171</f>
        <v>171</v>
      </c>
      <c r="H11" s="2">
        <f>373.440427*1000000</f>
        <v>373440427</v>
      </c>
      <c r="I11">
        <f>51191</f>
        <v>51191</v>
      </c>
      <c r="J11">
        <f>11438</f>
        <v>11438</v>
      </c>
      <c r="K11">
        <f>29186</f>
        <v>29186</v>
      </c>
      <c r="L11">
        <f>6420</f>
        <v>6420</v>
      </c>
      <c r="M11">
        <f>-5730</f>
        <v>-5730</v>
      </c>
      <c r="N11">
        <f>-6362</f>
        <v>-6362</v>
      </c>
      <c r="O11">
        <f>8001</f>
        <v>8001</v>
      </c>
      <c r="P11">
        <f>3849-8176</f>
        <v>-4327</v>
      </c>
      <c r="Q11">
        <f>1</f>
        <v>1</v>
      </c>
      <c r="R11">
        <f>0</f>
        <v>0</v>
      </c>
    </row>
    <row r="12" spans="1:18">
      <c r="A12" s="1" t="s">
        <v>28</v>
      </c>
      <c r="B12">
        <f>21948</f>
        <v>21948</v>
      </c>
      <c r="C12">
        <f>-12882</f>
        <v>-12882</v>
      </c>
      <c r="D12">
        <f t="shared" si="0"/>
        <v>9066</v>
      </c>
      <c r="E12">
        <f>6057</f>
        <v>6057</v>
      </c>
      <c r="F12">
        <f>4985</f>
        <v>4985</v>
      </c>
      <c r="G12">
        <f>1259</f>
        <v>1259</v>
      </c>
      <c r="H12" s="2">
        <f>386.743962*1000000</f>
        <v>386743962</v>
      </c>
      <c r="I12">
        <f>53847</f>
        <v>53847</v>
      </c>
      <c r="J12">
        <f>14116</f>
        <v>14116</v>
      </c>
      <c r="K12">
        <f>29882</f>
        <v>29882</v>
      </c>
      <c r="L12">
        <f>5834</f>
        <v>5834</v>
      </c>
      <c r="M12">
        <f>7905</f>
        <v>7905</v>
      </c>
      <c r="N12">
        <f>-4231</f>
        <v>-4231</v>
      </c>
      <c r="O12">
        <f>-1942</f>
        <v>-1942</v>
      </c>
      <c r="P12">
        <f>5656-3849</f>
        <v>1807</v>
      </c>
      <c r="Q12">
        <f>0</f>
        <v>0</v>
      </c>
      <c r="R12">
        <f>1</f>
        <v>1</v>
      </c>
    </row>
    <row r="13" spans="1:18">
      <c r="A13" s="1" t="s">
        <v>29</v>
      </c>
      <c r="B13">
        <f>50411</f>
        <v>50411</v>
      </c>
      <c r="C13">
        <f>-28745</f>
        <v>-28745</v>
      </c>
      <c r="D13">
        <f t="shared" si="0"/>
        <v>21666</v>
      </c>
      <c r="E13">
        <f>16146</f>
        <v>16146</v>
      </c>
      <c r="F13">
        <f>11624</f>
        <v>11624</v>
      </c>
      <c r="G13">
        <f>2923</f>
        <v>2923</v>
      </c>
      <c r="H13" s="2">
        <f>421.058243*1000000</f>
        <v>421058243</v>
      </c>
      <c r="I13">
        <f>66089</f>
        <v>66089</v>
      </c>
      <c r="J13">
        <f>20769</f>
        <v>20769</v>
      </c>
      <c r="K13">
        <f>37785</f>
        <v>37785</v>
      </c>
      <c r="L13">
        <f>7535</f>
        <v>7535</v>
      </c>
      <c r="M13">
        <f>19587</f>
        <v>19587</v>
      </c>
      <c r="N13">
        <f>-11473</f>
        <v>-11473</v>
      </c>
      <c r="O13">
        <f>-3503</f>
        <v>-3503</v>
      </c>
      <c r="P13">
        <f>8944-3849</f>
        <v>5095</v>
      </c>
      <c r="Q13">
        <f>1</f>
        <v>1</v>
      </c>
      <c r="R13">
        <f>0</f>
        <v>0</v>
      </c>
    </row>
    <row r="14" spans="1:18">
      <c r="A14" s="1" t="s">
        <v>30</v>
      </c>
      <c r="B14" s="2">
        <f>3478*8.08861</f>
        <v>28132.18558</v>
      </c>
      <c r="C14" s="2">
        <f>-1975*8.08861</f>
        <v>-15975.00475</v>
      </c>
      <c r="D14" s="2">
        <f t="shared" si="0"/>
        <v>12157.18083</v>
      </c>
      <c r="E14" s="2">
        <f>1040*8.08861</f>
        <v>8412.1544</v>
      </c>
      <c r="F14" s="2">
        <f>863*8.08861</f>
        <v>6980.47043</v>
      </c>
      <c r="G14" s="2">
        <f>220*8.08861</f>
        <v>1779.4942</v>
      </c>
      <c r="H14" s="2">
        <f>421.659015*1000000</f>
        <v>421659015</v>
      </c>
      <c r="I14" s="2">
        <f>8674*8.08861</f>
        <v>70160.60314</v>
      </c>
      <c r="J14" s="2">
        <f>2619*8.08861</f>
        <v>21184.06959</v>
      </c>
      <c r="K14" s="2">
        <f>4693*8.08861</f>
        <v>37959.84673</v>
      </c>
      <c r="L14" s="2">
        <f>963*8.08861</f>
        <v>7789.33143</v>
      </c>
      <c r="M14" s="2">
        <f>1044*8.08861</f>
        <v>8444.50884</v>
      </c>
      <c r="N14" s="2">
        <f>-855*8.08861</f>
        <v>-6915.76155</v>
      </c>
      <c r="O14" s="2">
        <f>-320*8.08861</f>
        <v>-2588.3552</v>
      </c>
      <c r="P14" s="2">
        <f>(987-1112)*8.08861</f>
        <v>-1011.07625</v>
      </c>
      <c r="Q14">
        <f>0</f>
        <v>0</v>
      </c>
      <c r="R14">
        <f>1</f>
        <v>1</v>
      </c>
    </row>
    <row r="15" spans="1:18">
      <c r="A15" s="3" t="s">
        <v>31</v>
      </c>
      <c r="B15" s="2">
        <f>6632*9.10676</f>
        <v>60396.03232</v>
      </c>
      <c r="C15" s="2">
        <f>-4062*9.10676</f>
        <v>-36991.65912</v>
      </c>
      <c r="D15" s="2">
        <f t="shared" si="0"/>
        <v>23404.3732</v>
      </c>
      <c r="E15" s="2">
        <f>1127*9.10676</f>
        <v>10263.31852</v>
      </c>
      <c r="F15" s="2">
        <f>849*9.10676</f>
        <v>7731.63924</v>
      </c>
      <c r="G15" s="2">
        <f>215*9.10676</f>
        <v>1957.9534</v>
      </c>
      <c r="H15" s="2">
        <f>422.131159*1000000</f>
        <v>422131159</v>
      </c>
      <c r="I15" s="2">
        <f>10011*9.10676</f>
        <v>91167.77436</v>
      </c>
      <c r="J15" s="2">
        <f>2684*9.10676</f>
        <v>24442.54384</v>
      </c>
      <c r="K15" s="2">
        <f>5271*9.10676</f>
        <v>48001.73196</v>
      </c>
      <c r="L15" s="2">
        <f>1955*9.10676</f>
        <v>17803.7158</v>
      </c>
      <c r="M15" s="2">
        <f>1802*9.10676</f>
        <v>16410.38152</v>
      </c>
      <c r="N15" s="2">
        <f>-2608*9.10676</f>
        <v>-23750.43008</v>
      </c>
      <c r="O15" s="2">
        <f>591*9.10676</f>
        <v>5382.09516</v>
      </c>
      <c r="P15" s="2">
        <f>(892-1112)*9.10676</f>
        <v>-2003.4872</v>
      </c>
      <c r="Q15">
        <f>1</f>
        <v>1</v>
      </c>
      <c r="R15">
        <f>0</f>
        <v>0</v>
      </c>
    </row>
    <row r="16" spans="1:18">
      <c r="A16" s="1" t="s">
        <v>32</v>
      </c>
      <c r="B16" s="2">
        <f>2819*9.98678</f>
        <v>28152.73282</v>
      </c>
      <c r="C16" s="2">
        <f>-2040*9.98678</f>
        <v>-20373.0312</v>
      </c>
      <c r="D16" s="2">
        <f t="shared" si="0"/>
        <v>7779.70162</v>
      </c>
      <c r="E16" s="2">
        <f>-2755*9.98678</f>
        <v>-27513.5789</v>
      </c>
      <c r="F16" s="2">
        <f>-1938*9.98678</f>
        <v>-19354.37964</v>
      </c>
      <c r="G16" s="2">
        <f>-497*9.98678</f>
        <v>-4963.42966</v>
      </c>
      <c r="H16" s="2">
        <f>405.375889*1000000</f>
        <v>405375889</v>
      </c>
      <c r="I16" s="2">
        <f>7403*9.98678</f>
        <v>73932.13234</v>
      </c>
      <c r="J16" s="2">
        <f>2104*9.98678</f>
        <v>21012.18512</v>
      </c>
      <c r="K16" s="2">
        <f>4004*9.98678</f>
        <v>39987.06712</v>
      </c>
      <c r="L16" s="2">
        <f>2311*9.98678</f>
        <v>23079.44858</v>
      </c>
      <c r="M16" s="2">
        <f>496*9.98678</f>
        <v>4953.44288</v>
      </c>
      <c r="N16" s="2">
        <f>-1120*9.98678</f>
        <v>-11185.1936</v>
      </c>
      <c r="O16" s="2">
        <f>140*9.98678</f>
        <v>1398.1492</v>
      </c>
      <c r="P16" s="2">
        <f>(383-892)*9.98678</f>
        <v>-5083.27102</v>
      </c>
      <c r="Q16">
        <f>0</f>
        <v>0</v>
      </c>
      <c r="R16">
        <f>1</f>
        <v>1</v>
      </c>
    </row>
    <row r="17" spans="1:18">
      <c r="A17" s="1" t="s">
        <v>33</v>
      </c>
      <c r="B17" s="2">
        <f>5708*10.73699</f>
        <v>61286.73892</v>
      </c>
      <c r="C17" s="2">
        <f>-4146*10.73699</f>
        <v>-44515.56054</v>
      </c>
      <c r="D17" s="2">
        <f t="shared" si="0"/>
        <v>16771.17838</v>
      </c>
      <c r="E17" s="2">
        <f>-2440*10.73699</f>
        <v>-26198.2556</v>
      </c>
      <c r="F17" s="2">
        <f>-2200*10.73699</f>
        <v>-23621.378</v>
      </c>
      <c r="G17" s="2">
        <f>-568*10.73699</f>
        <v>-6098.61032</v>
      </c>
      <c r="H17" s="2">
        <f>405.546908*1000000</f>
        <v>405546908</v>
      </c>
      <c r="I17" s="2">
        <f>7404*10.73699</f>
        <v>79496.67396</v>
      </c>
      <c r="J17" s="2">
        <f>2270*10.73699</f>
        <v>24372.9673</v>
      </c>
      <c r="K17" s="2">
        <f>5331*10.73699</f>
        <v>57238.89369</v>
      </c>
      <c r="L17" s="2">
        <f>6567*10.73699</f>
        <v>70509.81333</v>
      </c>
      <c r="M17" s="2">
        <f>1246*10.73699</f>
        <v>13378.28954</v>
      </c>
      <c r="N17" s="2">
        <f>-2040*10.73699</f>
        <v>-21903.4596</v>
      </c>
      <c r="O17" s="2">
        <f>560*10.73699</f>
        <v>6012.7144</v>
      </c>
      <c r="P17" s="2">
        <f>(628-892)*10.73699</f>
        <v>-2834.56536</v>
      </c>
      <c r="Q17">
        <f>1</f>
        <v>1</v>
      </c>
      <c r="R17">
        <f>0</f>
        <v>0</v>
      </c>
    </row>
    <row r="18" spans="1:18">
      <c r="A18" s="1" t="s">
        <v>34</v>
      </c>
      <c r="B18" s="2">
        <f>2717*10.65464</f>
        <v>28948.65688</v>
      </c>
      <c r="C18" s="2">
        <f>-2076*10.65464</f>
        <v>-22119.03264</v>
      </c>
      <c r="D18" s="2">
        <f t="shared" si="0"/>
        <v>6829.62424</v>
      </c>
      <c r="E18" s="2">
        <f>404*10.65464</f>
        <v>4304.47456</v>
      </c>
      <c r="F18" s="2">
        <f>-28*10.65464</f>
        <v>-298.32992</v>
      </c>
      <c r="G18" s="2">
        <f>-10*10.65464</f>
        <v>-106.5464</v>
      </c>
      <c r="H18" s="2">
        <f>406.14787*1000000</f>
        <v>406147870</v>
      </c>
      <c r="I18" s="2">
        <f>7621*10.65464</f>
        <v>81199.01144</v>
      </c>
      <c r="J18" s="2">
        <f>1980*10.65464</f>
        <v>21096.1872</v>
      </c>
      <c r="K18" s="2">
        <f>5450*10.65464</f>
        <v>58067.788</v>
      </c>
      <c r="L18" s="2">
        <f>1050*10.65464</f>
        <v>11187.372</v>
      </c>
      <c r="M18" s="2">
        <f>687*10.65464</f>
        <v>7319.73768</v>
      </c>
      <c r="N18" s="2">
        <f>-374*10.65464</f>
        <v>-3984.83536</v>
      </c>
      <c r="O18" s="2">
        <f>-339*10.65464</f>
        <v>-3611.92296</v>
      </c>
      <c r="P18" s="2">
        <f>(600-628)*10.65464</f>
        <v>-298.32992</v>
      </c>
      <c r="Q18">
        <f>0</f>
        <v>0</v>
      </c>
      <c r="R18">
        <f>1</f>
        <v>1</v>
      </c>
    </row>
    <row r="19" spans="1:18">
      <c r="A19" s="1" t="s">
        <v>35</v>
      </c>
      <c r="B19" s="2">
        <f>5378*11.89539</f>
        <v>63973.40742</v>
      </c>
      <c r="C19" s="2">
        <f>-4190*11.89539</f>
        <v>-49841.6841</v>
      </c>
      <c r="D19" s="2">
        <f t="shared" si="0"/>
        <v>14131.72332</v>
      </c>
      <c r="E19" s="2">
        <f>519*11.89539</f>
        <v>6173.70741</v>
      </c>
      <c r="F19" s="2">
        <f>-39*11.89539</f>
        <v>-463.92021</v>
      </c>
      <c r="G19" s="2">
        <f>-14*11.89539</f>
        <v>-166.53546</v>
      </c>
      <c r="H19" s="2">
        <f>407.72905*1000000</f>
        <v>407729050</v>
      </c>
      <c r="I19" s="2">
        <f>7485*11.89539</f>
        <v>89036.99415</v>
      </c>
      <c r="J19" s="2">
        <f>1649*11.89539</f>
        <v>19615.49811</v>
      </c>
      <c r="K19" s="2">
        <f>5279*11.89539</f>
        <v>62795.76381</v>
      </c>
      <c r="L19" s="2">
        <f>984*11.89539</f>
        <v>11705.06376</v>
      </c>
      <c r="M19" s="2">
        <f>1220*11.89539</f>
        <v>14512.3758</v>
      </c>
      <c r="N19" s="2">
        <f>-943*11.89539</f>
        <v>-11217.35277</v>
      </c>
      <c r="O19" s="2">
        <f>-421*11.89539</f>
        <v>-5007.95919</v>
      </c>
      <c r="P19" s="2">
        <f>(468-628)*11.89539</f>
        <v>-1903.2624</v>
      </c>
      <c r="Q19">
        <f>1</f>
        <v>1</v>
      </c>
      <c r="R19">
        <f>0</f>
        <v>0</v>
      </c>
    </row>
    <row r="20" spans="1:18">
      <c r="A20" s="1" t="s">
        <v>36</v>
      </c>
      <c r="B20" s="2">
        <f>2127*12.65122</f>
        <v>26909.14494</v>
      </c>
      <c r="C20" s="2">
        <f>-1652*12.65122</f>
        <v>-20899.81544</v>
      </c>
      <c r="D20" s="2">
        <f t="shared" si="0"/>
        <v>6009.3295</v>
      </c>
      <c r="E20" s="2">
        <f>247*12.65122</f>
        <v>3124.85134</v>
      </c>
      <c r="F20" s="2">
        <f>-133*12.65122</f>
        <v>-1682.61226</v>
      </c>
      <c r="G20" s="2">
        <f>-113*12.65122</f>
        <v>-1429.58786</v>
      </c>
      <c r="H20" s="2">
        <f>407.490886*1000000</f>
        <v>407490886</v>
      </c>
      <c r="I20" s="2">
        <f>6417*12.65122</f>
        <v>81182.87874</v>
      </c>
      <c r="J20" s="2">
        <f>2400*12.65122</f>
        <v>30362.928</v>
      </c>
      <c r="K20" s="2">
        <f>5284*12.65122</f>
        <v>66849.04648</v>
      </c>
      <c r="L20" s="2">
        <f>6156*12.65122</f>
        <v>77880.91032</v>
      </c>
      <c r="M20" s="2">
        <f>513*12.65122</f>
        <v>6490.07586</v>
      </c>
      <c r="N20" s="2">
        <f>-372*12.65122</f>
        <v>-4706.25384</v>
      </c>
      <c r="O20" s="2">
        <f>-146*12.65122</f>
        <v>-1847.07812</v>
      </c>
      <c r="P20" s="2">
        <f>(459-468)*12.65122</f>
        <v>-113.86098</v>
      </c>
      <c r="Q20">
        <f>0</f>
        <v>0</v>
      </c>
      <c r="R20">
        <f>1</f>
        <v>1</v>
      </c>
    </row>
    <row r="21" spans="1:18">
      <c r="A21" s="1" t="s">
        <v>37</v>
      </c>
      <c r="B21" s="2">
        <f>4174*15.46122</f>
        <v>64535.13228</v>
      </c>
      <c r="C21" s="2">
        <f>-3294*15.46122</f>
        <v>-50929.25868</v>
      </c>
      <c r="D21" s="2">
        <f t="shared" si="0"/>
        <v>13605.8736</v>
      </c>
      <c r="E21" s="2">
        <f>337*15.46122</f>
        <v>5210.43114</v>
      </c>
      <c r="F21" s="2">
        <f>-70*15.46122</f>
        <v>-1082.2854</v>
      </c>
      <c r="G21" s="2">
        <f>-70*15.46122</f>
        <v>-1082.2854</v>
      </c>
      <c r="H21" s="2">
        <f>409.606858*1000000</f>
        <v>409606858</v>
      </c>
      <c r="I21" s="2">
        <f>5934*15.46122</f>
        <v>91746.87948</v>
      </c>
      <c r="J21" s="2">
        <f>1350*15.46122</f>
        <v>20872.647</v>
      </c>
      <c r="K21" s="2">
        <f>4110*15.46122</f>
        <v>63545.6142</v>
      </c>
      <c r="L21" s="2">
        <f>707*15.46122</f>
        <v>10931.08254</v>
      </c>
      <c r="M21" s="2">
        <f>1139*15.46122</f>
        <v>17610.32958</v>
      </c>
      <c r="N21" s="2">
        <f>80*15.46122</f>
        <v>1236.8976</v>
      </c>
      <c r="O21" s="2">
        <f>-1186*15.46122</f>
        <v>-18337.00692</v>
      </c>
      <c r="P21" s="2">
        <f>(484-468)*15.46122</f>
        <v>247.37952</v>
      </c>
      <c r="Q21">
        <f>1</f>
        <v>1</v>
      </c>
      <c r="R21">
        <f>0</f>
        <v>0</v>
      </c>
    </row>
    <row r="22" spans="1:18">
      <c r="A22" s="1" t="s">
        <v>38</v>
      </c>
      <c r="B22" s="2">
        <f>2041*13.29709</f>
        <v>27139.36069</v>
      </c>
      <c r="C22" s="2">
        <f>-1501*13.29709</f>
        <v>-19958.93209</v>
      </c>
      <c r="D22" s="2">
        <f t="shared" si="0"/>
        <v>7180.4286</v>
      </c>
      <c r="E22" s="2">
        <f>287*13.29709</f>
        <v>3816.26483</v>
      </c>
      <c r="F22" s="2">
        <f>61*13.29709</f>
        <v>811.12249</v>
      </c>
      <c r="G22" s="2">
        <f>52*13.29709</f>
        <v>691.44868</v>
      </c>
      <c r="H22" s="2">
        <f>412.45065*1000000</f>
        <v>412450650</v>
      </c>
      <c r="I22" s="2">
        <f>6027*13.29709</f>
        <v>80141.56143</v>
      </c>
      <c r="J22" s="2">
        <f>1406*13.29709</f>
        <v>18695.70854</v>
      </c>
      <c r="K22" s="2">
        <f>3581*13.29709</f>
        <v>47616.87929</v>
      </c>
      <c r="L22" s="2">
        <f>1182*13.29709</f>
        <v>15717.16038</v>
      </c>
      <c r="M22" s="2">
        <f>476*13.29709</f>
        <v>6329.41484</v>
      </c>
      <c r="N22" s="2">
        <f>-277*13.29709</f>
        <v>-3683.29393</v>
      </c>
      <c r="O22" s="2">
        <f>-218*13.29709</f>
        <v>-2898.76562</v>
      </c>
      <c r="P22" s="2">
        <f>(470-484)*13.29709</f>
        <v>-186.15926</v>
      </c>
      <c r="Q22">
        <f>0</f>
        <v>0</v>
      </c>
      <c r="R22">
        <f>1</f>
        <v>1</v>
      </c>
    </row>
    <row r="23" spans="1:18">
      <c r="A23" s="1" t="s">
        <v>39</v>
      </c>
      <c r="B23" s="2">
        <f>4254*12.7272</f>
        <v>54141.5088</v>
      </c>
      <c r="C23" s="2">
        <f>-3263*12.7272</f>
        <v>-41528.8536</v>
      </c>
      <c r="D23" s="2">
        <f t="shared" si="0"/>
        <v>12612.6552</v>
      </c>
      <c r="E23" s="2">
        <f>495*12.7272</f>
        <v>6299.964</v>
      </c>
      <c r="F23" s="2">
        <f>80*12.7272</f>
        <v>1018.176</v>
      </c>
      <c r="G23" s="2">
        <f>15*12.7272</f>
        <v>190.908</v>
      </c>
      <c r="H23" s="2">
        <f>414.7064*1000000</f>
        <v>414706400</v>
      </c>
      <c r="I23" s="2">
        <f>5987*12.7272</f>
        <v>76197.7464</v>
      </c>
      <c r="J23" s="2">
        <f>1166*12.7272</f>
        <v>14839.9152</v>
      </c>
      <c r="K23" s="2">
        <f>3639*12.7272</f>
        <v>46314.2808</v>
      </c>
      <c r="L23" s="2">
        <f>760*12.7272</f>
        <v>9672.672</v>
      </c>
      <c r="M23" s="2">
        <f>1186*12.7272</f>
        <v>15094.4592</v>
      </c>
      <c r="N23" s="2">
        <f>-702*12.7272</f>
        <v>-8934.4944</v>
      </c>
      <c r="O23" s="2">
        <f>-763*12.7272</f>
        <v>-9710.8536</v>
      </c>
      <c r="P23" s="2">
        <f>(215-484)*12.7272</f>
        <v>-3423.6168</v>
      </c>
      <c r="Q23">
        <f>1</f>
        <v>1</v>
      </c>
      <c r="R23">
        <f>0</f>
        <v>0</v>
      </c>
    </row>
    <row r="24" spans="1:18">
      <c r="A24" s="1" t="s">
        <v>40</v>
      </c>
      <c r="B24" s="2">
        <f>2128*13.45622</f>
        <v>28634.83616</v>
      </c>
      <c r="C24" s="2">
        <f>-1709*13.45622</f>
        <v>-22996.67998</v>
      </c>
      <c r="D24" s="2">
        <f t="shared" si="0"/>
        <v>5638.15618</v>
      </c>
      <c r="E24" s="2">
        <f>-65*13.45622</f>
        <v>-874.6543</v>
      </c>
      <c r="F24" s="2">
        <f>-165*13.45622</f>
        <v>-2220.2763</v>
      </c>
      <c r="G24" s="2">
        <f>-43*13.45622</f>
        <v>-578.61746</v>
      </c>
      <c r="H24" s="2">
        <f>412.723204*1000000</f>
        <v>412723204</v>
      </c>
      <c r="I24" s="2">
        <f>6022*13.45622</f>
        <v>81033.35684</v>
      </c>
      <c r="J24" s="2">
        <f>1158*13.45622</f>
        <v>15582.30276</v>
      </c>
      <c r="K24" s="2">
        <f>3811*13.45622</f>
        <v>51281.65442</v>
      </c>
      <c r="L24" s="2">
        <f>736*13.45622</f>
        <v>9903.77792</v>
      </c>
      <c r="M24" s="2">
        <f>321*13.45622</f>
        <v>4319.44662</v>
      </c>
      <c r="N24" s="2">
        <f>-412*13.45622</f>
        <v>-5543.96264</v>
      </c>
      <c r="O24" s="2">
        <f>39*13.45622</f>
        <v>524.79258</v>
      </c>
      <c r="P24" s="2">
        <f>(164-215)*13.45622</f>
        <v>-686.26722</v>
      </c>
      <c r="Q24">
        <f>0</f>
        <v>0</v>
      </c>
      <c r="R24">
        <f>1</f>
        <v>1</v>
      </c>
    </row>
    <row r="25" spans="1:18">
      <c r="A25" s="1" t="s">
        <v>41</v>
      </c>
      <c r="B25" s="2">
        <f>2416*11.6624</f>
        <v>28176.3584</v>
      </c>
      <c r="C25" s="2">
        <f>-1874*11.6624</f>
        <v>-21855.3376</v>
      </c>
      <c r="D25" s="2">
        <f t="shared" si="0"/>
        <v>6321.0208</v>
      </c>
      <c r="E25" s="2">
        <f>144*11.6624</f>
        <v>1679.3856</v>
      </c>
      <c r="F25" s="2">
        <f>-5*11.6624</f>
        <v>-58.312</v>
      </c>
      <c r="G25" s="2">
        <f>-15*11.6624</f>
        <v>-174.936</v>
      </c>
      <c r="H25" s="2">
        <v>414725125</v>
      </c>
      <c r="I25" s="2">
        <f>5726*11.6624</f>
        <v>66778.9024</v>
      </c>
      <c r="J25" s="2">
        <f>1493*11.6624</f>
        <v>17411.9632</v>
      </c>
      <c r="K25" s="2">
        <f>3660*11.6624</f>
        <v>42684.384</v>
      </c>
      <c r="L25" s="2">
        <f>855*11.6624</f>
        <v>9971.352</v>
      </c>
      <c r="M25" s="2">
        <f>676*11.6624</f>
        <v>7883.7824</v>
      </c>
      <c r="N25" s="2">
        <f>-450*11.6624</f>
        <v>-5248.08</v>
      </c>
      <c r="O25" s="2">
        <f>-187*11.6624</f>
        <v>-2180.8688</v>
      </c>
      <c r="P25" s="2">
        <f>SUM(M25:O25)</f>
        <v>454.8336</v>
      </c>
      <c r="Q25">
        <v>0</v>
      </c>
      <c r="R25">
        <v>1</v>
      </c>
    </row>
    <row r="26" spans="1:8">
      <c r="A26" s="1"/>
      <c r="H26" s="2"/>
    </row>
    <row r="27" spans="8:8">
      <c r="H27" s="2"/>
    </row>
    <row r="28" spans="2:8">
      <c r="B28" s="3"/>
      <c r="H28" s="2"/>
    </row>
    <row r="29" spans="2:8">
      <c r="B29" s="1"/>
      <c r="H29" s="2"/>
    </row>
    <row r="30" spans="2:8">
      <c r="B30" s="1"/>
      <c r="H30" s="2"/>
    </row>
    <row r="31" spans="2:8">
      <c r="B31" s="1"/>
      <c r="H31" s="2"/>
    </row>
    <row r="32" spans="2:8">
      <c r="B32" s="1"/>
      <c r="H32" s="2"/>
    </row>
    <row r="33" spans="2:8">
      <c r="B33" s="1"/>
      <c r="H33" s="2"/>
    </row>
    <row r="34" spans="2:8">
      <c r="B34" s="1"/>
      <c r="H34" s="2"/>
    </row>
    <row r="35" spans="2:8">
      <c r="B35" s="1"/>
      <c r="H35" s="2"/>
    </row>
    <row r="36" spans="2:8">
      <c r="B36" s="1"/>
      <c r="H36" s="2"/>
    </row>
    <row r="37" spans="2:8">
      <c r="B37" s="1"/>
      <c r="H37" s="2"/>
    </row>
    <row r="38" spans="8:8">
      <c r="H38" s="2"/>
    </row>
    <row r="39" spans="8:8">
      <c r="H39" s="2"/>
    </row>
    <row r="40" spans="8:8">
      <c r="H40" s="2"/>
    </row>
    <row r="41" spans="8:8">
      <c r="H41" s="2"/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2017-12-06T08:10:00Z</dcterms:created>
  <dcterms:modified xsi:type="dcterms:W3CDTF">2018-02-26T16:01:17Z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1033-10.2.0.5965</vt:lpwstr>
  </property>
</Properties>
</file>