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85" windowHeight="12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<sst xmlns="http://schemas.openxmlformats.org/spreadsheetml/2006/main" count="52">
  <si>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</si>
  <si>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</si>
  <si>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</si>
  <si>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</si>
  <si>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</si>
  <si>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</si>
  <si>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</si>
  <si>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</si>
  <si>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</si>
  <si>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</si>
  <si>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</si>
  <si>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</si>
  <si>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</si>
  <si>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</si>
  <si>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</si>
  <si>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</si>
  <si>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</si>
  <si>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</si>
  <si>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31-08-2001</t>
  </si>
  <si>
    <t>02-03-2002</t>
  </si>
  <si>
    <t>13-09-2002</t>
  </si>
  <si>
    <t>01-03-2003</t>
  </si>
  <si>
    <t>11-09-2003</t>
  </si>
  <si>
    <t>24-03-2004</t>
  </si>
  <si>
    <t>18-08-2004</t>
  </si>
  <si>
    <t>15-02-2005</t>
  </si>
  <si>
    <t>09-09-2005</t>
  </si>
  <si>
    <t>18-02-2006</t>
  </si>
  <si>
    <t>31-08-2006</t>
  </si>
  <si>
    <t>21-02-2007</t>
  </si>
  <si>
    <t>04-09-2007</t>
  </si>
  <si>
    <t>21-02-2008</t>
  </si>
  <si>
    <t>02-09-2008</t>
  </si>
  <si>
    <t>24-02-2009</t>
  </si>
  <si>
    <t>01-09-2009</t>
  </si>
  <si>
    <t>23-02-2010</t>
  </si>
  <si>
    <t>31-08-2010</t>
  </si>
  <si>
    <t>01-03-2011</t>
  </si>
  <si>
    <t>01-09-2011</t>
  </si>
  <si>
    <t>28-02-2012</t>
  </si>
  <si>
    <t>04-09-2012</t>
  </si>
  <si>
    <t>27-02-2013</t>
  </si>
  <si>
    <t>03-09-2013</t>
  </si>
  <si>
    <t>08-03-2014</t>
  </si>
  <si>
    <t>05-09-2014</t>
  </si>
  <si>
    <t>17-03-2015</t>
  </si>
  <si>
    <t>05-09-2015</t>
  </si>
  <si>
    <t>12-03-2016</t>
  </si>
  <si>
    <t>09-09-2016</t>
  </si>
  <si>
    <t>17-03-2017</t>
  </si>
  <si>
    <t>08-09-2017</t>
  </si>
  <si>
    <t>17-03-2018</t>
  </si>
</sst>
</file>

<file path=xl/styles.xml><?xml version="1.0" encoding="utf-8"?>
<styleSheet xmlns="http://schemas.openxmlformats.org/spreadsheetml/2006/main">
  <numFmts count="5">
    <numFmt numFmtId="176" formatCode="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2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5"/>
  <sheetViews>
    <sheetView tabSelected="1" topLeftCell="K1" workbookViewId="0">
      <selection activeCell="Q35" sqref="Q35"/>
    </sheetView>
  </sheetViews>
  <sheetFormatPr defaultColWidth="9.14285714285714" defaultRowHeight="15"/>
  <cols>
    <col min="1" max="1" width="11.1428571428571" customWidth="1"/>
    <col min="2" max="2" width="9.42857142857143" customWidth="1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8" width="18.5714285714286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>
        <f>2806</f>
        <v>2806</v>
      </c>
      <c r="C2">
        <f>-2083</f>
        <v>-2083</v>
      </c>
      <c r="D2">
        <f t="shared" ref="D2:D34" si="0">B2+C2</f>
        <v>723</v>
      </c>
      <c r="E2">
        <f>596</f>
        <v>596</v>
      </c>
      <c r="F2">
        <f>405</f>
        <v>405</v>
      </c>
      <c r="G2">
        <f>281</f>
        <v>281</v>
      </c>
      <c r="H2" s="2">
        <v>108379000</v>
      </c>
      <c r="I2">
        <f>7288</f>
        <v>7288</v>
      </c>
      <c r="J2">
        <f>1826</f>
        <v>1826</v>
      </c>
      <c r="K2">
        <f>1477</f>
        <v>1477</v>
      </c>
      <c r="L2">
        <f>2146</f>
        <v>2146</v>
      </c>
      <c r="M2">
        <f>-2654</f>
        <v>-2654</v>
      </c>
      <c r="N2">
        <f>-2557</f>
        <v>-2557</v>
      </c>
      <c r="O2">
        <f>1490</f>
        <v>1490</v>
      </c>
      <c r="P2">
        <f>439-4160</f>
        <v>-3721</v>
      </c>
      <c r="Q2">
        <f>1</f>
        <v>1</v>
      </c>
      <c r="R2">
        <f t="shared" ref="R2:R6" si="1">0</f>
        <v>0</v>
      </c>
    </row>
    <row r="3" spans="1:18">
      <c r="A3" s="1" t="s">
        <v>19</v>
      </c>
      <c r="B3">
        <f>1663</f>
        <v>1663</v>
      </c>
      <c r="C3">
        <f>-1271</f>
        <v>-1271</v>
      </c>
      <c r="D3">
        <f t="shared" si="0"/>
        <v>392</v>
      </c>
      <c r="E3">
        <f>223</f>
        <v>223</v>
      </c>
      <c r="F3">
        <f>-1115</f>
        <v>-1115</v>
      </c>
      <c r="G3">
        <f>31</f>
        <v>31</v>
      </c>
      <c r="H3" s="2">
        <f>110.661*1000000</f>
        <v>110661000</v>
      </c>
      <c r="I3">
        <f>5730</f>
        <v>5730</v>
      </c>
      <c r="J3">
        <f>2602</f>
        <v>2602</v>
      </c>
      <c r="K3">
        <f>2059</f>
        <v>2059</v>
      </c>
      <c r="L3">
        <f>2127</f>
        <v>2127</v>
      </c>
      <c r="M3">
        <f>-13</f>
        <v>-13</v>
      </c>
      <c r="N3">
        <f>-30</f>
        <v>-30</v>
      </c>
      <c r="O3">
        <f>76</f>
        <v>76</v>
      </c>
      <c r="P3">
        <f>472-439</f>
        <v>33</v>
      </c>
      <c r="Q3">
        <f>0</f>
        <v>0</v>
      </c>
      <c r="R3">
        <f t="shared" ref="R3:R7" si="2">1</f>
        <v>1</v>
      </c>
    </row>
    <row r="4" spans="1:18">
      <c r="A4" s="1" t="s">
        <v>20</v>
      </c>
      <c r="B4">
        <f>4047</f>
        <v>4047</v>
      </c>
      <c r="C4">
        <f>-2985</f>
        <v>-2985</v>
      </c>
      <c r="D4">
        <f t="shared" si="0"/>
        <v>1062</v>
      </c>
      <c r="E4">
        <f>799</f>
        <v>799</v>
      </c>
      <c r="F4">
        <f>-703</f>
        <v>-703</v>
      </c>
      <c r="G4">
        <f>204</f>
        <v>204</v>
      </c>
      <c r="H4" s="2">
        <f>110.977*1000000</f>
        <v>110977000</v>
      </c>
      <c r="I4">
        <f>5971</f>
        <v>5971</v>
      </c>
      <c r="J4">
        <f>2815</f>
        <v>2815</v>
      </c>
      <c r="K4">
        <f>1889</f>
        <v>1889</v>
      </c>
      <c r="L4">
        <f>2306</f>
        <v>2306</v>
      </c>
      <c r="M4">
        <f>296</f>
        <v>296</v>
      </c>
      <c r="N4">
        <f>-71</f>
        <v>-71</v>
      </c>
      <c r="O4">
        <f>115</f>
        <v>115</v>
      </c>
      <c r="P4">
        <f>779-439</f>
        <v>340</v>
      </c>
      <c r="Q4">
        <f>1</f>
        <v>1</v>
      </c>
      <c r="R4">
        <f t="shared" si="1"/>
        <v>0</v>
      </c>
    </row>
    <row r="5" spans="1:18">
      <c r="A5" s="1" t="s">
        <v>21</v>
      </c>
      <c r="B5">
        <f>2340</f>
        <v>2340</v>
      </c>
      <c r="C5">
        <f>-1828</f>
        <v>-1828</v>
      </c>
      <c r="D5">
        <f t="shared" si="0"/>
        <v>512</v>
      </c>
      <c r="E5">
        <f>392</f>
        <v>392</v>
      </c>
      <c r="F5">
        <f>211</f>
        <v>211</v>
      </c>
      <c r="G5">
        <f>105</f>
        <v>105</v>
      </c>
      <c r="H5" s="2">
        <v>113303000</v>
      </c>
      <c r="I5">
        <f>5951</f>
        <v>5951</v>
      </c>
      <c r="J5">
        <f>3039</f>
        <v>3039</v>
      </c>
      <c r="K5">
        <f>2110</f>
        <v>2110</v>
      </c>
      <c r="L5">
        <f>1956</f>
        <v>1956</v>
      </c>
      <c r="M5">
        <f>42</f>
        <v>42</v>
      </c>
      <c r="N5">
        <f>-244</f>
        <v>-244</v>
      </c>
      <c r="O5">
        <f>328</f>
        <v>328</v>
      </c>
      <c r="P5">
        <f>905-779</f>
        <v>126</v>
      </c>
      <c r="Q5">
        <f>0</f>
        <v>0</v>
      </c>
      <c r="R5">
        <f t="shared" si="2"/>
        <v>1</v>
      </c>
    </row>
    <row r="6" spans="1:18">
      <c r="A6" s="1" t="s">
        <v>22</v>
      </c>
      <c r="B6">
        <f>4896</f>
        <v>4896</v>
      </c>
      <c r="C6">
        <f>-3882</f>
        <v>-3882</v>
      </c>
      <c r="D6">
        <f t="shared" si="0"/>
        <v>1014</v>
      </c>
      <c r="E6">
        <f>521</f>
        <v>521</v>
      </c>
      <c r="F6">
        <f>36</f>
        <v>36</v>
      </c>
      <c r="G6">
        <f>197</f>
        <v>197</v>
      </c>
      <c r="H6" s="2">
        <f>112.046*1000000</f>
        <v>112046000</v>
      </c>
      <c r="I6">
        <f>5064</f>
        <v>5064</v>
      </c>
      <c r="J6">
        <f>2097</f>
        <v>2097</v>
      </c>
      <c r="K6">
        <f>775</f>
        <v>775</v>
      </c>
      <c r="L6">
        <f>1424</f>
        <v>1424</v>
      </c>
      <c r="M6">
        <f>630</f>
        <v>630</v>
      </c>
      <c r="N6">
        <f>205</f>
        <v>205</v>
      </c>
      <c r="O6">
        <f>-1349</f>
        <v>-1349</v>
      </c>
      <c r="P6">
        <f>265-779</f>
        <v>-514</v>
      </c>
      <c r="Q6">
        <f>1</f>
        <v>1</v>
      </c>
      <c r="R6">
        <f t="shared" si="1"/>
        <v>0</v>
      </c>
    </row>
    <row r="7" spans="1:18">
      <c r="A7" s="1" t="s">
        <v>23</v>
      </c>
      <c r="B7">
        <f>2004</f>
        <v>2004</v>
      </c>
      <c r="C7">
        <f>-1681</f>
        <v>-1681</v>
      </c>
      <c r="D7">
        <f t="shared" si="0"/>
        <v>323</v>
      </c>
      <c r="E7">
        <f>-5</f>
        <v>-5</v>
      </c>
      <c r="F7">
        <f>-76</f>
        <v>-76</v>
      </c>
      <c r="G7">
        <f>-1</f>
        <v>-1</v>
      </c>
      <c r="H7" s="2">
        <f>113.713*1000000</f>
        <v>113713000</v>
      </c>
      <c r="I7">
        <f>5085</f>
        <v>5085</v>
      </c>
      <c r="J7">
        <f>2101</f>
        <v>2101</v>
      </c>
      <c r="K7">
        <f>984</f>
        <v>984</v>
      </c>
      <c r="L7">
        <f>1294</f>
        <v>1294</v>
      </c>
      <c r="M7">
        <f>237</f>
        <v>237</v>
      </c>
      <c r="N7">
        <f>-286</f>
        <v>-286</v>
      </c>
      <c r="O7">
        <f>3</f>
        <v>3</v>
      </c>
      <c r="P7">
        <f>219-265</f>
        <v>-46</v>
      </c>
      <c r="Q7">
        <f>0</f>
        <v>0</v>
      </c>
      <c r="R7">
        <f t="shared" si="2"/>
        <v>1</v>
      </c>
    </row>
    <row r="8" spans="1:18">
      <c r="A8" s="1" t="s">
        <v>24</v>
      </c>
      <c r="B8">
        <f>4529</f>
        <v>4529</v>
      </c>
      <c r="C8">
        <f>-3653</f>
        <v>-3653</v>
      </c>
      <c r="D8">
        <f t="shared" si="0"/>
        <v>876</v>
      </c>
      <c r="E8">
        <f>404</f>
        <v>404</v>
      </c>
      <c r="F8">
        <f>1360</f>
        <v>1360</v>
      </c>
      <c r="G8">
        <f>47</f>
        <v>47</v>
      </c>
      <c r="H8" s="3">
        <f>128.115*1000000</f>
        <v>128115000</v>
      </c>
      <c r="I8">
        <f>9321</f>
        <v>9321</v>
      </c>
      <c r="J8">
        <f>2404</f>
        <v>2404</v>
      </c>
      <c r="K8">
        <f>1874</f>
        <v>1874</v>
      </c>
      <c r="L8">
        <f>1645</f>
        <v>1645</v>
      </c>
      <c r="M8">
        <f>638</f>
        <v>638</v>
      </c>
      <c r="N8">
        <f>-766</f>
        <v>-766</v>
      </c>
      <c r="O8">
        <f>191</f>
        <v>191</v>
      </c>
      <c r="P8">
        <f>328-265</f>
        <v>63</v>
      </c>
      <c r="Q8">
        <f>1</f>
        <v>1</v>
      </c>
      <c r="R8">
        <f t="shared" ref="R8:R12" si="3">0</f>
        <v>0</v>
      </c>
    </row>
    <row r="9" spans="1:18">
      <c r="A9" s="1" t="s">
        <v>25</v>
      </c>
      <c r="B9">
        <f>2391</f>
        <v>2391</v>
      </c>
      <c r="C9">
        <f>-1618</f>
        <v>-1618</v>
      </c>
      <c r="D9">
        <f t="shared" si="0"/>
        <v>773</v>
      </c>
      <c r="E9">
        <f>626</f>
        <v>626</v>
      </c>
      <c r="F9">
        <f>401</f>
        <v>401</v>
      </c>
      <c r="G9">
        <f>20</f>
        <v>20</v>
      </c>
      <c r="H9" s="2">
        <f>204.313*1000000</f>
        <v>204313000</v>
      </c>
      <c r="I9">
        <f>8206</f>
        <v>8206</v>
      </c>
      <c r="J9">
        <f>2508</f>
        <v>2508</v>
      </c>
      <c r="K9">
        <f>1704</f>
        <v>1704</v>
      </c>
      <c r="L9">
        <f>1626</f>
        <v>1626</v>
      </c>
      <c r="M9">
        <f>466</f>
        <v>466</v>
      </c>
      <c r="N9">
        <f>-391</f>
        <v>-391</v>
      </c>
      <c r="O9">
        <f>-178</f>
        <v>-178</v>
      </c>
      <c r="P9">
        <f>225-328</f>
        <v>-103</v>
      </c>
      <c r="Q9">
        <f>0</f>
        <v>0</v>
      </c>
      <c r="R9">
        <f t="shared" ref="R9:R13" si="4">1</f>
        <v>1</v>
      </c>
    </row>
    <row r="10" spans="1:18">
      <c r="A10" s="1" t="s">
        <v>26</v>
      </c>
      <c r="B10">
        <f>5485</f>
        <v>5485</v>
      </c>
      <c r="C10">
        <f>-3743</f>
        <v>-3743</v>
      </c>
      <c r="D10">
        <f t="shared" si="0"/>
        <v>1742</v>
      </c>
      <c r="E10">
        <f>1599</f>
        <v>1599</v>
      </c>
      <c r="F10">
        <f>924</f>
        <v>924</v>
      </c>
      <c r="G10">
        <f>350</f>
        <v>350</v>
      </c>
      <c r="H10" s="2">
        <f>204.794*1000000</f>
        <v>204794000</v>
      </c>
      <c r="I10">
        <f>8835</f>
        <v>8835</v>
      </c>
      <c r="J10">
        <f>2931</f>
        <v>2931</v>
      </c>
      <c r="K10">
        <f>1966</f>
        <v>1966</v>
      </c>
      <c r="L10">
        <f>1828</f>
        <v>1828</v>
      </c>
      <c r="M10">
        <f>1275</f>
        <v>1275</v>
      </c>
      <c r="N10">
        <f>-795</f>
        <v>-795</v>
      </c>
      <c r="O10">
        <f>-549</f>
        <v>-549</v>
      </c>
      <c r="P10">
        <f>259-328</f>
        <v>-69</v>
      </c>
      <c r="Q10">
        <f>1</f>
        <v>1</v>
      </c>
      <c r="R10">
        <f t="shared" si="3"/>
        <v>0</v>
      </c>
    </row>
    <row r="11" spans="1:18">
      <c r="A11" s="1" t="s">
        <v>27</v>
      </c>
      <c r="B11">
        <f>2348</f>
        <v>2348</v>
      </c>
      <c r="C11">
        <f>-1702</f>
        <v>-1702</v>
      </c>
      <c r="D11">
        <f t="shared" si="0"/>
        <v>646</v>
      </c>
      <c r="E11">
        <f>498</f>
        <v>498</v>
      </c>
      <c r="F11">
        <f>377</f>
        <v>377</v>
      </c>
      <c r="G11">
        <f>131</f>
        <v>131</v>
      </c>
      <c r="H11" s="2">
        <f>205.81*1000000</f>
        <v>205810000</v>
      </c>
      <c r="I11">
        <f>11043</f>
        <v>11043</v>
      </c>
      <c r="J11">
        <f>2977</f>
        <v>2977</v>
      </c>
      <c r="K11">
        <f>2656</f>
        <v>2656</v>
      </c>
      <c r="L11">
        <f>1533</f>
        <v>1533</v>
      </c>
      <c r="M11">
        <f>279</f>
        <v>279</v>
      </c>
      <c r="N11">
        <f>-700</f>
        <v>-700</v>
      </c>
      <c r="O11">
        <f>661</f>
        <v>661</v>
      </c>
      <c r="P11">
        <f>494-259</f>
        <v>235</v>
      </c>
      <c r="Q11">
        <f>0</f>
        <v>0</v>
      </c>
      <c r="R11">
        <f t="shared" si="4"/>
        <v>1</v>
      </c>
    </row>
    <row r="12" spans="1:18">
      <c r="A12" s="1" t="s">
        <v>28</v>
      </c>
      <c r="B12">
        <f>4622</f>
        <v>4622</v>
      </c>
      <c r="C12">
        <f>-3304</f>
        <v>-3304</v>
      </c>
      <c r="D12">
        <f t="shared" si="0"/>
        <v>1318</v>
      </c>
      <c r="E12">
        <f>1112</f>
        <v>1112</v>
      </c>
      <c r="F12">
        <f>764</f>
        <v>764</v>
      </c>
      <c r="G12">
        <f>462</f>
        <v>462</v>
      </c>
      <c r="H12" s="2">
        <f>205.072*1000000</f>
        <v>205072000</v>
      </c>
      <c r="I12">
        <f>12305</f>
        <v>12305</v>
      </c>
      <c r="J12">
        <f>2306</f>
        <v>2306</v>
      </c>
      <c r="K12">
        <f>2606</f>
        <v>2606</v>
      </c>
      <c r="L12">
        <f>1612</f>
        <v>1612</v>
      </c>
      <c r="M12">
        <f>685</f>
        <v>685</v>
      </c>
      <c r="N12">
        <f>-1444</f>
        <v>-1444</v>
      </c>
      <c r="O12">
        <f>894</f>
        <v>894</v>
      </c>
      <c r="P12">
        <f>192-47</f>
        <v>145</v>
      </c>
      <c r="Q12">
        <f>1</f>
        <v>1</v>
      </c>
      <c r="R12">
        <f t="shared" si="3"/>
        <v>0</v>
      </c>
    </row>
    <row r="13" spans="1:18">
      <c r="A13" s="1" t="s">
        <v>29</v>
      </c>
      <c r="B13">
        <f>2606</f>
        <v>2606</v>
      </c>
      <c r="C13">
        <f>-1425</f>
        <v>-1425</v>
      </c>
      <c r="D13">
        <f t="shared" si="0"/>
        <v>1181</v>
      </c>
      <c r="E13">
        <f>1039</f>
        <v>1039</v>
      </c>
      <c r="F13">
        <f>631</f>
        <v>631</v>
      </c>
      <c r="G13">
        <f>548</f>
        <v>548</v>
      </c>
      <c r="H13" s="2">
        <f>209.751*1000000</f>
        <v>209751000</v>
      </c>
      <c r="I13">
        <f>14009</f>
        <v>14009</v>
      </c>
      <c r="J13">
        <f>3018</f>
        <v>3018</v>
      </c>
      <c r="K13">
        <f>4224</f>
        <v>4224</v>
      </c>
      <c r="L13">
        <f>1841</f>
        <v>1841</v>
      </c>
      <c r="M13">
        <f>352</f>
        <v>352</v>
      </c>
      <c r="N13">
        <f>-1457</f>
        <v>-1457</v>
      </c>
      <c r="O13">
        <f>1319</f>
        <v>1319</v>
      </c>
      <c r="P13">
        <f>407-193</f>
        <v>214</v>
      </c>
      <c r="Q13">
        <f>0</f>
        <v>0</v>
      </c>
      <c r="R13">
        <f t="shared" si="4"/>
        <v>1</v>
      </c>
    </row>
    <row r="14" spans="1:18">
      <c r="A14" s="1" t="s">
        <v>30</v>
      </c>
      <c r="B14">
        <f>6308</f>
        <v>6308</v>
      </c>
      <c r="C14">
        <f>-3341</f>
        <v>-3341</v>
      </c>
      <c r="D14">
        <f t="shared" si="0"/>
        <v>2967</v>
      </c>
      <c r="E14">
        <f>2481</f>
        <v>2481</v>
      </c>
      <c r="F14">
        <f>1411</f>
        <v>1411</v>
      </c>
      <c r="G14">
        <f>1207</f>
        <v>1207</v>
      </c>
      <c r="H14" s="2">
        <f>211.523*1000000</f>
        <v>211523000</v>
      </c>
      <c r="I14">
        <f>14369</f>
        <v>14369</v>
      </c>
      <c r="J14">
        <f>3775</f>
        <v>3775</v>
      </c>
      <c r="K14">
        <f>4329</f>
        <v>4329</v>
      </c>
      <c r="L14">
        <f>2597</f>
        <v>2597</v>
      </c>
      <c r="M14">
        <f>1974</f>
        <v>1974</v>
      </c>
      <c r="N14">
        <f>-2691</f>
        <v>-2691</v>
      </c>
      <c r="O14">
        <f>1562</f>
        <v>1562</v>
      </c>
      <c r="P14">
        <f>1039-193</f>
        <v>846</v>
      </c>
      <c r="Q14">
        <f>1</f>
        <v>1</v>
      </c>
      <c r="R14">
        <f t="shared" ref="R14:R18" si="5">0</f>
        <v>0</v>
      </c>
    </row>
    <row r="15" spans="1:18">
      <c r="A15" s="1" t="s">
        <v>31</v>
      </c>
      <c r="B15">
        <f>4119</f>
        <v>4119</v>
      </c>
      <c r="C15">
        <f>-2319</f>
        <v>-2319</v>
      </c>
      <c r="D15">
        <f t="shared" si="0"/>
        <v>1800</v>
      </c>
      <c r="E15">
        <f>1506</f>
        <v>1506</v>
      </c>
      <c r="F15">
        <f>967</f>
        <v>967</v>
      </c>
      <c r="G15">
        <f>741</f>
        <v>741</v>
      </c>
      <c r="H15" s="2">
        <f>213.434*1000000</f>
        <v>213434000</v>
      </c>
      <c r="I15">
        <f>13555</f>
        <v>13555</v>
      </c>
      <c r="J15">
        <f>4400</f>
        <v>4400</v>
      </c>
      <c r="K15">
        <f>4387</f>
        <v>4387</v>
      </c>
      <c r="L15">
        <f>3216</f>
        <v>3216</v>
      </c>
      <c r="M15">
        <f>998</f>
        <v>998</v>
      </c>
      <c r="N15">
        <f>-1283</f>
        <v>-1283</v>
      </c>
      <c r="O15">
        <f>409</f>
        <v>409</v>
      </c>
      <c r="P15">
        <f>1162-1039</f>
        <v>123</v>
      </c>
      <c r="Q15">
        <f>0</f>
        <v>0</v>
      </c>
      <c r="R15">
        <f t="shared" ref="R15:R19" si="6">1</f>
        <v>1</v>
      </c>
    </row>
    <row r="16" spans="1:18">
      <c r="A16" s="1" t="s">
        <v>32</v>
      </c>
      <c r="B16">
        <f>12919</f>
        <v>12919</v>
      </c>
      <c r="C16">
        <f>-5516</f>
        <v>-5516</v>
      </c>
      <c r="D16">
        <f t="shared" si="0"/>
        <v>7403</v>
      </c>
      <c r="E16">
        <f>6678</f>
        <v>6678</v>
      </c>
      <c r="F16">
        <f>4947</f>
        <v>4947</v>
      </c>
      <c r="G16">
        <f>4013</f>
        <v>4013</v>
      </c>
      <c r="H16" s="2">
        <f>214.347*1000000</f>
        <v>214347000</v>
      </c>
      <c r="I16">
        <f>16802</f>
        <v>16802</v>
      </c>
      <c r="J16">
        <f>8076</f>
        <v>8076</v>
      </c>
      <c r="K16">
        <f>4732</f>
        <v>4732</v>
      </c>
      <c r="L16">
        <f>4470</f>
        <v>4470</v>
      </c>
      <c r="M16">
        <f>4169</f>
        <v>4169</v>
      </c>
      <c r="N16">
        <f>-2427</f>
        <v>-2427</v>
      </c>
      <c r="O16">
        <f>-175</f>
        <v>-175</v>
      </c>
      <c r="P16">
        <f>2594-1039</f>
        <v>1555</v>
      </c>
      <c r="Q16">
        <f>1</f>
        <v>1</v>
      </c>
      <c r="R16">
        <f t="shared" si="5"/>
        <v>0</v>
      </c>
    </row>
    <row r="17" spans="1:18">
      <c r="A17" s="1" t="s">
        <v>33</v>
      </c>
      <c r="B17">
        <f>6710</f>
        <v>6710</v>
      </c>
      <c r="C17">
        <f>3158</f>
        <v>3158</v>
      </c>
      <c r="D17">
        <f t="shared" si="0"/>
        <v>9868</v>
      </c>
      <c r="E17">
        <f>3313</f>
        <v>3313</v>
      </c>
      <c r="F17">
        <f>4947</f>
        <v>4947</v>
      </c>
      <c r="G17">
        <f>2232</f>
        <v>2232</v>
      </c>
      <c r="H17" s="2">
        <f>215.187*1000000</f>
        <v>215187000</v>
      </c>
      <c r="I17">
        <f>18654</f>
        <v>18654</v>
      </c>
      <c r="J17">
        <f>9623</f>
        <v>9623</v>
      </c>
      <c r="K17">
        <f>3828</f>
        <v>3828</v>
      </c>
      <c r="L17">
        <f>7427</f>
        <v>7427</v>
      </c>
      <c r="M17">
        <f>2798</f>
        <v>2798</v>
      </c>
      <c r="N17">
        <f>-1770</f>
        <v>-1770</v>
      </c>
      <c r="O17">
        <f>-63</f>
        <v>-63</v>
      </c>
      <c r="P17">
        <f>3548-2594</f>
        <v>954</v>
      </c>
      <c r="Q17">
        <f>0</f>
        <v>0</v>
      </c>
      <c r="R17">
        <f t="shared" si="6"/>
        <v>1</v>
      </c>
    </row>
    <row r="18" spans="1:18">
      <c r="A18" s="1" t="s">
        <v>34</v>
      </c>
      <c r="B18">
        <f>10674</f>
        <v>10674</v>
      </c>
      <c r="C18">
        <f>-6048</f>
        <v>-6048</v>
      </c>
      <c r="D18">
        <f t="shared" si="0"/>
        <v>4626</v>
      </c>
      <c r="E18">
        <f>3707</f>
        <v>3707</v>
      </c>
      <c r="F18">
        <f>2670</f>
        <v>2670</v>
      </c>
      <c r="G18">
        <f>2317</f>
        <v>2317</v>
      </c>
      <c r="H18" s="2">
        <f>214.737*1000000</f>
        <v>214737000</v>
      </c>
      <c r="I18">
        <f>18566</f>
        <v>18566</v>
      </c>
      <c r="J18">
        <f>6933</f>
        <v>6933</v>
      </c>
      <c r="K18">
        <f>4042</f>
        <v>4042</v>
      </c>
      <c r="L18">
        <f>4706</f>
        <v>4706</v>
      </c>
      <c r="M18">
        <f>4050</f>
        <v>4050</v>
      </c>
      <c r="N18">
        <f>-3135</f>
        <v>-3135</v>
      </c>
      <c r="O18">
        <f>-171</f>
        <v>-171</v>
      </c>
      <c r="P18">
        <f>3325-2594</f>
        <v>731</v>
      </c>
      <c r="Q18">
        <f>1</f>
        <v>1</v>
      </c>
      <c r="R18">
        <f t="shared" si="5"/>
        <v>0</v>
      </c>
    </row>
    <row r="19" spans="1:18">
      <c r="A19" s="1" t="s">
        <v>35</v>
      </c>
      <c r="B19">
        <f>4386</f>
        <v>4386</v>
      </c>
      <c r="C19">
        <f>-3088</f>
        <v>-3088</v>
      </c>
      <c r="D19">
        <f t="shared" si="0"/>
        <v>1298</v>
      </c>
      <c r="E19">
        <f>744</f>
        <v>744</v>
      </c>
      <c r="F19">
        <f>526</f>
        <v>526</v>
      </c>
      <c r="G19">
        <f>454</f>
        <v>454</v>
      </c>
      <c r="H19" s="2">
        <f>214.083*1000000</f>
        <v>214083000</v>
      </c>
      <c r="I19">
        <f>19001</f>
        <v>19001</v>
      </c>
      <c r="J19">
        <f>6265</f>
        <v>6265</v>
      </c>
      <c r="K19">
        <f>5676</f>
        <v>5676</v>
      </c>
      <c r="L19">
        <f>2845</f>
        <v>2845</v>
      </c>
      <c r="M19">
        <f>194</f>
        <v>194</v>
      </c>
      <c r="N19">
        <f>-1211</f>
        <v>-1211</v>
      </c>
      <c r="O19">
        <f>-221</f>
        <v>-221</v>
      </c>
      <c r="P19">
        <f>2082-3325</f>
        <v>-1243</v>
      </c>
      <c r="Q19">
        <f>0</f>
        <v>0</v>
      </c>
      <c r="R19">
        <f t="shared" si="6"/>
        <v>1</v>
      </c>
    </row>
    <row r="20" spans="1:18">
      <c r="A20" s="1" t="s">
        <v>36</v>
      </c>
      <c r="B20">
        <f>11423</f>
        <v>11423</v>
      </c>
      <c r="C20">
        <f>-7480</f>
        <v>-7480</v>
      </c>
      <c r="D20">
        <f t="shared" si="0"/>
        <v>3943</v>
      </c>
      <c r="E20">
        <f>2920</f>
        <v>2920</v>
      </c>
      <c r="F20">
        <f>1974</f>
        <v>1974</v>
      </c>
      <c r="G20">
        <f>1714</f>
        <v>1714</v>
      </c>
      <c r="H20" s="2">
        <f>214.763*1000000</f>
        <v>214763000</v>
      </c>
      <c r="I20">
        <f>20290</f>
        <v>20290</v>
      </c>
      <c r="J20">
        <f>7943</f>
        <v>7943</v>
      </c>
      <c r="K20">
        <f>6043</f>
        <v>6043</v>
      </c>
      <c r="L20">
        <f>3661</f>
        <v>3661</v>
      </c>
      <c r="M20">
        <f>2521</f>
        <v>2521</v>
      </c>
      <c r="N20">
        <f>-2324</f>
        <v>-2324</v>
      </c>
      <c r="O20">
        <f>-729</f>
        <v>-729</v>
      </c>
      <c r="P20">
        <f>2791-3325</f>
        <v>-534</v>
      </c>
      <c r="Q20">
        <f>1</f>
        <v>1</v>
      </c>
      <c r="R20">
        <f t="shared" ref="R20:R24" si="7">0</f>
        <v>0</v>
      </c>
    </row>
    <row r="21" spans="1:18">
      <c r="A21" s="1" t="s">
        <v>37</v>
      </c>
      <c r="B21">
        <f>6924</f>
        <v>6924</v>
      </c>
      <c r="C21">
        <f>-3940</f>
        <v>-3940</v>
      </c>
      <c r="D21">
        <f t="shared" si="0"/>
        <v>2984</v>
      </c>
      <c r="E21">
        <f>2534</f>
        <v>2534</v>
      </c>
      <c r="F21">
        <f>1628</f>
        <v>1628</v>
      </c>
      <c r="G21">
        <f>1562</f>
        <v>1562</v>
      </c>
      <c r="H21" s="2">
        <f>214.827*1000000</f>
        <v>214827000</v>
      </c>
      <c r="I21">
        <f>21649</f>
        <v>21649</v>
      </c>
      <c r="J21">
        <f>7864</f>
        <v>7864</v>
      </c>
      <c r="K21">
        <f>6507</f>
        <v>6507</v>
      </c>
      <c r="L21">
        <f>3168</f>
        <v>3168</v>
      </c>
      <c r="M21">
        <f>1201</f>
        <v>1201</v>
      </c>
      <c r="N21">
        <f>-1937</f>
        <v>-1937</v>
      </c>
      <c r="O21">
        <f>-68</f>
        <v>-68</v>
      </c>
      <c r="P21">
        <f>1968-2791</f>
        <v>-823</v>
      </c>
      <c r="Q21">
        <f>0</f>
        <v>0</v>
      </c>
      <c r="R21">
        <f t="shared" ref="R21:R25" si="8">1</f>
        <v>1</v>
      </c>
    </row>
    <row r="22" spans="1:18">
      <c r="A22" s="1" t="s">
        <v>38</v>
      </c>
      <c r="B22">
        <f>15357</f>
        <v>15357</v>
      </c>
      <c r="C22">
        <f>-8952</f>
        <v>-8952</v>
      </c>
      <c r="D22">
        <f t="shared" si="0"/>
        <v>6405</v>
      </c>
      <c r="E22">
        <f>5322</f>
        <v>5322</v>
      </c>
      <c r="F22">
        <f>3505</f>
        <v>3505</v>
      </c>
      <c r="G22">
        <f>3319</f>
        <v>3319</v>
      </c>
      <c r="H22" s="2">
        <f>213.871*1000000</f>
        <v>213871000</v>
      </c>
      <c r="I22">
        <f>23291</f>
        <v>23291</v>
      </c>
      <c r="J22">
        <f>9018</f>
        <v>9018</v>
      </c>
      <c r="K22">
        <f>6457</f>
        <v>6457</v>
      </c>
      <c r="L22">
        <f>3737</f>
        <v>3737</v>
      </c>
      <c r="M22">
        <f>4329</f>
        <v>4329</v>
      </c>
      <c r="N22">
        <f>-3292</f>
        <v>-3292</v>
      </c>
      <c r="O22">
        <f>-588</f>
        <v>-588</v>
      </c>
      <c r="P22">
        <f>3227-2791</f>
        <v>436</v>
      </c>
      <c r="Q22">
        <f>1</f>
        <v>1</v>
      </c>
      <c r="R22">
        <f t="shared" si="7"/>
        <v>0</v>
      </c>
    </row>
    <row r="23" spans="1:18">
      <c r="A23" s="1" t="s">
        <v>39</v>
      </c>
      <c r="B23">
        <f>9093</f>
        <v>9093</v>
      </c>
      <c r="C23">
        <f>-5439</f>
        <v>-5439</v>
      </c>
      <c r="D23">
        <f t="shared" si="0"/>
        <v>3654</v>
      </c>
      <c r="E23">
        <f>3084</f>
        <v>3084</v>
      </c>
      <c r="F23">
        <f>2068</f>
        <v>2068</v>
      </c>
      <c r="G23">
        <f>1944</f>
        <v>1944</v>
      </c>
      <c r="H23" s="2">
        <f>214.579*1000000</f>
        <v>214579000</v>
      </c>
      <c r="I23">
        <f>25024</f>
        <v>25024</v>
      </c>
      <c r="J23">
        <f>9266</f>
        <v>9266</v>
      </c>
      <c r="K23">
        <f>6329</f>
        <v>6329</v>
      </c>
      <c r="L23">
        <f>4173</f>
        <v>4173</v>
      </c>
      <c r="M23">
        <f>1068</f>
        <v>1068</v>
      </c>
      <c r="N23">
        <f>-1902</f>
        <v>-1902</v>
      </c>
      <c r="O23">
        <f>53</f>
        <v>53</v>
      </c>
      <c r="P23">
        <f>2465-3227</f>
        <v>-762</v>
      </c>
      <c r="Q23">
        <f>0</f>
        <v>0</v>
      </c>
      <c r="R23">
        <f t="shared" si="8"/>
        <v>1</v>
      </c>
    </row>
    <row r="24" spans="1:18">
      <c r="A24" s="1" t="s">
        <v>40</v>
      </c>
      <c r="B24">
        <f>18142</f>
        <v>18142</v>
      </c>
      <c r="C24">
        <f>-11463</f>
        <v>-11463</v>
      </c>
      <c r="D24">
        <f t="shared" si="0"/>
        <v>6679</v>
      </c>
      <c r="E24">
        <f>5216</f>
        <v>5216</v>
      </c>
      <c r="F24">
        <f>3571</f>
        <v>3571</v>
      </c>
      <c r="G24">
        <f>3451</f>
        <v>3451</v>
      </c>
      <c r="H24" s="2">
        <f>215.118*1000000</f>
        <v>215118000</v>
      </c>
      <c r="I24">
        <f>25662</f>
        <v>25662</v>
      </c>
      <c r="J24">
        <f>9654</f>
        <v>9654</v>
      </c>
      <c r="K24">
        <f>6885</f>
        <v>6885</v>
      </c>
      <c r="L24">
        <f>4026</f>
        <v>4026</v>
      </c>
      <c r="M24">
        <f>3888</f>
        <v>3888</v>
      </c>
      <c r="N24">
        <f>-4077</f>
        <v>-4077</v>
      </c>
      <c r="O24">
        <f>179</f>
        <v>179</v>
      </c>
      <c r="P24">
        <f>0</f>
        <v>0</v>
      </c>
      <c r="Q24">
        <f>1</f>
        <v>1</v>
      </c>
      <c r="R24">
        <f t="shared" si="7"/>
        <v>0</v>
      </c>
    </row>
    <row r="25" spans="1:18">
      <c r="A25" s="1" t="s">
        <v>41</v>
      </c>
      <c r="B25">
        <f>9145</f>
        <v>9145</v>
      </c>
      <c r="C25">
        <f>-6317</f>
        <v>-6317</v>
      </c>
      <c r="D25">
        <f t="shared" si="0"/>
        <v>2828</v>
      </c>
      <c r="E25">
        <f>2061</f>
        <v>2061</v>
      </c>
      <c r="F25">
        <f>1490</f>
        <v>1490</v>
      </c>
      <c r="G25">
        <f>1406</f>
        <v>1406</v>
      </c>
      <c r="H25" s="2">
        <f>216.424*1000000</f>
        <v>216424000</v>
      </c>
      <c r="I25">
        <f>26946</f>
        <v>26946</v>
      </c>
      <c r="J25">
        <f>10163</f>
        <v>10163</v>
      </c>
      <c r="K25">
        <f>8327</f>
        <v>8327</v>
      </c>
      <c r="L25">
        <f>3881</f>
        <v>3881</v>
      </c>
      <c r="M25">
        <f>361</f>
        <v>361</v>
      </c>
      <c r="N25">
        <f>-2090</f>
        <v>-2090</v>
      </c>
      <c r="O25">
        <f>982</f>
        <v>982</v>
      </c>
      <c r="P25">
        <f>2486-3227</f>
        <v>-741</v>
      </c>
      <c r="Q25">
        <f>0</f>
        <v>0</v>
      </c>
      <c r="R25">
        <f t="shared" si="8"/>
        <v>1</v>
      </c>
    </row>
    <row r="26" spans="1:18">
      <c r="A26" s="1" t="s">
        <v>42</v>
      </c>
      <c r="B26">
        <f>20519</f>
        <v>20519</v>
      </c>
      <c r="C26">
        <f>-13115</f>
        <v>-13115</v>
      </c>
      <c r="D26">
        <f t="shared" si="0"/>
        <v>7404</v>
      </c>
      <c r="E26">
        <f>5537</f>
        <v>5537</v>
      </c>
      <c r="F26">
        <f>1782</f>
        <v>1782</v>
      </c>
      <c r="G26">
        <f>3737</f>
        <v>3737</v>
      </c>
      <c r="H26" s="2">
        <f>216.914*1000000</f>
        <v>216914000</v>
      </c>
      <c r="I26">
        <f>25387</f>
        <v>25387</v>
      </c>
      <c r="J26">
        <f>12543</f>
        <v>12543</v>
      </c>
      <c r="K26">
        <f>8235</f>
        <v>8235</v>
      </c>
      <c r="L26">
        <f>4423</f>
        <v>4423</v>
      </c>
      <c r="M26">
        <f>4248</f>
        <v>4248</v>
      </c>
      <c r="N26">
        <f>-3761</f>
        <v>-3761</v>
      </c>
      <c r="O26">
        <f>474</f>
        <v>474</v>
      </c>
      <c r="P26">
        <f>4236-3227</f>
        <v>1009</v>
      </c>
      <c r="Q26">
        <f>1</f>
        <v>1</v>
      </c>
      <c r="R26">
        <f t="shared" ref="R26:R30" si="9">0</f>
        <v>0</v>
      </c>
    </row>
    <row r="27" spans="1:18">
      <c r="A27" s="1" t="s">
        <v>43</v>
      </c>
      <c r="B27">
        <f>4983</f>
        <v>4983</v>
      </c>
      <c r="C27">
        <f>-3582</f>
        <v>-3582</v>
      </c>
      <c r="D27">
        <f t="shared" si="0"/>
        <v>1401</v>
      </c>
      <c r="E27">
        <f>780</f>
        <v>780</v>
      </c>
      <c r="F27">
        <f>1830</f>
        <v>1830</v>
      </c>
      <c r="G27">
        <f>2341</f>
        <v>2341</v>
      </c>
      <c r="H27" s="2">
        <f>217.492*1000000</f>
        <v>217492000</v>
      </c>
      <c r="I27">
        <f>29233</f>
        <v>29233</v>
      </c>
      <c r="J27">
        <f>5492</f>
        <v>5492</v>
      </c>
      <c r="K27">
        <f>5585</f>
        <v>5585</v>
      </c>
      <c r="L27">
        <f>2876</f>
        <v>2876</v>
      </c>
      <c r="M27">
        <f>369</f>
        <v>369</v>
      </c>
      <c r="N27">
        <f>-510</f>
        <v>-510</v>
      </c>
      <c r="O27">
        <f>-319</f>
        <v>-319</v>
      </c>
      <c r="P27">
        <f>1113-1569</f>
        <v>-456</v>
      </c>
      <c r="Q27">
        <f>0</f>
        <v>0</v>
      </c>
      <c r="R27">
        <f t="shared" ref="R27:R31" si="10">1</f>
        <v>1</v>
      </c>
    </row>
    <row r="28" spans="1:18">
      <c r="A28" s="1" t="s">
        <v>44</v>
      </c>
      <c r="B28">
        <f>10863</f>
        <v>10863</v>
      </c>
      <c r="C28">
        <f>-7531</f>
        <v>-7531</v>
      </c>
      <c r="D28">
        <f t="shared" si="0"/>
        <v>3332</v>
      </c>
      <c r="E28">
        <f>1671</f>
        <v>1671</v>
      </c>
      <c r="F28">
        <f>3544</f>
        <v>3544</v>
      </c>
      <c r="G28">
        <f>4108</f>
        <v>4108</v>
      </c>
      <c r="H28" s="2">
        <f>217.784*1000000</f>
        <v>217784000</v>
      </c>
      <c r="I28">
        <f>30077</f>
        <v>30077</v>
      </c>
      <c r="J28">
        <f>6381</f>
        <v>6381</v>
      </c>
      <c r="K28">
        <f>4889</f>
        <v>4889</v>
      </c>
      <c r="L28">
        <f>3370</f>
        <v>3370</v>
      </c>
      <c r="M28">
        <f>2077</f>
        <v>2077</v>
      </c>
      <c r="N28">
        <f>-1222</f>
        <v>-1222</v>
      </c>
      <c r="O28">
        <f>-759</f>
        <v>-759</v>
      </c>
      <c r="P28">
        <f>1669-1569</f>
        <v>100</v>
      </c>
      <c r="Q28">
        <f>1</f>
        <v>1</v>
      </c>
      <c r="R28">
        <f t="shared" si="9"/>
        <v>0</v>
      </c>
    </row>
    <row r="29" spans="1:18">
      <c r="A29" s="1" t="s">
        <v>45</v>
      </c>
      <c r="B29">
        <f>5210</f>
        <v>5210</v>
      </c>
      <c r="C29">
        <f>-4011</f>
        <v>-4011</v>
      </c>
      <c r="D29">
        <f t="shared" si="0"/>
        <v>1199</v>
      </c>
      <c r="E29">
        <f>609</f>
        <v>609</v>
      </c>
      <c r="F29">
        <f>892</f>
        <v>892</v>
      </c>
      <c r="G29">
        <f>1026</f>
        <v>1026</v>
      </c>
      <c r="H29" s="2">
        <f>218.315*1000000</f>
        <v>218315000</v>
      </c>
      <c r="I29">
        <f>30522</f>
        <v>30522</v>
      </c>
      <c r="J29">
        <f>5913</f>
        <v>5913</v>
      </c>
      <c r="K29">
        <f>4936</f>
        <v>4936</v>
      </c>
      <c r="L29">
        <f>3885</f>
        <v>3885</v>
      </c>
      <c r="M29">
        <f>670</f>
        <v>670</v>
      </c>
      <c r="N29">
        <f>-1130</f>
        <v>-1130</v>
      </c>
      <c r="O29">
        <f>-134</f>
        <v>-134</v>
      </c>
      <c r="P29">
        <f>1074-1669</f>
        <v>-595</v>
      </c>
      <c r="Q29">
        <f>0</f>
        <v>0</v>
      </c>
      <c r="R29">
        <f t="shared" si="10"/>
        <v>1</v>
      </c>
    </row>
    <row r="30" spans="1:18">
      <c r="A30" s="1" t="s">
        <v>46</v>
      </c>
      <c r="B30">
        <f>10227</f>
        <v>10227</v>
      </c>
      <c r="C30">
        <f>-7854</f>
        <v>-7854</v>
      </c>
      <c r="D30">
        <f t="shared" si="0"/>
        <v>2373</v>
      </c>
      <c r="E30">
        <f>1040</f>
        <v>1040</v>
      </c>
      <c r="F30">
        <f>73</f>
        <v>73</v>
      </c>
      <c r="G30">
        <f>1744</f>
        <v>1744</v>
      </c>
      <c r="H30" s="2">
        <f>218.222*1000000</f>
        <v>218222000</v>
      </c>
      <c r="I30">
        <f>29616</f>
        <v>29616</v>
      </c>
      <c r="J30">
        <f>5655</f>
        <v>5655</v>
      </c>
      <c r="K30">
        <f>5137</f>
        <v>5137</v>
      </c>
      <c r="L30">
        <f>3241</f>
        <v>3241</v>
      </c>
      <c r="M30">
        <f>2055</f>
        <v>2055</v>
      </c>
      <c r="N30">
        <f>-1980</f>
        <v>-1980</v>
      </c>
      <c r="O30">
        <f>-304</f>
        <v>-304</v>
      </c>
      <c r="P30">
        <f>1445-1669</f>
        <v>-224</v>
      </c>
      <c r="Q30">
        <f>1</f>
        <v>1</v>
      </c>
      <c r="R30">
        <f t="shared" si="9"/>
        <v>0</v>
      </c>
    </row>
    <row r="31" spans="1:18">
      <c r="A31" s="1" t="s">
        <v>47</v>
      </c>
      <c r="B31">
        <f>4708</f>
        <v>4708</v>
      </c>
      <c r="C31">
        <f>-4124</f>
        <v>-4124</v>
      </c>
      <c r="D31">
        <f t="shared" si="0"/>
        <v>584</v>
      </c>
      <c r="E31">
        <f>373</f>
        <v>373</v>
      </c>
      <c r="F31">
        <f>-1275</f>
        <v>-1275</v>
      </c>
      <c r="G31">
        <f>507</f>
        <v>507</v>
      </c>
      <c r="H31" s="2">
        <f>218.65*1000000</f>
        <v>218650000</v>
      </c>
      <c r="I31">
        <f>28497</f>
        <v>28497</v>
      </c>
      <c r="J31">
        <f>5024</f>
        <v>5024</v>
      </c>
      <c r="K31">
        <f>5381</f>
        <v>5381</v>
      </c>
      <c r="L31">
        <f>3601</f>
        <v>3601</v>
      </c>
      <c r="M31">
        <f>11</f>
        <v>11</v>
      </c>
      <c r="N31">
        <f>-545</f>
        <v>-545</v>
      </c>
      <c r="O31">
        <f>29</f>
        <v>29</v>
      </c>
      <c r="P31">
        <f>922-1445</f>
        <v>-523</v>
      </c>
      <c r="Q31">
        <f>0</f>
        <v>0</v>
      </c>
      <c r="R31">
        <f t="shared" si="10"/>
        <v>1</v>
      </c>
    </row>
    <row r="32" spans="1:18">
      <c r="A32" s="1" t="s">
        <v>48</v>
      </c>
      <c r="B32">
        <f>9600</f>
        <v>9600</v>
      </c>
      <c r="C32">
        <f>-8147</f>
        <v>-8147</v>
      </c>
      <c r="D32">
        <f t="shared" si="0"/>
        <v>1453</v>
      </c>
      <c r="E32">
        <f>219</f>
        <v>219</v>
      </c>
      <c r="F32">
        <f>-765</f>
        <v>-765</v>
      </c>
      <c r="G32">
        <f>1051</f>
        <v>1051</v>
      </c>
      <c r="H32" s="2">
        <f>215.825*1000000</f>
        <v>215825000</v>
      </c>
      <c r="I32">
        <f>30591</f>
        <v>30591</v>
      </c>
      <c r="J32">
        <f>4533</f>
        <v>4533</v>
      </c>
      <c r="K32">
        <f>6850</f>
        <v>6850</v>
      </c>
      <c r="L32">
        <f>3696</f>
        <v>3696</v>
      </c>
      <c r="M32">
        <f>610</f>
        <v>610</v>
      </c>
      <c r="N32">
        <f>-800</f>
        <v>-800</v>
      </c>
      <c r="O32">
        <f>-558</f>
        <v>-558</v>
      </c>
      <c r="P32">
        <f>667-1445</f>
        <v>-778</v>
      </c>
      <c r="Q32">
        <f>1</f>
        <v>1</v>
      </c>
      <c r="R32">
        <f>0</f>
        <v>0</v>
      </c>
    </row>
    <row r="33" spans="1:18">
      <c r="A33" s="1" t="s">
        <v>49</v>
      </c>
      <c r="B33">
        <f>4950</f>
        <v>4950</v>
      </c>
      <c r="C33">
        <f>-3817</f>
        <v>-3817</v>
      </c>
      <c r="D33">
        <f t="shared" si="0"/>
        <v>1133</v>
      </c>
      <c r="E33">
        <f>224</f>
        <v>224</v>
      </c>
      <c r="F33">
        <f>-283</f>
        <v>-283</v>
      </c>
      <c r="G33">
        <f>1693</f>
        <v>1693</v>
      </c>
      <c r="H33" s="2">
        <f>194.88*1000000</f>
        <v>194880000</v>
      </c>
      <c r="I33">
        <f>27417</f>
        <v>27417</v>
      </c>
      <c r="J33">
        <f>4283</f>
        <v>4283</v>
      </c>
      <c r="K33">
        <f>5689</f>
        <v>5689</v>
      </c>
      <c r="L33">
        <f>3231</f>
        <v>3231</v>
      </c>
      <c r="M33">
        <f>1058</f>
        <v>1058</v>
      </c>
      <c r="N33">
        <f>-247</f>
        <v>-247</v>
      </c>
      <c r="O33">
        <f>-713</f>
        <v>-713</v>
      </c>
      <c r="P33">
        <f>776-667</f>
        <v>109</v>
      </c>
      <c r="Q33">
        <f>0</f>
        <v>0</v>
      </c>
      <c r="R33">
        <f>1</f>
        <v>1</v>
      </c>
    </row>
    <row r="34" spans="1:18">
      <c r="A34" s="1" t="s">
        <v>50</v>
      </c>
      <c r="B34">
        <f>9019</f>
        <v>9019</v>
      </c>
      <c r="C34">
        <f>-6951</f>
        <v>-6951</v>
      </c>
      <c r="D34">
        <f t="shared" si="0"/>
        <v>2068</v>
      </c>
      <c r="E34">
        <f>214</f>
        <v>214</v>
      </c>
      <c r="F34">
        <f>1432</f>
        <v>1432</v>
      </c>
      <c r="G34">
        <f>723</f>
        <v>723</v>
      </c>
      <c r="H34" s="2">
        <f>195.112*1000000</f>
        <v>195112000</v>
      </c>
      <c r="I34">
        <f>26388</f>
        <v>26388</v>
      </c>
      <c r="J34">
        <f>4253</f>
        <v>4253</v>
      </c>
      <c r="K34">
        <f>4465</f>
        <v>4465</v>
      </c>
      <c r="L34">
        <f>2569</f>
        <v>2569</v>
      </c>
      <c r="M34">
        <f>2868</f>
        <v>2868</v>
      </c>
      <c r="N34">
        <f>-640</f>
        <v>-640</v>
      </c>
      <c r="O34">
        <f>-1865</f>
        <v>-1865</v>
      </c>
      <c r="P34">
        <f>1031-667</f>
        <v>364</v>
      </c>
      <c r="Q34">
        <f>1</f>
        <v>1</v>
      </c>
      <c r="R34">
        <f>0</f>
        <v>0</v>
      </c>
    </row>
    <row r="35" spans="1:18">
      <c r="A35" s="1" t="s">
        <v>51</v>
      </c>
      <c r="B35">
        <v>5020</v>
      </c>
      <c r="C35">
        <v>-3455</v>
      </c>
      <c r="D35">
        <f>B35+C35</f>
        <v>1565</v>
      </c>
      <c r="E35">
        <v>638</v>
      </c>
      <c r="F35">
        <v>1891</v>
      </c>
      <c r="G35">
        <v>1938</v>
      </c>
      <c r="H35" s="2">
        <f>195740*1000</f>
        <v>195740000</v>
      </c>
      <c r="I35">
        <v>27533</v>
      </c>
      <c r="J35">
        <v>4991</v>
      </c>
      <c r="K35">
        <v>5066</v>
      </c>
      <c r="L35">
        <v>2533</v>
      </c>
      <c r="M35">
        <v>324</v>
      </c>
      <c r="N35">
        <v>160</v>
      </c>
      <c r="O35">
        <v>-125</v>
      </c>
      <c r="P35">
        <f>SUM(M35:O35)</f>
        <v>359</v>
      </c>
      <c r="Q35">
        <v>0</v>
      </c>
      <c r="R35">
        <v>1</v>
      </c>
    </row>
    <row r="36" spans="1:8">
      <c r="A36" s="1"/>
      <c r="H36" s="2"/>
    </row>
    <row r="37" spans="1:8">
      <c r="A37" s="1"/>
      <c r="H37" s="2"/>
    </row>
    <row r="38" spans="1:8">
      <c r="A38" s="1"/>
      <c r="H38" s="2"/>
    </row>
    <row r="39" spans="1:8">
      <c r="A39" s="1"/>
      <c r="H39" s="2"/>
    </row>
    <row r="40" spans="1:8">
      <c r="A40" s="1"/>
      <c r="H40" s="2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2017-12-04T07:03:00Z</dcterms:created>
  <dcterms:modified xsi:type="dcterms:W3CDTF">2018-04-12T08:49:51Z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