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80" windowHeight="26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<sst xmlns="http://schemas.openxmlformats.org/spreadsheetml/2006/main" count="51">
  <si>
    <t>Date</t>
  </si>
  <si>
    <t>Revenue</t>
  </si>
  <si>
    <t>Cost of sales</t>
  </si>
  <si>
    <t>Gross profit</t>
  </si>
  <si>
    <t>Operating profit</t>
  </si>
  <si>
    <t>Net profit</t>
  </si>
  <si>
    <t>Headline earnings</t>
  </si>
  <si>
    <t>Shares in issue</t>
  </si>
  <si>
    <t>Non-current assets</t>
  </si>
  <si>
    <t>Current assets</t>
  </si>
  <si>
    <t>Non-current liabilities</t>
  </si>
  <si>
    <t>Current liabilities</t>
  </si>
  <si>
    <t>Cash from operations</t>
  </si>
  <si>
    <t>Cash from investing</t>
  </si>
  <si>
    <t>Cash from financing</t>
  </si>
  <si>
    <t>Change in cash</t>
  </si>
  <si>
    <t>Full year</t>
  </si>
  <si>
    <t>Half year</t>
  </si>
  <si>
    <t>15-02-2002</t>
  </si>
  <si>
    <t>08-08-2002</t>
  </si>
  <si>
    <t>25-02-2003</t>
  </si>
  <si>
    <t>29-08-2003</t>
  </si>
  <si>
    <t>20-02-2004</t>
  </si>
  <si>
    <t>19-08-2004</t>
  </si>
  <si>
    <t>17-02-2005</t>
  </si>
  <si>
    <t>25-08-2005</t>
  </si>
  <si>
    <t>16-02-2006</t>
  </si>
  <si>
    <t>24-08-2006</t>
  </si>
  <si>
    <t>08-02-2007</t>
  </si>
  <si>
    <t>23-08-2007</t>
  </si>
  <si>
    <t>07-02-2008</t>
  </si>
  <si>
    <t>19-08-2008</t>
  </si>
  <si>
    <t>05-02-2009</t>
  </si>
  <si>
    <t>13-08-2009</t>
  </si>
  <si>
    <t>11-02-2010</t>
  </si>
  <si>
    <t>26-08-2010</t>
  </si>
  <si>
    <t>17-02-2011</t>
  </si>
  <si>
    <t>25-08-2011</t>
  </si>
  <si>
    <t>09-02-2012</t>
  </si>
  <si>
    <t>23-08-2012</t>
  </si>
  <si>
    <t>21-02-2013</t>
  </si>
  <si>
    <t>21-08-2013</t>
  </si>
  <si>
    <t>19-02-2014</t>
  </si>
  <si>
    <t>20-08-2014</t>
  </si>
  <si>
    <t>25-02-2015</t>
  </si>
  <si>
    <t>26-08-2015</t>
  </si>
  <si>
    <t>24-02-2016</t>
  </si>
  <si>
    <t>17-08-2016</t>
  </si>
  <si>
    <t>22-02-2017</t>
  </si>
  <si>
    <t>23-08-2017</t>
  </si>
  <si>
    <t>21-02-2018</t>
  </si>
</sst>
</file>

<file path=xl/styles.xml><?xml version="1.0" encoding="utf-8"?>
<styleSheet xmlns="http://schemas.openxmlformats.org/spreadsheetml/2006/main">
  <numFmts count="5">
    <numFmt numFmtId="176" formatCode="0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32" borderId="1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/>
    <xf numFmtId="4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4"/>
  <sheetViews>
    <sheetView tabSelected="1" workbookViewId="0">
      <selection activeCell="A1" sqref="A1"/>
    </sheetView>
  </sheetViews>
  <sheetFormatPr defaultColWidth="9.14285714285714" defaultRowHeight="15"/>
  <cols>
    <col min="1" max="1" width="11.1428571428571" customWidth="1"/>
    <col min="2" max="2" width="9.42857142857143" customWidth="1"/>
    <col min="3" max="3" width="12.8571428571429" customWidth="1"/>
    <col min="4" max="4" width="12.1428571428571" customWidth="1"/>
    <col min="5" max="5" width="16.5714285714286" customWidth="1"/>
    <col min="6" max="6" width="10.2857142857143" customWidth="1"/>
    <col min="7" max="7" width="18.5714285714286" customWidth="1"/>
    <col min="8" max="8" width="15.1428571428571" customWidth="1"/>
    <col min="9" max="9" width="19.2857142857143" customWidth="1"/>
    <col min="10" max="10" width="14.7142857142857" customWidth="1"/>
    <col min="11" max="11" width="22.5714285714286" customWidth="1"/>
    <col min="12" max="12" width="17.8571428571429" customWidth="1"/>
    <col min="13" max="13" width="21.7142857142857" customWidth="1"/>
    <col min="14" max="15" width="20.1428571428571" customWidth="1"/>
    <col min="16" max="16" width="15.1428571428571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 t="s">
        <v>18</v>
      </c>
      <c r="B2" s="3">
        <f>8894*11.495</f>
        <v>102236.53</v>
      </c>
      <c r="C2" s="3">
        <f>-6679*11.495</f>
        <v>-76775.105</v>
      </c>
      <c r="D2" s="3">
        <f t="shared" ref="D2:D34" si="0">B2+C2</f>
        <v>25461.425</v>
      </c>
      <c r="E2" s="3">
        <v>16093</v>
      </c>
      <c r="F2" s="3">
        <v>13771.01</v>
      </c>
      <c r="G2" s="3">
        <v>9264.97</v>
      </c>
      <c r="H2">
        <f>6024*1000000</f>
        <v>6024000000</v>
      </c>
      <c r="I2" s="3">
        <f>21713*11.495</f>
        <v>249590.935</v>
      </c>
      <c r="J2" s="3">
        <v>64372</v>
      </c>
      <c r="K2" s="3">
        <f>(7297+3777)*11.495</f>
        <v>127295.63</v>
      </c>
      <c r="L2" s="3">
        <v>42968.31</v>
      </c>
      <c r="M2" s="3">
        <v>23737.175</v>
      </c>
      <c r="N2" s="3">
        <f>-244*11.495</f>
        <v>-2804.78</v>
      </c>
      <c r="O2" s="3">
        <v>-4724.445</v>
      </c>
      <c r="P2" s="3">
        <f>-114*11.495</f>
        <v>-1310.43</v>
      </c>
      <c r="Q2">
        <f>0</f>
        <v>0</v>
      </c>
      <c r="R2">
        <f>1</f>
        <v>1</v>
      </c>
    </row>
    <row r="3" spans="1:18">
      <c r="A3" s="2" t="s">
        <v>19</v>
      </c>
      <c r="B3" s="3">
        <v>185957.88</v>
      </c>
      <c r="C3" s="3">
        <v>-137988.32</v>
      </c>
      <c r="D3" s="3">
        <f t="shared" si="0"/>
        <v>47969.56</v>
      </c>
      <c r="E3" s="3">
        <f>35054*10.46</f>
        <v>366664.84</v>
      </c>
      <c r="F3" s="3">
        <v>20229.64</v>
      </c>
      <c r="G3" s="3">
        <v>12029</v>
      </c>
      <c r="H3">
        <f>6029*1000000</f>
        <v>6029000000</v>
      </c>
      <c r="I3" s="3">
        <f>22728*10.46</f>
        <v>237734.88</v>
      </c>
      <c r="J3" s="3">
        <v>71379.04</v>
      </c>
      <c r="K3" s="3">
        <f>(5987+4654)*10.46</f>
        <v>111304.86</v>
      </c>
      <c r="L3" s="3">
        <v>65155.34</v>
      </c>
      <c r="M3" s="3">
        <v>48544.86</v>
      </c>
      <c r="N3" s="3">
        <v>-3734.22</v>
      </c>
      <c r="O3" s="3">
        <v>-5669.32</v>
      </c>
      <c r="P3" s="3">
        <v>-4780.22</v>
      </c>
      <c r="Q3">
        <f>1</f>
        <v>1</v>
      </c>
      <c r="R3">
        <f>0</f>
        <v>0</v>
      </c>
    </row>
    <row r="4" spans="1:18">
      <c r="A4" s="2" t="s">
        <v>20</v>
      </c>
      <c r="B4" s="3">
        <f>8048*8.175</f>
        <v>65792.4</v>
      </c>
      <c r="C4" s="3">
        <v>-45927.15</v>
      </c>
      <c r="D4" s="3">
        <f t="shared" si="0"/>
        <v>19865.25</v>
      </c>
      <c r="E4" s="3">
        <v>13382.475</v>
      </c>
      <c r="F4" s="3">
        <v>7610.925</v>
      </c>
      <c r="G4" s="3">
        <v>4062.975</v>
      </c>
      <c r="H4">
        <f>6201*1000000</f>
        <v>6201000000</v>
      </c>
      <c r="I4" s="3">
        <f>21343*8.175</f>
        <v>174479.025</v>
      </c>
      <c r="J4" s="3">
        <f>5637*8.175</f>
        <v>46082.475</v>
      </c>
      <c r="K4" s="3">
        <f>(6569+4256)*8.175</f>
        <v>88494.375</v>
      </c>
      <c r="L4" s="3">
        <f>4397*8.175</f>
        <v>35945.475</v>
      </c>
      <c r="M4" s="3">
        <v>15524.325</v>
      </c>
      <c r="N4" s="3">
        <f>-170*8.175</f>
        <v>-1389.75</v>
      </c>
      <c r="O4" s="3">
        <f>-1200*8.175</f>
        <v>-9810</v>
      </c>
      <c r="P4" s="3">
        <f>-255*8.175</f>
        <v>-2084.625</v>
      </c>
      <c r="Q4">
        <f>0</f>
        <v>0</v>
      </c>
      <c r="R4">
        <f>1</f>
        <v>1</v>
      </c>
    </row>
    <row r="5" spans="1:18">
      <c r="A5" s="2" t="s">
        <v>21</v>
      </c>
      <c r="B5" s="3">
        <f>15608*7.3596</f>
        <v>114868.6368</v>
      </c>
      <c r="C5" s="3">
        <f>-12554*7.3596</f>
        <v>-92392.4184</v>
      </c>
      <c r="D5" s="3">
        <f t="shared" si="0"/>
        <v>22476.2184</v>
      </c>
      <c r="E5" s="3">
        <f>3412*7.3596</f>
        <v>25110.9552</v>
      </c>
      <c r="F5" s="3">
        <f>1920*7.3596</f>
        <v>14130.432</v>
      </c>
      <c r="G5" s="3">
        <f>1020*7.3596</f>
        <v>7506.792</v>
      </c>
      <c r="H5">
        <f>6207*1000000</f>
        <v>6207000000</v>
      </c>
      <c r="I5" s="3">
        <v>159423.6552</v>
      </c>
      <c r="J5" s="3">
        <f>6703*7.3596</f>
        <v>49331.3988</v>
      </c>
      <c r="K5" s="3">
        <f>(6849+4978)*7.3596</f>
        <v>87041.9892</v>
      </c>
      <c r="L5" s="3">
        <f>4207*7.3596</f>
        <v>30961.8372</v>
      </c>
      <c r="M5" s="3">
        <f>4793*7.3596</f>
        <v>35274.5628</v>
      </c>
      <c r="N5" s="3">
        <v>-2929.1208</v>
      </c>
      <c r="O5" s="3">
        <f>-2355*7.3596</f>
        <v>-17331.858</v>
      </c>
      <c r="P5" s="3">
        <f>-126*7.3596</f>
        <v>-927.3096</v>
      </c>
      <c r="Q5">
        <f>1</f>
        <v>1</v>
      </c>
      <c r="R5">
        <f>0</f>
        <v>0</v>
      </c>
    </row>
    <row r="6" spans="1:18">
      <c r="A6" s="2" t="s">
        <v>22</v>
      </c>
      <c r="B6" s="3">
        <f>10963*6.625</f>
        <v>72629.875</v>
      </c>
      <c r="C6" s="3">
        <f>-8014*6.625</f>
        <v>-53092.75</v>
      </c>
      <c r="D6" s="3">
        <f t="shared" si="0"/>
        <v>19537.125</v>
      </c>
      <c r="E6" s="3">
        <f>2103*6.625</f>
        <v>13932.375</v>
      </c>
      <c r="F6" s="3">
        <f>1213*6.625</f>
        <v>8036.125</v>
      </c>
      <c r="G6" s="3">
        <f>716*6.625</f>
        <v>4743.5</v>
      </c>
      <c r="H6">
        <f>6233*1000000</f>
        <v>6233000000</v>
      </c>
      <c r="I6" s="3">
        <f>22351*6.625</f>
        <v>148075.375</v>
      </c>
      <c r="J6" s="3">
        <f>7372*6.625</f>
        <v>48839.5</v>
      </c>
      <c r="K6" s="3">
        <f>(6494+5494)*6.625</f>
        <v>79420.5</v>
      </c>
      <c r="L6" s="3">
        <f>4379*6.625</f>
        <v>29010.875</v>
      </c>
      <c r="M6" s="3">
        <f>2283*6.625</f>
        <v>15124.875</v>
      </c>
      <c r="N6" s="3">
        <f>-168*6.625</f>
        <v>-1113</v>
      </c>
      <c r="O6" s="3">
        <v>-8791.375</v>
      </c>
      <c r="P6" s="3">
        <f>-134*6.625</f>
        <v>-887.75</v>
      </c>
      <c r="Q6">
        <f>0</f>
        <v>0</v>
      </c>
      <c r="R6">
        <f>1</f>
        <v>1</v>
      </c>
    </row>
    <row r="7" spans="1:18">
      <c r="A7" s="2" t="s">
        <v>23</v>
      </c>
      <c r="B7" s="3">
        <f>24943*6.575</f>
        <v>164000.225</v>
      </c>
      <c r="C7" s="3">
        <f>-17960*6.575</f>
        <v>-118087</v>
      </c>
      <c r="D7" s="3">
        <f t="shared" si="0"/>
        <v>45913.225</v>
      </c>
      <c r="E7" s="3">
        <f>5352*6.575</f>
        <v>35189.4</v>
      </c>
      <c r="F7" s="3">
        <f>3510*6.575</f>
        <v>23078.25</v>
      </c>
      <c r="G7" s="3">
        <f>1893*6.575</f>
        <v>12446.475</v>
      </c>
      <c r="H7">
        <f>6246*1000000</f>
        <v>6246000000</v>
      </c>
      <c r="I7" s="3">
        <f>22709*6.575</f>
        <v>149311.675</v>
      </c>
      <c r="J7" s="3">
        <f>8151*6.575</f>
        <v>53592.825</v>
      </c>
      <c r="K7" s="3">
        <f>(5987+5558)*6.575</f>
        <v>75908.375</v>
      </c>
      <c r="L7" s="3">
        <f>4935*6.575</f>
        <v>32447.625</v>
      </c>
      <c r="M7" s="3">
        <f>6701*6.575</f>
        <v>44059.075</v>
      </c>
      <c r="N7" s="3">
        <f>-332*6.575</f>
        <v>-2182.9</v>
      </c>
      <c r="O7" s="3">
        <f>-2832*6.575</f>
        <v>-18620.4</v>
      </c>
      <c r="P7" s="3">
        <f>-16*6.575</f>
        <v>-105.2</v>
      </c>
      <c r="Q7">
        <f>1</f>
        <v>1</v>
      </c>
      <c r="R7">
        <f>0</f>
        <v>0</v>
      </c>
    </row>
    <row r="8" spans="1:18">
      <c r="A8" s="2" t="s">
        <v>24</v>
      </c>
      <c r="B8" s="3">
        <f>15521*5.9171</f>
        <v>91839.3091</v>
      </c>
      <c r="C8" s="3">
        <f>-10375*5.9171</f>
        <v>-61389.9125</v>
      </c>
      <c r="D8" s="3">
        <f t="shared" si="0"/>
        <v>30449.3966</v>
      </c>
      <c r="E8" s="3">
        <f>4229*5.9171</f>
        <v>25023.4159</v>
      </c>
      <c r="F8" s="3">
        <f>2757*5.9171</f>
        <v>16313.4447</v>
      </c>
      <c r="G8" s="3">
        <f>1940*5.9171</f>
        <v>11479.174</v>
      </c>
      <c r="H8">
        <f>6224*1000000</f>
        <v>6224000000</v>
      </c>
      <c r="I8" s="3">
        <f>23733*5.9171</f>
        <v>140430.5343</v>
      </c>
      <c r="J8" s="3">
        <f>8520*5.9171</f>
        <v>50413.692</v>
      </c>
      <c r="K8" s="3">
        <f>(5615+6196)*5.9171</f>
        <v>69886.8681</v>
      </c>
      <c r="L8" s="3">
        <f>5674*5.9171</f>
        <v>33573.6254</v>
      </c>
      <c r="M8" s="3">
        <f>4228*5.9171</f>
        <v>25017.4988</v>
      </c>
      <c r="N8" s="3">
        <f>-144*5.9171</f>
        <v>-852.0624</v>
      </c>
      <c r="O8" s="3">
        <f>-1629*5.9171</f>
        <v>-9638.9559</v>
      </c>
      <c r="P8" s="3">
        <f>172*5.9171</f>
        <v>1017.7412</v>
      </c>
      <c r="Q8">
        <f>0</f>
        <v>0</v>
      </c>
      <c r="R8">
        <f>1</f>
        <v>1</v>
      </c>
    </row>
    <row r="9" spans="1:18">
      <c r="A9" s="2" t="s">
        <v>25</v>
      </c>
      <c r="B9" s="3">
        <f>31556*6.4755</f>
        <v>204340.878</v>
      </c>
      <c r="C9" s="3">
        <f>-20992*6.4755</f>
        <v>-135933.696</v>
      </c>
      <c r="D9" s="3">
        <f t="shared" si="0"/>
        <v>68407.182</v>
      </c>
      <c r="E9" s="3">
        <f>9146*6.4755</f>
        <v>59224.923</v>
      </c>
      <c r="F9" s="3">
        <f>3379*6.4755</f>
        <v>21880.7145</v>
      </c>
      <c r="G9" s="3">
        <f>1762*6.4755</f>
        <v>11409.831</v>
      </c>
      <c r="H9">
        <f>6158*1000000</f>
        <v>6158000000</v>
      </c>
      <c r="I9" s="3">
        <f>32071*6.4755</f>
        <v>207675.7605</v>
      </c>
      <c r="J9" s="3">
        <f>9877*6.4755</f>
        <v>63958.5135</v>
      </c>
      <c r="K9" s="3">
        <f>(8555+6910)*6.4755</f>
        <v>100143.6075</v>
      </c>
      <c r="L9" s="3">
        <f>8994*6.4755</f>
        <v>58240.647</v>
      </c>
      <c r="M9" s="3">
        <f>10628*6.4755</f>
        <v>68821.614</v>
      </c>
      <c r="N9" s="3">
        <f>-500*6.4755</f>
        <v>-3237.75</v>
      </c>
      <c r="O9" s="3">
        <f>-3461*6.4755</f>
        <v>-22411.7055</v>
      </c>
      <c r="P9" s="3">
        <f>1984*6.4755</f>
        <v>12847.392</v>
      </c>
      <c r="Q9">
        <f>1</f>
        <v>1</v>
      </c>
      <c r="R9">
        <f>0</f>
        <v>0</v>
      </c>
    </row>
    <row r="10" spans="1:18">
      <c r="A10" s="2" t="s">
        <v>26</v>
      </c>
      <c r="B10" s="3">
        <f>18172*6.0112</f>
        <v>109235.5264</v>
      </c>
      <c r="C10" s="3">
        <f>-10771*6.0112</f>
        <v>-64746.6352</v>
      </c>
      <c r="D10" s="3">
        <f t="shared" si="0"/>
        <v>44488.8912</v>
      </c>
      <c r="E10" s="3">
        <f>6259*6.0112</f>
        <v>37624.1008</v>
      </c>
      <c r="F10" s="3">
        <f>4428*6.0112</f>
        <v>26617.5936</v>
      </c>
      <c r="G10" s="3">
        <f>4364*6.0112</f>
        <v>26232.8768</v>
      </c>
      <c r="H10">
        <f>6081*1000000</f>
        <v>6081000000</v>
      </c>
      <c r="I10" s="3">
        <f>36234*6.0112</f>
        <v>217809.8208</v>
      </c>
      <c r="J10" s="3">
        <f>8081*6.0112</f>
        <v>48576.5072</v>
      </c>
      <c r="K10" s="3">
        <v>93065.3984</v>
      </c>
      <c r="L10" s="3">
        <f>7401*6.0112</f>
        <v>44488.8912</v>
      </c>
      <c r="M10" s="3">
        <v>25896.2496</v>
      </c>
      <c r="N10" s="3">
        <f>-2914*6.0112</f>
        <v>-17516.6368</v>
      </c>
      <c r="O10" s="3">
        <v>-10886.2832</v>
      </c>
      <c r="P10" s="3">
        <f>-417*6.0112</f>
        <v>-2506.6704</v>
      </c>
      <c r="Q10">
        <f>0</f>
        <v>0</v>
      </c>
      <c r="R10">
        <f>1</f>
        <v>1</v>
      </c>
    </row>
    <row r="11" spans="1:18">
      <c r="A11" s="2" t="s">
        <v>27</v>
      </c>
      <c r="B11" s="3">
        <f>39099*7.1813</f>
        <v>280781.6487</v>
      </c>
      <c r="C11" s="3">
        <f>-22403*7.1813</f>
        <v>-160882.6639</v>
      </c>
      <c r="D11" s="3">
        <f t="shared" si="0"/>
        <v>119898.9848</v>
      </c>
      <c r="E11" s="3">
        <f>14671*7.1813</f>
        <v>105356.8523</v>
      </c>
      <c r="F11" s="3">
        <f>10534*7.1813</f>
        <v>75647.8142</v>
      </c>
      <c r="G11" s="3">
        <f>10450*7.1813</f>
        <v>75044.585</v>
      </c>
      <c r="H11">
        <f>6066*1000000</f>
        <v>6066000000</v>
      </c>
      <c r="I11" s="3">
        <f>39740*7.1813</f>
        <v>285384.862</v>
      </c>
      <c r="J11" s="3">
        <f>8776*7.1813</f>
        <v>63023.0888</v>
      </c>
      <c r="K11" s="3">
        <f>15290*7.1813</f>
        <v>109802.077</v>
      </c>
      <c r="L11" s="3">
        <f>8771*7.1813</f>
        <v>62987.1823</v>
      </c>
      <c r="M11" s="3">
        <f>10476*7.1813</f>
        <v>75231.2988</v>
      </c>
      <c r="N11" s="3">
        <f>-5512*7.1813</f>
        <v>-39583.3256</v>
      </c>
      <c r="O11" s="3">
        <f>-5412*7.1813</f>
        <v>-38865.1956</v>
      </c>
      <c r="P11" s="3">
        <f>-448*7.1813</f>
        <v>-3217.2224</v>
      </c>
      <c r="Q11">
        <f>1</f>
        <v>1</v>
      </c>
      <c r="R11">
        <f>0</f>
        <v>0</v>
      </c>
    </row>
    <row r="12" spans="1:18">
      <c r="A12" s="2" t="s">
        <v>28</v>
      </c>
      <c r="B12" s="3">
        <f>22113*7.1913</f>
        <v>159021.2169</v>
      </c>
      <c r="C12" s="3">
        <f>-12292*7.1913</f>
        <v>-88395.4596</v>
      </c>
      <c r="D12" s="3">
        <f t="shared" si="0"/>
        <v>70625.7573</v>
      </c>
      <c r="E12" s="3">
        <f>8519*7.1913</f>
        <v>61262.6847</v>
      </c>
      <c r="F12" s="3">
        <f>6200*7.1913</f>
        <v>44586.06</v>
      </c>
      <c r="G12" s="3">
        <f>6168*7.1913</f>
        <v>44355.9384</v>
      </c>
      <c r="H12">
        <f>5955*1000000</f>
        <v>5955000000</v>
      </c>
      <c r="I12" s="3">
        <f>42003*7.1913</f>
        <v>302056.1739</v>
      </c>
      <c r="J12" s="3">
        <f>9737*7.1913</f>
        <v>70021.6881</v>
      </c>
      <c r="K12" s="3">
        <f>14771*7.1913</f>
        <v>106222.6923</v>
      </c>
      <c r="L12" s="3">
        <f>8742*7.1913</f>
        <v>62866.3446</v>
      </c>
      <c r="M12" s="3">
        <f>7018*7.1913</f>
        <v>50468.5434</v>
      </c>
      <c r="N12" s="3">
        <f>-3152*7.1913</f>
        <v>-22666.9776</v>
      </c>
      <c r="O12" s="3">
        <f>-3221*7.1913</f>
        <v>-23163.1773</v>
      </c>
      <c r="P12" s="3">
        <f>645*7.1913</f>
        <v>4638.3885</v>
      </c>
      <c r="Q12">
        <f>0</f>
        <v>0</v>
      </c>
      <c r="R12">
        <f>1</f>
        <v>1</v>
      </c>
    </row>
    <row r="13" spans="1:18">
      <c r="A13" s="2" t="s">
        <v>29</v>
      </c>
      <c r="B13" s="3">
        <f>47473*7.165</f>
        <v>340144.045</v>
      </c>
      <c r="C13" s="3">
        <f>-26352*7.165</f>
        <v>-188812.08</v>
      </c>
      <c r="D13" s="3">
        <f t="shared" si="0"/>
        <v>151331.965</v>
      </c>
      <c r="E13" s="3">
        <f>18401*7.165</f>
        <v>131843.165</v>
      </c>
      <c r="F13" s="3">
        <f>13496*7.165</f>
        <v>96698.84</v>
      </c>
      <c r="G13" s="3">
        <f>13416*7.165</f>
        <v>96125.64</v>
      </c>
      <c r="H13">
        <f>5866*1000000</f>
        <v>5866000000</v>
      </c>
      <c r="I13" s="3">
        <f>47081*7.165</f>
        <v>337335.365</v>
      </c>
      <c r="J13" s="3">
        <f>11087*7.165</f>
        <v>79438.355</v>
      </c>
      <c r="K13" s="3">
        <f>18001*7.165</f>
        <v>128977.165</v>
      </c>
      <c r="L13" s="3">
        <f>10249*7.165</f>
        <v>73434.085</v>
      </c>
      <c r="M13" s="3">
        <f>15595*7.165</f>
        <v>111738.175</v>
      </c>
      <c r="N13" s="3">
        <f>-7624*7.165</f>
        <v>-54625.96</v>
      </c>
      <c r="O13" s="3">
        <f>-6843*7.165</f>
        <v>-49030.095</v>
      </c>
      <c r="P13" s="3">
        <f>1128*7.165</f>
        <v>8082.12</v>
      </c>
      <c r="Q13">
        <f>1</f>
        <v>1</v>
      </c>
      <c r="R13">
        <f>0</f>
        <v>0</v>
      </c>
    </row>
    <row r="14" spans="1:18">
      <c r="A14" s="2" t="s">
        <v>30</v>
      </c>
      <c r="B14" s="3">
        <f>25539*7.786</f>
        <v>198846.654</v>
      </c>
      <c r="C14" s="3">
        <f>-16414*7.786</f>
        <v>-127799.404</v>
      </c>
      <c r="D14" s="3">
        <f t="shared" si="0"/>
        <v>71047.25</v>
      </c>
      <c r="E14" s="3">
        <f>9486*7.786</f>
        <v>73857.996</v>
      </c>
      <c r="F14" s="3">
        <f>6193*7.786</f>
        <v>48218.698</v>
      </c>
      <c r="G14" s="3">
        <f>6017*7.786</f>
        <v>46848.362</v>
      </c>
      <c r="H14">
        <f>5634*1000000</f>
        <v>5634000000</v>
      </c>
      <c r="I14" s="3">
        <f>49668*7.786</f>
        <v>386715.048</v>
      </c>
      <c r="J14" s="3">
        <f>14178*7.786</f>
        <v>110389.908</v>
      </c>
      <c r="K14" s="3">
        <f>20460*7.786</f>
        <v>159301.56</v>
      </c>
      <c r="L14" s="3">
        <f>12128*7.786</f>
        <v>94428.608</v>
      </c>
      <c r="M14" s="3">
        <f>7870*7.786</f>
        <v>61275.82</v>
      </c>
      <c r="N14" s="3">
        <f>-4370*7.786</f>
        <v>-34024.82</v>
      </c>
      <c r="O14" s="3">
        <f>-3653*7.786</f>
        <v>-28442.258</v>
      </c>
      <c r="P14" s="3">
        <f>-153*7.786</f>
        <v>-1191.258</v>
      </c>
      <c r="Q14">
        <f>0</f>
        <v>0</v>
      </c>
      <c r="R14">
        <f>1</f>
        <v>1</v>
      </c>
    </row>
    <row r="15" spans="1:18">
      <c r="A15" s="2" t="s">
        <v>31</v>
      </c>
      <c r="B15" s="3">
        <f>59473*7.7625</f>
        <v>461659.1625</v>
      </c>
      <c r="C15" s="3">
        <f>-35976*7.7625</f>
        <v>-279263.7</v>
      </c>
      <c r="D15" s="3">
        <f t="shared" si="0"/>
        <v>182395.4625</v>
      </c>
      <c r="E15" s="3">
        <f>24145*7.7625</f>
        <v>187425.5625</v>
      </c>
      <c r="F15" s="3">
        <f>15962*7.7625</f>
        <v>123905.025</v>
      </c>
      <c r="G15" s="3">
        <f>15390*7.7625</f>
        <v>119464.875</v>
      </c>
      <c r="H15">
        <f>5605*1000000</f>
        <v>5605000000</v>
      </c>
      <c r="I15" s="3">
        <f>54328*7.7625</f>
        <v>421721.1</v>
      </c>
      <c r="J15" s="3">
        <f>21561*7.7625</f>
        <v>167367.2625</v>
      </c>
      <c r="K15" s="3">
        <f>20487*7.7625</f>
        <v>159030.3375</v>
      </c>
      <c r="L15" s="3">
        <f>16359*7.7625</f>
        <v>126986.7375</v>
      </c>
      <c r="M15" s="3">
        <f>18159*7.7625</f>
        <v>140959.2375</v>
      </c>
      <c r="N15" s="3">
        <f>-9064*7.7625</f>
        <v>-70359.3</v>
      </c>
      <c r="O15" s="3">
        <f>-7341*7.7625</f>
        <v>-56984.5125</v>
      </c>
      <c r="P15" s="3">
        <f>1754*7.7625</f>
        <v>13615.425</v>
      </c>
      <c r="Q15">
        <f>1</f>
        <v>1</v>
      </c>
      <c r="R15">
        <f>0</f>
        <v>0</v>
      </c>
    </row>
    <row r="16" spans="1:18">
      <c r="A16" s="2" t="s">
        <v>32</v>
      </c>
      <c r="B16" s="3">
        <f>29780*9.5706</f>
        <v>285012.468</v>
      </c>
      <c r="C16" s="3">
        <f>-22843*9.5706</f>
        <v>-218621.2158</v>
      </c>
      <c r="D16" s="3">
        <f t="shared" si="0"/>
        <v>66391.2522</v>
      </c>
      <c r="E16" s="3">
        <f>7224*9.5706</f>
        <v>69138.0144</v>
      </c>
      <c r="F16" s="3">
        <f>3004*9.5706</f>
        <v>28750.0824</v>
      </c>
      <c r="G16" s="3">
        <f>2617*9.5706</f>
        <v>25046.2602</v>
      </c>
      <c r="H16">
        <f>5586*1000000</f>
        <v>5586000000</v>
      </c>
      <c r="I16" s="3">
        <f>53602*9.5706</f>
        <v>513003.3012</v>
      </c>
      <c r="J16" s="3">
        <f>19687*9.5706</f>
        <v>188416.4022</v>
      </c>
      <c r="K16" s="3">
        <f>20475*9.5706</f>
        <v>195958.035</v>
      </c>
      <c r="L16" s="3">
        <f>13165*9.5706</f>
        <v>125996.949</v>
      </c>
      <c r="M16" s="3">
        <f>13094*9.5706</f>
        <v>125317.4364</v>
      </c>
      <c r="N16" s="3">
        <f>-6305*9.5706</f>
        <v>-60342.633</v>
      </c>
      <c r="O16" s="3">
        <f>-3655*9.5706</f>
        <v>-34980.543</v>
      </c>
      <c r="P16" s="3">
        <f>3134*9.5706</f>
        <v>29994.2604</v>
      </c>
      <c r="Q16">
        <f>0</f>
        <v>0</v>
      </c>
      <c r="R16">
        <f>1</f>
        <v>1</v>
      </c>
    </row>
    <row r="17" spans="1:18">
      <c r="A17" s="2" t="s">
        <v>33</v>
      </c>
      <c r="B17" s="3">
        <f>50211*8.0875</f>
        <v>406081.4625</v>
      </c>
      <c r="C17" s="3">
        <f>-38640*8.0875</f>
        <v>-312501</v>
      </c>
      <c r="D17" s="3">
        <f t="shared" si="0"/>
        <v>93580.4625</v>
      </c>
      <c r="E17" s="3">
        <f>12160*8.0875</f>
        <v>98344</v>
      </c>
      <c r="F17" s="3">
        <f>6338*8.0875</f>
        <v>51258.575</v>
      </c>
      <c r="G17" s="3">
        <f>5877*8.0875</f>
        <v>47530.2375</v>
      </c>
      <c r="H17">
        <f>5598*1000000</f>
        <v>5598000000</v>
      </c>
      <c r="I17" s="3">
        <f>56284*8.0875</f>
        <v>455196.85</v>
      </c>
      <c r="J17" s="3">
        <f>22486*8.0875</f>
        <v>181855.525</v>
      </c>
      <c r="K17" s="3">
        <f>26209*8.0875</f>
        <v>211965.2875</v>
      </c>
      <c r="L17" s="3">
        <f>11850*8.0875</f>
        <v>95836.875</v>
      </c>
      <c r="M17" s="3">
        <f>18863*8.0875</f>
        <v>152554.5125</v>
      </c>
      <c r="N17" s="3">
        <f>-11051*8.0875</f>
        <v>-89374.9625</v>
      </c>
      <c r="O17" s="3">
        <f>-1180*8.0875</f>
        <v>-9543.25</v>
      </c>
      <c r="P17" s="3">
        <f>6632*8.0875</f>
        <v>53636.3</v>
      </c>
      <c r="Q17">
        <f>1</f>
        <v>1</v>
      </c>
      <c r="R17">
        <f>0</f>
        <v>0</v>
      </c>
    </row>
    <row r="18" spans="1:18">
      <c r="A18" s="2" t="s">
        <v>34</v>
      </c>
      <c r="B18" s="3">
        <f>24576*7.7233</f>
        <v>189807.8208</v>
      </c>
      <c r="C18" s="3">
        <f>-15769*7.7233</f>
        <v>-121788.7177</v>
      </c>
      <c r="D18" s="3">
        <f t="shared" si="0"/>
        <v>68019.1031</v>
      </c>
      <c r="E18" s="3">
        <f>9120*7.7233</f>
        <v>70436.496</v>
      </c>
      <c r="F18" s="3">
        <f>6206*7.7233</f>
        <v>47930.7998</v>
      </c>
      <c r="G18" s="3">
        <f>6135*7.7233</f>
        <v>47382.4455</v>
      </c>
      <c r="H18">
        <f>5598*1000000</f>
        <v>5598000000</v>
      </c>
      <c r="I18" s="3">
        <f>59954*7.7233</f>
        <v>463042.7282</v>
      </c>
      <c r="J18" s="3">
        <f>21599*7.7233</f>
        <v>166815.5567</v>
      </c>
      <c r="K18" s="3">
        <f>26746*7.7233</f>
        <v>206567.3818</v>
      </c>
      <c r="L18" s="3">
        <f>10206*7.7233</f>
        <v>78823.9998</v>
      </c>
      <c r="M18" s="3">
        <f>5716*7.7233</f>
        <v>44146.3828</v>
      </c>
      <c r="N18" s="3">
        <f>-5230*7.7233</f>
        <v>-40392.859</v>
      </c>
      <c r="O18" s="3">
        <f>-2967*7.7233</f>
        <v>-22915.0311</v>
      </c>
      <c r="P18" s="3">
        <f>-2481*7.7233</f>
        <v>-19161.5073</v>
      </c>
      <c r="Q18">
        <f>0</f>
        <v>0</v>
      </c>
      <c r="R18">
        <f>1</f>
        <v>1</v>
      </c>
    </row>
    <row r="19" spans="1:18">
      <c r="A19" s="2" t="s">
        <v>35</v>
      </c>
      <c r="B19" s="3">
        <f>52798*7.3102</f>
        <v>385963.9396</v>
      </c>
      <c r="C19" s="3">
        <f>-33295*7.3102</f>
        <v>-243393.109</v>
      </c>
      <c r="D19" s="3">
        <f t="shared" si="0"/>
        <v>142570.8306</v>
      </c>
      <c r="E19" s="3">
        <f>20031*7.3102</f>
        <v>146430.6162</v>
      </c>
      <c r="F19" s="3">
        <f>13009*7.3102</f>
        <v>95098.3918</v>
      </c>
      <c r="G19" s="3">
        <f>12722*7.3102</f>
        <v>93000.3644</v>
      </c>
      <c r="H19">
        <f>5595*1000000</f>
        <v>5595000000</v>
      </c>
      <c r="I19" s="3">
        <f>63718*7.3102</f>
        <v>465791.3236</v>
      </c>
      <c r="J19" s="3">
        <f>25134*7.3102</f>
        <v>183734.5668</v>
      </c>
      <c r="K19" s="3">
        <f>26481*7.3102</f>
        <v>193581.4062</v>
      </c>
      <c r="L19" s="3">
        <f>13042*7.3102</f>
        <v>95339.6284</v>
      </c>
      <c r="M19" s="3">
        <f>17920*7.3102</f>
        <v>130998.784</v>
      </c>
      <c r="N19" s="3">
        <f>-11015*7.3102</f>
        <v>-80521.853</v>
      </c>
      <c r="O19" s="3">
        <f>-5307*7.3102</f>
        <v>-38795.2314</v>
      </c>
      <c r="P19" s="3">
        <f>1598*7.3102</f>
        <v>11681.6996</v>
      </c>
      <c r="Q19">
        <f>1</f>
        <v>1</v>
      </c>
      <c r="R19">
        <f>0</f>
        <v>0</v>
      </c>
    </row>
    <row r="20" spans="1:18">
      <c r="A20" s="2" t="s">
        <v>36</v>
      </c>
      <c r="B20" s="3">
        <f>34166*7.1425</f>
        <v>244030.655</v>
      </c>
      <c r="C20" s="3">
        <f>-19930*7.1425</f>
        <v>-142350.025</v>
      </c>
      <c r="D20" s="3">
        <f t="shared" si="0"/>
        <v>101680.63</v>
      </c>
      <c r="E20" s="3">
        <f>14515*7.1425</f>
        <v>103673.3875</v>
      </c>
      <c r="F20" s="3">
        <f>10686*7.1425</f>
        <v>76324.755</v>
      </c>
      <c r="G20" s="3">
        <f>10524*7.1425</f>
        <v>75167.67</v>
      </c>
      <c r="H20">
        <f>5588*1000000</f>
        <v>5588000000</v>
      </c>
      <c r="I20" s="3">
        <f>67694*7.1425</f>
        <v>483504.395</v>
      </c>
      <c r="J20" s="3">
        <f>30578*7.1425</f>
        <v>218403.365</v>
      </c>
      <c r="K20" s="3">
        <f>27402*7.1425</f>
        <v>195718.785</v>
      </c>
      <c r="L20" s="3">
        <f>13877*7.1425</f>
        <v>99116.4725</v>
      </c>
      <c r="M20" s="3">
        <f>12193*7.1425</f>
        <v>87088.5025</v>
      </c>
      <c r="N20" s="3">
        <f>-5294*7.1425</f>
        <v>-37812.395</v>
      </c>
      <c r="O20" s="3">
        <f>-3215*7.1425</f>
        <v>-22963.1375</v>
      </c>
      <c r="P20" s="3">
        <f>3684*7.1425</f>
        <v>26312.97</v>
      </c>
      <c r="Q20">
        <f>0</f>
        <v>0</v>
      </c>
      <c r="R20">
        <f>1</f>
        <v>1</v>
      </c>
    </row>
    <row r="21" spans="1:18">
      <c r="A21" s="2" t="s">
        <v>37</v>
      </c>
      <c r="B21" s="3">
        <f>71739*7.1491</f>
        <v>512869.2849</v>
      </c>
      <c r="C21" s="3">
        <f>-40454*7.1491</f>
        <v>-289209.6914</v>
      </c>
      <c r="D21" s="3">
        <f t="shared" si="0"/>
        <v>223659.5935</v>
      </c>
      <c r="E21" s="3">
        <f>31816*7.1491</f>
        <v>227455.7656</v>
      </c>
      <c r="F21" s="3">
        <f>23946*7.1491</f>
        <v>171192.3486</v>
      </c>
      <c r="G21" s="3">
        <f>23648*7.1491</f>
        <v>169061.9168</v>
      </c>
      <c r="H21">
        <f>5540*1000000</f>
        <v>5540000000</v>
      </c>
      <c r="I21" s="3">
        <f>77611*7.1491</f>
        <v>554848.8001</v>
      </c>
      <c r="J21" s="3">
        <f>25280*7.1491</f>
        <v>180729.248</v>
      </c>
      <c r="K21" s="3">
        <f>25403*7.1491</f>
        <v>181608.5873</v>
      </c>
      <c r="L21" s="3">
        <f>19733*7.1491</f>
        <v>141073.1903</v>
      </c>
      <c r="M21" s="3">
        <f>30080*7.1491</f>
        <v>215044.928</v>
      </c>
      <c r="N21" s="3">
        <f>-16464*7.1491</f>
        <v>-117702.7824</v>
      </c>
      <c r="O21" s="3">
        <f>-16018*7.1491</f>
        <v>-114514.2838</v>
      </c>
      <c r="P21" s="3">
        <f>-2402*7.1491</f>
        <v>-17172.1382</v>
      </c>
      <c r="Q21">
        <f>1</f>
        <v>1</v>
      </c>
      <c r="R21">
        <f>0</f>
        <v>0</v>
      </c>
    </row>
    <row r="22" spans="1:18">
      <c r="A22" s="2" t="s">
        <v>38</v>
      </c>
      <c r="B22" s="3">
        <f>37480*7.7514</f>
        <v>290522.472</v>
      </c>
      <c r="C22" s="3">
        <f>-22150*7.7514</f>
        <v>-171693.51</v>
      </c>
      <c r="D22" s="3">
        <f t="shared" si="0"/>
        <v>118828.962</v>
      </c>
      <c r="E22" s="3">
        <f>15689*7.7514</f>
        <v>121611.7146</v>
      </c>
      <c r="F22" s="3">
        <f>10041*7.7514</f>
        <v>77831.8074</v>
      </c>
      <c r="G22" s="3">
        <f>9941*7.7514</f>
        <v>77056.6674</v>
      </c>
      <c r="H22">
        <f>5346*1000000</f>
        <v>5346000000</v>
      </c>
      <c r="I22" s="3">
        <f>104613*7.7514</f>
        <v>810897.2082</v>
      </c>
      <c r="J22" s="3">
        <f>19354*7.7514</f>
        <v>150020.5956</v>
      </c>
      <c r="K22" s="3">
        <f>36609*7.7514</f>
        <v>283771.0026</v>
      </c>
      <c r="L22" s="3">
        <f>22741*7.7514</f>
        <v>176274.5874</v>
      </c>
      <c r="M22" s="3">
        <f>12280*7.7514</f>
        <v>95187.192</v>
      </c>
      <c r="N22" s="3">
        <f>-20967*7.7514</f>
        <v>-162523.6038</v>
      </c>
      <c r="O22" s="3">
        <f>2278*7.7514</f>
        <v>17657.6892</v>
      </c>
      <c r="P22" s="3">
        <f>-6409*7.7514</f>
        <v>-49678.7226</v>
      </c>
      <c r="Q22">
        <f>0</f>
        <v>0</v>
      </c>
      <c r="R22">
        <f>1</f>
        <v>1</v>
      </c>
    </row>
    <row r="23" spans="1:18">
      <c r="A23" s="2" t="s">
        <v>39</v>
      </c>
      <c r="B23" s="3">
        <f>72226*8.4015</f>
        <v>606806.739</v>
      </c>
      <c r="C23" s="3">
        <f>-49380*8.4015</f>
        <v>-414866.07</v>
      </c>
      <c r="D23" s="3">
        <f t="shared" si="0"/>
        <v>191940.669</v>
      </c>
      <c r="E23" s="3">
        <f>23752*8.4015</f>
        <v>199552.428</v>
      </c>
      <c r="F23" s="3">
        <f>15532*8.4015</f>
        <v>130492.098</v>
      </c>
      <c r="G23" s="3">
        <f>15417*8.4015</f>
        <v>129525.9255</v>
      </c>
      <c r="H23">
        <f>5346*1000000</f>
        <v>5346000000</v>
      </c>
      <c r="I23" s="3">
        <f>108822*8.4015</f>
        <v>914268.033</v>
      </c>
      <c r="J23" s="3">
        <f>20451*8.4015</f>
        <v>171819.0765</v>
      </c>
      <c r="K23" s="3">
        <f>40154*8.4015</f>
        <v>337353.831</v>
      </c>
      <c r="L23" s="3">
        <f>22034*8.4015</f>
        <v>185118.651</v>
      </c>
      <c r="M23" s="3">
        <f>24384*8.4015</f>
        <v>204862.176</v>
      </c>
      <c r="N23" s="3">
        <f>-32036*8.4015</f>
        <v>-269150.454</v>
      </c>
      <c r="O23" s="3">
        <f>2509*8.4015</f>
        <v>21079.3635</v>
      </c>
      <c r="P23" s="3">
        <f>-5143*8.4015</f>
        <v>-43208.9145</v>
      </c>
      <c r="Q23">
        <f>1</f>
        <v>1</v>
      </c>
      <c r="R23">
        <f>0</f>
        <v>0</v>
      </c>
    </row>
    <row r="24" spans="1:18">
      <c r="A24" s="2" t="s">
        <v>40</v>
      </c>
      <c r="B24" s="3">
        <f>32204*8.865</f>
        <v>285488.46</v>
      </c>
      <c r="C24" s="3">
        <f>-27309*8.865</f>
        <v>-242094.285</v>
      </c>
      <c r="D24" s="3">
        <f t="shared" si="0"/>
        <v>43394.175</v>
      </c>
      <c r="E24" s="3">
        <f>7005*8.865</f>
        <v>62099.325</v>
      </c>
      <c r="F24" s="3">
        <f>4299*8.865</f>
        <v>38110.635</v>
      </c>
      <c r="G24" s="3">
        <f>4238*8.865</f>
        <v>37569.87</v>
      </c>
      <c r="H24">
        <f>5338*1000000</f>
        <v>5338000000</v>
      </c>
      <c r="I24" s="3">
        <f>112327*8.865</f>
        <v>995778.855</v>
      </c>
      <c r="J24" s="3">
        <f>21358*8.865</f>
        <v>189338.67</v>
      </c>
      <c r="K24" s="3">
        <f>46638*8.865</f>
        <v>413445.87</v>
      </c>
      <c r="L24" s="3">
        <f>18870*8.865</f>
        <v>167282.55</v>
      </c>
      <c r="M24" s="3">
        <f>6402*8.865</f>
        <v>56753.73</v>
      </c>
      <c r="N24" s="3">
        <f>-9676*8.865</f>
        <v>-85777.74</v>
      </c>
      <c r="O24" s="3">
        <f>3462*8.865</f>
        <v>30690.63</v>
      </c>
      <c r="P24" s="3">
        <f>188*8.865</f>
        <v>1666.62</v>
      </c>
      <c r="Q24">
        <f>0</f>
        <v>0</v>
      </c>
      <c r="R24">
        <f>1</f>
        <v>1</v>
      </c>
    </row>
    <row r="25" spans="1:18">
      <c r="A25" s="2" t="s">
        <v>41</v>
      </c>
      <c r="B25" s="3">
        <f>65968*10.282</f>
        <v>678282.976</v>
      </c>
      <c r="C25" s="3">
        <f>-50873*10.282</f>
        <v>-523076.186</v>
      </c>
      <c r="D25" s="3">
        <f t="shared" si="0"/>
        <v>155206.79</v>
      </c>
      <c r="E25" s="3">
        <f>19225*10.282</f>
        <v>197671.45</v>
      </c>
      <c r="F25" s="3">
        <f>11075*10.282</f>
        <v>113873.15</v>
      </c>
      <c r="G25" s="3">
        <f>10876*10.282</f>
        <v>111827.032</v>
      </c>
      <c r="H25">
        <f>5340*1000000</f>
        <v>5340000000</v>
      </c>
      <c r="I25" s="3">
        <f>118323*10.282</f>
        <v>1216597.086</v>
      </c>
      <c r="J25" s="3">
        <f>19786*10.282</f>
        <v>203439.652</v>
      </c>
      <c r="K25" s="3">
        <f>45702*10.282</f>
        <v>469907.964</v>
      </c>
      <c r="L25" s="3">
        <f>20372*10.282</f>
        <v>209464.904</v>
      </c>
      <c r="M25" s="3">
        <f>18252*10.282</f>
        <v>187667.064</v>
      </c>
      <c r="N25" s="3">
        <f>-17871*10.282</f>
        <v>-183749.622</v>
      </c>
      <c r="O25" s="3">
        <f>822*10.282</f>
        <v>8451.804</v>
      </c>
      <c r="P25" s="3">
        <f>1203*10.282</f>
        <v>12369.246</v>
      </c>
      <c r="Q25">
        <f>1</f>
        <v>1</v>
      </c>
      <c r="R25">
        <f>0</f>
        <v>0</v>
      </c>
    </row>
    <row r="26" spans="1:18">
      <c r="A26" s="2" t="s">
        <v>42</v>
      </c>
      <c r="B26" s="3">
        <f>33948*11.007</f>
        <v>373665.636</v>
      </c>
      <c r="C26" s="3">
        <f>-22674*11.007</f>
        <v>-249572.718</v>
      </c>
      <c r="D26" s="3">
        <f t="shared" si="0"/>
        <v>124092.918</v>
      </c>
      <c r="E26" s="3">
        <f>12933*11.007</f>
        <v>142353.531</v>
      </c>
      <c r="F26" s="3">
        <f>8887*11.007</f>
        <v>97819.209</v>
      </c>
      <c r="G26" s="3">
        <f>8107*11.007</f>
        <v>89233.749</v>
      </c>
      <c r="H26">
        <f>5337*1000000</f>
        <v>5337000000</v>
      </c>
      <c r="I26" s="3">
        <f>126417*11.007</f>
        <v>1391471.919</v>
      </c>
      <c r="J26" s="3">
        <f>24598*11.007</f>
        <v>270750.186</v>
      </c>
      <c r="K26" s="3">
        <f>48643*11.007</f>
        <v>535413.501</v>
      </c>
      <c r="L26" s="3">
        <f>20093*11.007</f>
        <v>221163.651</v>
      </c>
      <c r="M26" s="3">
        <f>11859*11.007</f>
        <v>130532.013</v>
      </c>
      <c r="N26" s="3">
        <f>-8462*11.007</f>
        <v>-93141.234</v>
      </c>
      <c r="O26" s="3">
        <f>1839*11.007</f>
        <v>20241.873</v>
      </c>
      <c r="P26" s="3">
        <f>5236*11.007</f>
        <v>57632.652</v>
      </c>
      <c r="Q26">
        <f>0</f>
        <v>0</v>
      </c>
      <c r="R26">
        <f>1</f>
        <v>1</v>
      </c>
    </row>
    <row r="27" spans="1:18">
      <c r="A27" s="2" t="s">
        <v>43</v>
      </c>
      <c r="B27" s="3">
        <f>67206*10.7075</f>
        <v>719608.245</v>
      </c>
      <c r="C27" s="3">
        <f>-46513*10.7075</f>
        <v>-498037.9475</v>
      </c>
      <c r="D27" s="3">
        <f t="shared" si="0"/>
        <v>221570.2975</v>
      </c>
      <c r="E27" s="3">
        <f>23412*10.7075</f>
        <v>250683.99</v>
      </c>
      <c r="F27" s="3">
        <f>15224*10.7075</f>
        <v>163010.98</v>
      </c>
      <c r="G27" s="3">
        <f>13832*10.7075</f>
        <v>148106.14</v>
      </c>
      <c r="H27">
        <f>5338*1000000</f>
        <v>5338000000</v>
      </c>
      <c r="I27" s="3">
        <f>129117*10.7075</f>
        <v>1382520.2775</v>
      </c>
      <c r="J27" s="3">
        <f>22296*10.7075</f>
        <v>238734.42</v>
      </c>
      <c r="K27" s="3">
        <f>47967*10.7075</f>
        <v>513606.6525</v>
      </c>
      <c r="L27" s="3">
        <f>18064*10.7075</f>
        <v>193420.28</v>
      </c>
      <c r="M27" s="3">
        <f>25364*10.7075</f>
        <v>271585.03</v>
      </c>
      <c r="N27" s="3">
        <f>-15834*10.7075</f>
        <v>-169542.555</v>
      </c>
      <c r="O27" s="3">
        <f>-6468*10.7075</f>
        <v>-69256.11</v>
      </c>
      <c r="P27" s="3">
        <f>3062*10.7075</f>
        <v>32786.365</v>
      </c>
      <c r="Q27">
        <f>1</f>
        <v>1</v>
      </c>
      <c r="R27">
        <f>0</f>
        <v>0</v>
      </c>
    </row>
    <row r="28" spans="1:18">
      <c r="A28" s="2" t="s">
        <v>44</v>
      </c>
      <c r="B28" s="3">
        <f>29900*11.5345</f>
        <v>344881.55</v>
      </c>
      <c r="C28" s="3">
        <f>-21862*11.5345</f>
        <v>-252167.239</v>
      </c>
      <c r="D28" s="3">
        <f t="shared" si="0"/>
        <v>92714.311</v>
      </c>
      <c r="E28" s="3">
        <f>8817*11.5345</f>
        <v>101699.6865</v>
      </c>
      <c r="F28" s="3">
        <f>4793*11.5345</f>
        <v>55284.8585</v>
      </c>
      <c r="G28" s="3">
        <f>4265*11.5345</f>
        <v>49194.6425</v>
      </c>
      <c r="H28">
        <f>5334*1000000</f>
        <v>5334000000</v>
      </c>
      <c r="I28" s="3">
        <f>127180*11.5345</f>
        <v>1466957.71</v>
      </c>
      <c r="J28" s="3">
        <f>18901*11.5345</f>
        <v>218013.5845</v>
      </c>
      <c r="K28" s="3">
        <f>46481*11.5345</f>
        <v>536135.0945</v>
      </c>
      <c r="L28" s="3">
        <f>13350*11.5345</f>
        <v>153985.575</v>
      </c>
      <c r="M28" s="3">
        <f>10423*11.5345</f>
        <v>120224.0935</v>
      </c>
      <c r="N28" s="3">
        <f>-6317*11.5345</f>
        <v>-72863.4365</v>
      </c>
      <c r="O28" s="3">
        <f>-6759*11.5345</f>
        <v>-77961.6855</v>
      </c>
      <c r="P28" s="3">
        <f>-2653*11.5345</f>
        <v>-30601.0285</v>
      </c>
      <c r="Q28">
        <f>0</f>
        <v>0</v>
      </c>
      <c r="R28">
        <f>1</f>
        <v>1</v>
      </c>
    </row>
    <row r="29" spans="1:18">
      <c r="A29" s="2" t="s">
        <v>45</v>
      </c>
      <c r="B29" s="3">
        <f>44636*13.1478</f>
        <v>586865.2008</v>
      </c>
      <c r="C29" s="3">
        <f>-37010*13.1478</f>
        <v>-486600.078</v>
      </c>
      <c r="D29" s="3">
        <f t="shared" si="0"/>
        <v>100265.1228</v>
      </c>
      <c r="E29" s="3">
        <f>8670*13.1478</f>
        <v>113991.426</v>
      </c>
      <c r="F29" s="3">
        <f>2878*13.1478</f>
        <v>37839.3684</v>
      </c>
      <c r="G29" s="3">
        <f>1910*13.1478</f>
        <v>25112.298</v>
      </c>
      <c r="H29">
        <f>5333*1000000</f>
        <v>5333000000</v>
      </c>
      <c r="I29" s="3">
        <f>108211*13.1478</f>
        <v>1422736.5858</v>
      </c>
      <c r="J29" s="3">
        <f>16369*13.1478</f>
        <v>215216.3382</v>
      </c>
      <c r="K29" s="3">
        <f>41182*13.1478</f>
        <v>541452.6996</v>
      </c>
      <c r="L29" s="3">
        <f>12853*13.1478</f>
        <v>168988.6734</v>
      </c>
      <c r="M29" s="3">
        <f>19296*13.1478</f>
        <v>253699.9488</v>
      </c>
      <c r="N29" s="3">
        <f>-11502*13.1478</f>
        <v>-151225.9956</v>
      </c>
      <c r="O29" s="3">
        <f>-13154*13.1478</f>
        <v>-172946.1612</v>
      </c>
      <c r="P29" s="3">
        <f>-1781*13.1478</f>
        <v>-23416.2318</v>
      </c>
      <c r="Q29">
        <f>1</f>
        <v>1</v>
      </c>
      <c r="R29">
        <f>0</f>
        <v>0</v>
      </c>
    </row>
    <row r="30" spans="1:18">
      <c r="A30" s="2" t="s">
        <v>46</v>
      </c>
      <c r="B30" s="3">
        <f>15712*15.5812</f>
        <v>244811.8144</v>
      </c>
      <c r="C30" s="3">
        <f>-21998*15.5812</f>
        <v>-342755.2376</v>
      </c>
      <c r="D30" s="3">
        <f t="shared" si="0"/>
        <v>-97943.4232</v>
      </c>
      <c r="E30" s="3">
        <f>-7030*15.5812</f>
        <v>-109535.836</v>
      </c>
      <c r="F30" s="3">
        <f>-5733*15.5812</f>
        <v>-89327.0196</v>
      </c>
      <c r="G30" s="3">
        <f>-5669*15.5812</f>
        <v>-88329.8228</v>
      </c>
      <c r="H30">
        <f>5337*1000000</f>
        <v>5337000000</v>
      </c>
      <c r="I30" s="3">
        <f>100286*15.5812</f>
        <v>1562576.2232</v>
      </c>
      <c r="J30" s="3">
        <f>18383*15.5812</f>
        <v>286429.1996</v>
      </c>
      <c r="K30" s="3">
        <f>45601*15.5812</f>
        <v>710518.3012</v>
      </c>
      <c r="L30" s="3">
        <f>11638*15.5812</f>
        <v>181334.0056</v>
      </c>
      <c r="M30" s="3">
        <f>5260*15.5812</f>
        <v>81957.112</v>
      </c>
      <c r="N30" s="3">
        <f>-4038*15.5812</f>
        <v>-62916.8856</v>
      </c>
      <c r="O30" s="3">
        <f>2738*15.5812</f>
        <v>42661.3256</v>
      </c>
      <c r="P30" s="3">
        <f>3960*15.5812</f>
        <v>61701.552</v>
      </c>
      <c r="Q30">
        <f>0</f>
        <v>0</v>
      </c>
      <c r="R30">
        <f>1</f>
        <v>1</v>
      </c>
    </row>
    <row r="31" spans="1:18">
      <c r="A31" s="2" t="s">
        <v>47</v>
      </c>
      <c r="B31" s="3">
        <f>30912*13.3734</f>
        <v>413398.5408</v>
      </c>
      <c r="C31" s="3">
        <f>-35487*13.3734</f>
        <v>-474581.8458</v>
      </c>
      <c r="D31" s="3">
        <f t="shared" si="0"/>
        <v>-61183.305</v>
      </c>
      <c r="E31" s="3">
        <f>-6235*13.3734</f>
        <v>-83383.149</v>
      </c>
      <c r="F31" s="3">
        <f>-6207*13.3734</f>
        <v>-83008.6938</v>
      </c>
      <c r="G31" s="3">
        <f>-6385*13.3734</f>
        <v>-85389.159</v>
      </c>
      <c r="H31">
        <f>5322*1000000</f>
        <v>5322000000</v>
      </c>
      <c r="I31" s="3">
        <f>101239*13.3734</f>
        <v>1353909.6426</v>
      </c>
      <c r="J31" s="3">
        <f>17714*13.3734</f>
        <v>236896.4076</v>
      </c>
      <c r="K31" s="3">
        <f>46542*13.3734</f>
        <v>622424.7828</v>
      </c>
      <c r="L31" s="3">
        <f>12340*13.3734</f>
        <v>165027.756</v>
      </c>
      <c r="M31" s="3">
        <f>10625*13.3734</f>
        <v>142092.375</v>
      </c>
      <c r="N31" s="3">
        <f>-7245*13.3734</f>
        <v>-96890.283</v>
      </c>
      <c r="O31" s="3">
        <f>284*13.3734</f>
        <v>3798.0456</v>
      </c>
      <c r="P31" s="3">
        <f>3664*13.3734</f>
        <v>49000.1376</v>
      </c>
      <c r="Q31">
        <f>1</f>
        <v>1</v>
      </c>
      <c r="R31">
        <f>0</f>
        <v>0</v>
      </c>
    </row>
    <row r="32" spans="1:18">
      <c r="A32" s="2" t="s">
        <v>48</v>
      </c>
      <c r="B32" s="3">
        <f>18796*12.87</f>
        <v>241904.52</v>
      </c>
      <c r="C32" s="3">
        <f>-13387*12.87</f>
        <v>-172290.69</v>
      </c>
      <c r="D32" s="3">
        <f t="shared" si="0"/>
        <v>69613.83</v>
      </c>
      <c r="E32" s="3">
        <f>6057*12.87</f>
        <v>77953.59</v>
      </c>
      <c r="F32" s="3">
        <f>3452*12.87</f>
        <v>44427.24</v>
      </c>
      <c r="G32" s="3">
        <f>3204*12.87</f>
        <v>41235.48</v>
      </c>
      <c r="H32">
        <f>5336*1000000</f>
        <v>5336000000</v>
      </c>
      <c r="I32" s="3">
        <f>98034*12.87</f>
        <v>1261697.58</v>
      </c>
      <c r="J32" s="3">
        <f>21501*12.87</f>
        <v>276717.87</v>
      </c>
      <c r="K32" s="3">
        <f>45111*12.87</f>
        <v>580578.57</v>
      </c>
      <c r="L32" s="3">
        <f>11999*12.87</f>
        <v>154427.13</v>
      </c>
      <c r="M32" s="3">
        <f>7697*12.87</f>
        <v>99060.39</v>
      </c>
      <c r="N32" s="3">
        <f>-1922*12.87</f>
        <v>-24736.14</v>
      </c>
      <c r="O32" s="3">
        <f>-2124*12.87</f>
        <v>-27335.88</v>
      </c>
      <c r="P32" s="3">
        <f>3651*12.87</f>
        <v>46988.37</v>
      </c>
      <c r="Q32">
        <f>0</f>
        <v>0</v>
      </c>
      <c r="R32">
        <f>1</f>
        <v>1</v>
      </c>
    </row>
    <row r="33" spans="1:18">
      <c r="A33" s="2" t="s">
        <v>49</v>
      </c>
      <c r="B33" s="3">
        <f>38285*13.2028</f>
        <v>505469.198</v>
      </c>
      <c r="C33" s="3">
        <f>-27540*13.2028</f>
        <v>-363605.112</v>
      </c>
      <c r="D33" s="3">
        <f t="shared" si="0"/>
        <v>141864.086</v>
      </c>
      <c r="E33" s="3">
        <f>11753*13.2028</f>
        <v>155172.5084</v>
      </c>
      <c r="F33" s="3">
        <f>6222*13.2028</f>
        <v>82147.8216</v>
      </c>
      <c r="G33" s="3">
        <f>5890*13.2028</f>
        <v>77764.492</v>
      </c>
      <c r="H33">
        <f>5336*1000000</f>
        <v>5336000000</v>
      </c>
      <c r="I33" s="3">
        <f>95950*13.2028</f>
        <v>1266808.66</v>
      </c>
      <c r="J33" s="3">
        <f>21056*13.2028</f>
        <v>277998.1568</v>
      </c>
      <c r="K33" s="3">
        <f>42914*13.2028</f>
        <v>566584.9592</v>
      </c>
      <c r="L33" s="3">
        <f>11366*13.2028</f>
        <v>150063.0248</v>
      </c>
      <c r="M33" s="3">
        <f>16804*13.2028</f>
        <v>221859.8512</v>
      </c>
      <c r="N33" s="3">
        <f>-4161*13.2028</f>
        <v>-54936.8508</v>
      </c>
      <c r="O33" s="3">
        <f>-9133*13.2028</f>
        <v>-120581.1724</v>
      </c>
      <c r="P33" s="3">
        <f>3510*13.2028</f>
        <v>46341.828</v>
      </c>
      <c r="Q33">
        <f>1</f>
        <v>1</v>
      </c>
      <c r="R33">
        <f>0</f>
        <v>0</v>
      </c>
    </row>
    <row r="34" spans="1:18">
      <c r="A34" s="2" t="s">
        <v>50</v>
      </c>
      <c r="B34" s="3">
        <f>21779*11.656</f>
        <v>253856.024</v>
      </c>
      <c r="C34" s="3">
        <f>-15393*11.656</f>
        <v>-179420.808</v>
      </c>
      <c r="D34" s="3">
        <f t="shared" si="0"/>
        <v>74435.216</v>
      </c>
      <c r="E34" s="3">
        <f>6066*11.656</f>
        <v>70705.296</v>
      </c>
      <c r="F34" s="3">
        <f>2574*11.656</f>
        <v>30002.544</v>
      </c>
      <c r="G34" s="3">
        <f>2015*11.656</f>
        <v>23486.84</v>
      </c>
      <c r="H34">
        <f>5338*1000000</f>
        <v>5338000000</v>
      </c>
      <c r="I34" s="3">
        <f>92439*11.656</f>
        <v>1077468.984</v>
      </c>
      <c r="J34" s="3">
        <f>20143*11.656</f>
        <v>234786.808</v>
      </c>
      <c r="K34" s="3">
        <f>38891*11.656</f>
        <v>453313.496</v>
      </c>
      <c r="L34" s="3">
        <f>11530*11.656</f>
        <v>134393.68</v>
      </c>
      <c r="M34" s="3">
        <f>7343*11.656</f>
        <v>85590.008</v>
      </c>
      <c r="N34" s="3">
        <f>-2446*11.656</f>
        <v>-28510.576</v>
      </c>
      <c r="O34" s="3">
        <f>-7059*11.656</f>
        <v>-82279.704</v>
      </c>
      <c r="P34" s="3">
        <f>SUM(M34:O34)</f>
        <v>-25200.272</v>
      </c>
      <c r="Q34">
        <v>0</v>
      </c>
      <c r="R34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2017-12-07T08:05:00Z</dcterms:created>
  <dcterms:modified xsi:type="dcterms:W3CDTF">2018-02-26T16:01:27Z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