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<sst xmlns="http://schemas.openxmlformats.org/spreadsheetml/2006/main" count="52">
  <si>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Date</t>
  </si>
  <si>
    <t>Revenue</t>
  </si>
  <si>
    <t>Cost of sales</t>
  </si>
  <si>
    <t>Gross profit</t>
  </si>
  <si>
    <t>Operating profit</t>
  </si>
  <si>
    <t>Net profit</t>
  </si>
  <si>
    <t>Headline earnings</t>
  </si>
  <si>
    <t>Shares in issue</t>
  </si>
  <si>
    <t>Non-current assets</t>
  </si>
  <si>
    <t>Current assets</t>
  </si>
  <si>
    <t>Non-current liabilities</t>
  </si>
  <si>
    <t>Current liabilities</t>
  </si>
  <si>
    <t>Cash from operations</t>
  </si>
  <si>
    <t>Cash from investing</t>
  </si>
  <si>
    <t>Cash from financing</t>
  </si>
  <si>
    <t>Change in cash</t>
  </si>
  <si>
    <t>Full year</t>
  </si>
  <si>
    <t>Half year</t>
  </si>
  <si>
    <t>07-06-2001</t>
  </si>
  <si>
    <t>15-11-2001</t>
  </si>
  <si>
    <t>06-06-2002</t>
  </si>
  <si>
    <t>15-11-2002</t>
  </si>
  <si>
    <t>06-06-2003</t>
  </si>
  <si>
    <t>14-11-2003</t>
  </si>
  <si>
    <t>11-06-2004</t>
  </si>
  <si>
    <t>19-11-2004</t>
  </si>
  <si>
    <t>10-06-2005</t>
  </si>
  <si>
    <t>20-11-2005</t>
  </si>
  <si>
    <t>09-06-2006</t>
  </si>
  <si>
    <t>18-11-2006</t>
  </si>
  <si>
    <t>25-05-2007</t>
  </si>
  <si>
    <t>17-11-2007</t>
  </si>
  <si>
    <t>23-05-2008</t>
  </si>
  <si>
    <t>15-11-2008</t>
  </si>
  <si>
    <t>15-05-2009</t>
  </si>
  <si>
    <t>14-11-2009</t>
  </si>
  <si>
    <t>28-05-2010</t>
  </si>
  <si>
    <t>13-11-2010</t>
  </si>
  <si>
    <t>20-05-2011</t>
  </si>
  <si>
    <t>12-11-2011</t>
  </si>
  <si>
    <t>17-05-2012</t>
  </si>
  <si>
    <t>10-11-2012</t>
  </si>
  <si>
    <t>17-05-2013</t>
  </si>
  <si>
    <t>09-11-2013</t>
  </si>
  <si>
    <t>16-05-2014</t>
  </si>
  <si>
    <t>08-11-2014</t>
  </si>
  <si>
    <t>23-05-2015</t>
  </si>
  <si>
    <t>07-11-2015</t>
  </si>
  <si>
    <t>21-05-2016</t>
  </si>
  <si>
    <t>05-11-2016</t>
  </si>
  <si>
    <t>13-05-2017</t>
  </si>
  <si>
    <t>11-11-2017</t>
  </si>
</sst>
</file>

<file path=xl/styles.xml><?xml version="1.0" encoding="utf-8"?>
<styleSheet xmlns="http://schemas.openxmlformats.org/spreadsheetml/2006/main">
  <numFmts count="6">
    <numFmt numFmtId="176" formatCode="0_ "/>
    <numFmt numFmtId="177" formatCode="_-* #,##0_-;\-* #,##0_-;_-* &quot;-&quot;??_-;_-@_-"/>
    <numFmt numFmtId="178" formatCode="_-&quot;£&quot;* #,##0.00_-;\-&quot;£&quot;* #,##0.00_-;_-&quot;£&quot;* &quot;-&quot;??_-;_-@_-"/>
    <numFmt numFmtId="179" formatCode="_-&quot;£&quot;* #,##0_-;\-&quot;£&quot;* #,##0_-;_-&quot;£&quot;* &quot;-&quot;_-;_-@_-"/>
    <numFmt numFmtId="180" formatCode="_-* #,##0.00_-;\-* #,##0.00_-;_-* &quot;-&quot;??_-;_-@_-"/>
    <numFmt numFmtId="18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19" borderId="0" applyNumberFormat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181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0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49" fontId="0" fillId="0" borderId="0" xfId="0" applyNumberFormat="1"/>
    <xf numFmtId="176" fontId="0" fillId="0" borderId="0" xfId="0" applyNumberFormat="1"/>
    <xf numFmtId="49" fontId="0" fillId="0" borderId="0" xfId="0" applyNumberFormat="1" applyFill="1"/>
    <xf numFmtId="177" fontId="0" fillId="0" borderId="0" xfId="2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7"/>
  <sheetViews>
    <sheetView tabSelected="1" workbookViewId="0">
      <selection activeCell="A2" sqref="A2"/>
    </sheetView>
  </sheetViews>
  <sheetFormatPr defaultColWidth="9" defaultRowHeight="15"/>
  <cols>
    <col min="1" max="1" width="11.1142857142857" customWidth="1"/>
    <col min="2" max="2" width="16.447619047619"/>
    <col min="3" max="3" width="12.2190476190476" customWidth="1"/>
    <col min="4" max="4" width="11.447619047619" customWidth="1"/>
    <col min="5" max="5" width="15.2190476190476" customWidth="1"/>
    <col min="6" max="6" width="15.2190476190476"/>
    <col min="7" max="7" width="16.7809523809524" customWidth="1"/>
    <col min="8" max="8" width="17.2190476190476" customWidth="1"/>
    <col min="9" max="9" width="18" customWidth="1"/>
    <col min="10" max="10" width="13.6666666666667" customWidth="1"/>
    <col min="11" max="11" width="20.447619047619" customWidth="1"/>
    <col min="12" max="12" width="16" customWidth="1"/>
    <col min="13" max="13" width="20.447619047619" customWidth="1"/>
    <col min="14" max="14" width="18.552380952381" customWidth="1"/>
    <col min="15" max="15" width="18.7809523809524" customWidth="1"/>
    <col min="16" max="16" width="14.1142857142857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3">
        <f>3684.4*6.8726</f>
        <v>25321.40744</v>
      </c>
      <c r="C2" s="3">
        <v>-8360.5179</v>
      </c>
      <c r="D2" s="3">
        <f t="shared" ref="D2:D35" si="0">B2+C2</f>
        <v>16960.88954</v>
      </c>
      <c r="E2" s="3">
        <v>4895.35298</v>
      </c>
      <c r="F2" s="3">
        <f>1132.3*6.8726</f>
        <v>7781.84498</v>
      </c>
      <c r="G2" s="3">
        <f>1264.7*6.8726</f>
        <v>8691.77722</v>
      </c>
      <c r="H2" s="3">
        <f>5742000*100</f>
        <v>574200000</v>
      </c>
      <c r="I2" s="3">
        <f>(691+115.7+507.6+239.1)*6.8726</f>
        <v>10675.89684</v>
      </c>
      <c r="J2" s="3">
        <f>2588.2*6.8726</f>
        <v>17787.66332</v>
      </c>
      <c r="K2" s="3">
        <f>794.2*6.8726</f>
        <v>5458.21892</v>
      </c>
      <c r="L2" s="3">
        <f>1520.9*6.8726</f>
        <v>10452.53734</v>
      </c>
      <c r="M2" s="3">
        <f>577.5*6.8726</f>
        <v>3968.9265</v>
      </c>
      <c r="N2" s="3">
        <v>-3920.8183</v>
      </c>
      <c r="O2" s="3">
        <f>-181.1*6.8726</f>
        <v>-1244.62786</v>
      </c>
      <c r="P2" s="3">
        <f t="shared" ref="P2:P35" si="1">SUM(M2:O2)</f>
        <v>-1196.51966</v>
      </c>
      <c r="Q2">
        <v>1</v>
      </c>
      <c r="R2">
        <v>0</v>
      </c>
    </row>
    <row r="3" spans="1:18">
      <c r="A3" s="2" t="s">
        <v>19</v>
      </c>
      <c r="B3" s="3">
        <f>1836*8.4322</f>
        <v>15481.5192</v>
      </c>
      <c r="C3" s="3">
        <v>-5430.3368</v>
      </c>
      <c r="D3" s="3">
        <f t="shared" si="0"/>
        <v>10051.1824</v>
      </c>
      <c r="E3" s="3">
        <f>253*8.4322</f>
        <v>2133.3466</v>
      </c>
      <c r="F3" s="3">
        <f>227*8.4322</f>
        <v>1914.1094</v>
      </c>
      <c r="G3" s="3">
        <v>3904.1086</v>
      </c>
      <c r="H3" s="3">
        <f t="shared" ref="H3:H7" si="2">574.2*1000000</f>
        <v>574200000</v>
      </c>
      <c r="I3" s="3">
        <f>(779+616+419)*8.4322</f>
        <v>15296.0108</v>
      </c>
      <c r="J3" s="3">
        <v>23222.2788</v>
      </c>
      <c r="K3" s="3">
        <f>(606+158)*8.4322</f>
        <v>6442.2008</v>
      </c>
      <c r="L3" s="3">
        <f>((K3/K2)*L2)</f>
        <v>12336.8713129187</v>
      </c>
      <c r="M3" s="3">
        <f>-34*8.4322</f>
        <v>-286.6948</v>
      </c>
      <c r="N3" s="3">
        <f>-24*8.4322</f>
        <v>-202.3728</v>
      </c>
      <c r="O3" s="3">
        <f>(-69+20+23)*8.4322</f>
        <v>-219.2372</v>
      </c>
      <c r="P3" s="3">
        <f t="shared" si="1"/>
        <v>-708.3048</v>
      </c>
      <c r="Q3">
        <v>0</v>
      </c>
      <c r="R3">
        <v>1</v>
      </c>
    </row>
    <row r="4" spans="1:18">
      <c r="A4" s="2" t="s">
        <v>20</v>
      </c>
      <c r="B4" s="3">
        <f>3860*9.2272</f>
        <v>35616.992</v>
      </c>
      <c r="C4" s="3">
        <v>-12751.9904</v>
      </c>
      <c r="D4" s="3">
        <f t="shared" si="0"/>
        <v>22865.0016</v>
      </c>
      <c r="E4" s="3">
        <f>482*9.2272</f>
        <v>4447.5104</v>
      </c>
      <c r="F4" s="3">
        <f>329*9.2272</f>
        <v>3035.7488</v>
      </c>
      <c r="G4" s="3">
        <f>826*9.2272</f>
        <v>7621.6672</v>
      </c>
      <c r="H4" s="3">
        <f t="shared" si="2"/>
        <v>574200000</v>
      </c>
      <c r="I4" s="3">
        <f>(7741-5730)*9.2272</f>
        <v>18555.8992</v>
      </c>
      <c r="J4" s="3">
        <f>2922*9.2272</f>
        <v>26961.8784</v>
      </c>
      <c r="K4" s="3">
        <f>492*9.2272</f>
        <v>4539.7824</v>
      </c>
      <c r="L4" s="3">
        <f>2106*9.2272</f>
        <v>19432.4832</v>
      </c>
      <c r="M4" s="3">
        <f>286*9.2272</f>
        <v>2638.9792</v>
      </c>
      <c r="N4" s="3">
        <f>-475*9.2272</f>
        <v>-4382.92</v>
      </c>
      <c r="O4" s="3">
        <v>-1799.304</v>
      </c>
      <c r="P4" s="3">
        <f t="shared" si="1"/>
        <v>-3543.2448</v>
      </c>
      <c r="Q4">
        <v>1</v>
      </c>
      <c r="R4">
        <v>0</v>
      </c>
    </row>
    <row r="5" spans="1:18">
      <c r="A5" s="2" t="s">
        <v>21</v>
      </c>
      <c r="B5" s="3">
        <f>1784*9.6852</f>
        <v>17278.3968</v>
      </c>
      <c r="C5" s="3">
        <f>-635*9.6852</f>
        <v>-6150.102</v>
      </c>
      <c r="D5" s="3">
        <f t="shared" si="0"/>
        <v>11128.2948</v>
      </c>
      <c r="E5" s="3">
        <f>185*9.6852</f>
        <v>1791.762</v>
      </c>
      <c r="F5" s="3">
        <f>132*9.6852</f>
        <v>1278.4464</v>
      </c>
      <c r="G5" s="3">
        <f>404*9.6852</f>
        <v>3912.8208</v>
      </c>
      <c r="H5" s="3">
        <f t="shared" si="2"/>
        <v>574200000</v>
      </c>
      <c r="I5" s="3">
        <f>2034*9.6852</f>
        <v>19699.6968</v>
      </c>
      <c r="J5" s="3">
        <f>(3986-821)*9.6852</f>
        <v>30653.658</v>
      </c>
      <c r="K5" s="3">
        <f>(580+184)*9.6852</f>
        <v>7399.4928</v>
      </c>
      <c r="L5" s="3">
        <f>(L4+L6)/2</f>
        <v>16459.66815</v>
      </c>
      <c r="M5" s="3">
        <f>99*9.6852</f>
        <v>958.8348</v>
      </c>
      <c r="N5" s="3">
        <f>(258-16-56-66-31-16)*9.6852</f>
        <v>707.0196</v>
      </c>
      <c r="O5" s="3">
        <f>(-164-178+18+54)*9.6852</f>
        <v>-2615.004</v>
      </c>
      <c r="P5" s="3">
        <f t="shared" si="1"/>
        <v>-949.1496</v>
      </c>
      <c r="Q5">
        <v>0</v>
      </c>
      <c r="R5">
        <v>1</v>
      </c>
    </row>
    <row r="6" spans="1:18">
      <c r="A6" s="2" t="s">
        <v>22</v>
      </c>
      <c r="B6" s="3">
        <f>3651*9.4911</f>
        <v>34652.0061</v>
      </c>
      <c r="C6" s="3">
        <f>-1367*9.4911</f>
        <v>-12974.3337</v>
      </c>
      <c r="D6" s="3">
        <f t="shared" si="0"/>
        <v>21677.6724</v>
      </c>
      <c r="E6" s="3">
        <f>269*9.4911</f>
        <v>2553.1059</v>
      </c>
      <c r="F6" s="3">
        <f>425*9.4911</f>
        <v>4033.7175</v>
      </c>
      <c r="G6" s="3">
        <f>728*9.4911</f>
        <v>6909.5208</v>
      </c>
      <c r="H6" s="3">
        <f t="shared" si="2"/>
        <v>574200000</v>
      </c>
      <c r="I6" s="3">
        <f>(4519-2009)*9.4911</f>
        <v>23822.661</v>
      </c>
      <c r="J6" s="3">
        <f>2704*9.4911</f>
        <v>25663.9344</v>
      </c>
      <c r="K6" s="3">
        <f>605*9.4911</f>
        <v>5742.1155</v>
      </c>
      <c r="L6" s="3">
        <f>1421*9.4911</f>
        <v>13486.8531</v>
      </c>
      <c r="M6" s="3">
        <f>652*9.4911</f>
        <v>6188.1972</v>
      </c>
      <c r="N6" s="3">
        <f>-269*9.4911</f>
        <v>-2553.1059</v>
      </c>
      <c r="O6" s="3">
        <f>-498*9.4911</f>
        <v>-4726.5678</v>
      </c>
      <c r="P6" s="3">
        <f t="shared" si="1"/>
        <v>-1091.4765</v>
      </c>
      <c r="Q6">
        <v>1</v>
      </c>
      <c r="R6">
        <v>0</v>
      </c>
    </row>
    <row r="7" spans="1:18">
      <c r="A7" s="2" t="s">
        <v>23</v>
      </c>
      <c r="B7" s="3">
        <f>1526*7.8867</f>
        <v>12035.1042</v>
      </c>
      <c r="C7" s="3">
        <f>-595*7.8867</f>
        <v>-4692.5865</v>
      </c>
      <c r="D7" s="3">
        <f t="shared" si="0"/>
        <v>7342.5177</v>
      </c>
      <c r="E7" s="3">
        <f>81*7.8867</f>
        <v>638.8227</v>
      </c>
      <c r="F7" s="3">
        <f>119*7.8867</f>
        <v>938.5173</v>
      </c>
      <c r="G7" s="3">
        <f>289*7.8867</f>
        <v>2279.2563</v>
      </c>
      <c r="H7" s="3">
        <f t="shared" si="2"/>
        <v>574200000</v>
      </c>
      <c r="I7" s="3">
        <f>3580*7.8867</f>
        <v>28234.386</v>
      </c>
      <c r="J7" s="3">
        <f>3268*7.8867</f>
        <v>25773.7356</v>
      </c>
      <c r="K7" s="3">
        <f>414*7.8867</f>
        <v>3265.0938</v>
      </c>
      <c r="L7" s="3">
        <f>1437*7.8867</f>
        <v>11333.1879</v>
      </c>
      <c r="M7" s="3">
        <f>314*7.8867</f>
        <v>2476.4238</v>
      </c>
      <c r="N7" s="3">
        <f>1*7.8867</f>
        <v>7.8867</v>
      </c>
      <c r="O7" s="3">
        <f>-277*7.8867</f>
        <v>-2184.6159</v>
      </c>
      <c r="P7" s="3">
        <f t="shared" si="1"/>
        <v>299.6946</v>
      </c>
      <c r="Q7">
        <v>0</v>
      </c>
      <c r="R7">
        <v>1</v>
      </c>
    </row>
    <row r="8" spans="1:18">
      <c r="A8" s="2" t="s">
        <v>24</v>
      </c>
      <c r="B8" s="3">
        <f>3375*7.821</f>
        <v>26395.875</v>
      </c>
      <c r="C8" s="3">
        <f>-1283*7.821</f>
        <v>-10034.343</v>
      </c>
      <c r="D8" s="3">
        <f t="shared" si="0"/>
        <v>16361.532</v>
      </c>
      <c r="E8" s="3">
        <f>296*7.821</f>
        <v>2315.016</v>
      </c>
      <c r="F8" s="3">
        <f>320*7.821</f>
        <v>2502.72</v>
      </c>
      <c r="G8" s="3">
        <f>660*7.821</f>
        <v>5161.86</v>
      </c>
      <c r="H8" s="3">
        <f>553.3*1000000</f>
        <v>553300000</v>
      </c>
      <c r="I8" s="3">
        <f>3578*7.821</f>
        <v>27983.538</v>
      </c>
      <c r="J8" s="3">
        <f>3423*7.821</f>
        <v>26771.283</v>
      </c>
      <c r="K8" s="3">
        <f>235*7.821</f>
        <v>1837.935</v>
      </c>
      <c r="L8" s="3">
        <f>(359+170+532+97+79)*7.821</f>
        <v>9674.577</v>
      </c>
      <c r="M8" s="3">
        <f>719*7.821</f>
        <v>5623.299</v>
      </c>
      <c r="N8" s="3">
        <f>-88*7.821</f>
        <v>-688.248</v>
      </c>
      <c r="O8" s="3">
        <f>-287*7.821</f>
        <v>-2244.627</v>
      </c>
      <c r="P8" s="3">
        <f t="shared" si="1"/>
        <v>2690.424</v>
      </c>
      <c r="Q8">
        <v>1</v>
      </c>
      <c r="R8">
        <v>0</v>
      </c>
    </row>
    <row r="9" spans="1:18">
      <c r="A9" s="2" t="s">
        <v>25</v>
      </c>
      <c r="B9" s="3">
        <f>1739*7.8028</f>
        <v>13569.0692</v>
      </c>
      <c r="C9" s="3">
        <f>-625*7.8028</f>
        <v>-4876.75</v>
      </c>
      <c r="D9" s="3">
        <f t="shared" si="0"/>
        <v>8692.3192</v>
      </c>
      <c r="E9" s="3">
        <f>208*7.8028</f>
        <v>1622.9824</v>
      </c>
      <c r="F9" s="3">
        <f>173*7.8028</f>
        <v>1349.8844</v>
      </c>
      <c r="G9" s="3">
        <f>581*7.8028</f>
        <v>4533.4268</v>
      </c>
      <c r="H9" s="3">
        <f>552.9*1000000</f>
        <v>552900000</v>
      </c>
      <c r="I9" s="3">
        <f>3976*7.8028</f>
        <v>31023.9328</v>
      </c>
      <c r="J9" s="3">
        <f>3192*7.8028</f>
        <v>24906.5376</v>
      </c>
      <c r="K9" s="3">
        <f>218*7.8028</f>
        <v>1701.0104</v>
      </c>
      <c r="L9" s="3">
        <f>391*7.8028</f>
        <v>3050.8948</v>
      </c>
      <c r="M9" s="3">
        <f>336*7.8028</f>
        <v>2621.7408</v>
      </c>
      <c r="N9" s="3">
        <f>790*7.8028</f>
        <v>6164.212</v>
      </c>
      <c r="O9" s="3">
        <f>-222*7.8028</f>
        <v>-1732.2216</v>
      </c>
      <c r="P9" s="3">
        <f t="shared" si="1"/>
        <v>7053.7312</v>
      </c>
      <c r="Q9">
        <v>0</v>
      </c>
      <c r="R9">
        <v>1</v>
      </c>
    </row>
    <row r="10" spans="1:18">
      <c r="A10" s="2" t="s">
        <v>26</v>
      </c>
      <c r="B10" s="3">
        <f>3717*8.163</f>
        <v>30341.871</v>
      </c>
      <c r="C10" s="3">
        <f>-1325*8.163</f>
        <v>-10815.975</v>
      </c>
      <c r="D10" s="3">
        <f t="shared" si="0"/>
        <v>19525.896</v>
      </c>
      <c r="E10" s="3">
        <f>505*8.163</f>
        <v>4122.315</v>
      </c>
      <c r="F10" s="3">
        <f>496*8.163</f>
        <v>4048.848</v>
      </c>
      <c r="G10" s="3">
        <f>985*8.163</f>
        <v>8040.555</v>
      </c>
      <c r="H10" s="3">
        <f>554.8*1000000</f>
        <v>554800000</v>
      </c>
      <c r="I10" s="3">
        <f>3856*8.163</f>
        <v>31476.528</v>
      </c>
      <c r="J10" s="3">
        <f>3748*8.163</f>
        <v>30594.924</v>
      </c>
      <c r="K10" s="3">
        <f>298*8.163</f>
        <v>2432.574</v>
      </c>
      <c r="L10" s="3">
        <f>(633+173+120+63+355)*8.163</f>
        <v>10971.072</v>
      </c>
      <c r="M10" s="3">
        <f>674*8.163</f>
        <v>5501.862</v>
      </c>
      <c r="N10" s="3">
        <f>875*8.163</f>
        <v>7142.625</v>
      </c>
      <c r="O10" s="3">
        <f>-432*8.163</f>
        <v>-3526.416</v>
      </c>
      <c r="P10" s="3">
        <f t="shared" si="1"/>
        <v>9118.071</v>
      </c>
      <c r="Q10">
        <v>1</v>
      </c>
      <c r="R10">
        <v>0</v>
      </c>
    </row>
    <row r="11" spans="1:18">
      <c r="A11" s="4" t="s">
        <v>27</v>
      </c>
      <c r="B11" s="3">
        <f>1990*7.7809</f>
        <v>15483.991</v>
      </c>
      <c r="C11" s="3">
        <f>-715*7.7809</f>
        <v>-5563.3435</v>
      </c>
      <c r="D11" s="3">
        <f t="shared" si="0"/>
        <v>9920.6475</v>
      </c>
      <c r="E11" s="3">
        <f>334*7.7809</f>
        <v>2598.8206</v>
      </c>
      <c r="F11" s="3">
        <f>593*7.7809</f>
        <v>4614.0737</v>
      </c>
      <c r="G11" s="3">
        <f>529*7.7809</f>
        <v>4116.0961</v>
      </c>
      <c r="H11" s="3">
        <f>561.6*1000000</f>
        <v>561600000</v>
      </c>
      <c r="I11" s="3">
        <f>4450*7.7809</f>
        <v>34625.005</v>
      </c>
      <c r="J11" s="3">
        <f>3601*7.7809</f>
        <v>28019.0209</v>
      </c>
      <c r="K11" s="3">
        <f>387*7.7809</f>
        <v>3011.2083</v>
      </c>
      <c r="L11" s="3">
        <f>1368*7.7809</f>
        <v>10644.2712</v>
      </c>
      <c r="M11" s="3">
        <f>392*7.7809</f>
        <v>3050.1128</v>
      </c>
      <c r="N11" s="3">
        <f>-99*7.7809</f>
        <v>-770.3091</v>
      </c>
      <c r="O11" s="3">
        <f>-569*7.7809</f>
        <v>-4427.3321</v>
      </c>
      <c r="P11" s="3">
        <f t="shared" si="1"/>
        <v>-2147.5284</v>
      </c>
      <c r="Q11">
        <v>0</v>
      </c>
      <c r="R11">
        <v>1</v>
      </c>
    </row>
    <row r="12" spans="1:18">
      <c r="A12" s="2" t="s">
        <v>28</v>
      </c>
      <c r="B12" s="3">
        <f>4308*8.552</f>
        <v>36842.016</v>
      </c>
      <c r="C12" s="3">
        <f>-1588*8.552</f>
        <v>-13580.576</v>
      </c>
      <c r="D12" s="3">
        <f t="shared" si="0"/>
        <v>23261.44</v>
      </c>
      <c r="E12" s="3">
        <f>741*8.552</f>
        <v>6337.032</v>
      </c>
      <c r="F12" s="3">
        <f>1096*8.552</f>
        <v>9372.992</v>
      </c>
      <c r="G12" s="3">
        <f>1094*8.552</f>
        <v>9355.888</v>
      </c>
      <c r="H12" s="3">
        <f>560.9*1000000</f>
        <v>560900000</v>
      </c>
      <c r="I12" s="3">
        <f>4606*8.552</f>
        <v>39390.512</v>
      </c>
      <c r="J12" s="3">
        <f>3987*8.552</f>
        <v>34096.824</v>
      </c>
      <c r="K12" s="3">
        <f>343*8.552</f>
        <v>2933.336</v>
      </c>
      <c r="L12" s="3">
        <f>1469*8.552</f>
        <v>12562.888</v>
      </c>
      <c r="M12" s="3">
        <f>938*8.552</f>
        <v>8021.776</v>
      </c>
      <c r="N12" s="3">
        <f>-193*8.552</f>
        <v>-1650.536</v>
      </c>
      <c r="O12" s="3">
        <f>-506*8.552</f>
        <v>-4327.312</v>
      </c>
      <c r="P12" s="3">
        <f t="shared" si="1"/>
        <v>2043.928</v>
      </c>
      <c r="Q12">
        <v>1</v>
      </c>
      <c r="R12">
        <v>0</v>
      </c>
    </row>
    <row r="13" spans="1:18">
      <c r="A13" s="2" t="s">
        <v>29</v>
      </c>
      <c r="B13" s="3">
        <f>2303*9.2755</f>
        <v>21361.4765</v>
      </c>
      <c r="C13" s="3">
        <f>-840*9.2755</f>
        <v>-7791.42</v>
      </c>
      <c r="D13" s="3">
        <f t="shared" si="0"/>
        <v>13570.0565</v>
      </c>
      <c r="E13" s="3">
        <f>436*9.2755</f>
        <v>4044.118</v>
      </c>
      <c r="F13" s="3">
        <f>645*9.2755</f>
        <v>5982.6975</v>
      </c>
      <c r="G13" s="3">
        <f>645*9.2755</f>
        <v>5982.6975</v>
      </c>
      <c r="H13" s="3">
        <f>565.1*1000000</f>
        <v>565100000</v>
      </c>
      <c r="I13" s="3">
        <f>4687*9.2755</f>
        <v>43474.2685</v>
      </c>
      <c r="J13" s="3">
        <f>4115*9.2755</f>
        <v>38168.6825</v>
      </c>
      <c r="K13" s="3">
        <f>326*9.2755</f>
        <v>3023.813</v>
      </c>
      <c r="L13" s="3">
        <f>1585*9.2755</f>
        <v>14701.6675</v>
      </c>
      <c r="M13" s="3">
        <f>432*9.2755</f>
        <v>4007.016</v>
      </c>
      <c r="N13" s="3">
        <f>-143*9.2755</f>
        <v>-1326.3965</v>
      </c>
      <c r="O13" s="3">
        <f>-568*9.2755</f>
        <v>-5268.484</v>
      </c>
      <c r="P13" s="3">
        <f t="shared" si="1"/>
        <v>-2587.8645</v>
      </c>
      <c r="Q13">
        <v>0</v>
      </c>
      <c r="R13">
        <v>1</v>
      </c>
    </row>
    <row r="14" spans="1:18">
      <c r="A14" s="2" t="s">
        <v>30</v>
      </c>
      <c r="B14" s="3">
        <f>4827*9.5415</f>
        <v>46056.8205</v>
      </c>
      <c r="C14" s="3">
        <f>-1753*9.5415</f>
        <v>-16726.2495</v>
      </c>
      <c r="D14" s="3">
        <f t="shared" si="0"/>
        <v>29330.571</v>
      </c>
      <c r="E14" s="3">
        <f>916*9.5415</f>
        <v>8740.014</v>
      </c>
      <c r="F14" s="3">
        <f>1329*9.5415</f>
        <v>12680.6535</v>
      </c>
      <c r="G14" s="3">
        <f>1328*9.5415</f>
        <v>12671.112</v>
      </c>
      <c r="H14" s="3">
        <f>569.8*1000000</f>
        <v>569800000</v>
      </c>
      <c r="I14" s="3">
        <f>4974*9.5415</f>
        <v>47459.421</v>
      </c>
      <c r="J14" s="3">
        <f>4407*9.5415</f>
        <v>42049.3905</v>
      </c>
      <c r="K14" s="3">
        <f>399*9.5415</f>
        <v>3807.0585</v>
      </c>
      <c r="L14" s="3">
        <f>1469*9.5415</f>
        <v>14016.4635</v>
      </c>
      <c r="M14" s="3">
        <f>1100*9.5415</f>
        <v>10495.65</v>
      </c>
      <c r="N14" s="3">
        <f>-347*9.5415</f>
        <v>-3310.9005</v>
      </c>
      <c r="O14" s="3">
        <f>-563*9.5415</f>
        <v>-5371.8645</v>
      </c>
      <c r="P14" s="3">
        <f t="shared" si="1"/>
        <v>1812.885</v>
      </c>
      <c r="Q14">
        <v>1</v>
      </c>
      <c r="R14">
        <v>0</v>
      </c>
    </row>
    <row r="15" spans="1:18">
      <c r="A15" s="2" t="s">
        <v>31</v>
      </c>
      <c r="B15" s="3">
        <f>2548*9.9499</f>
        <v>25352.3452</v>
      </c>
      <c r="C15" s="3">
        <f>-893*9.9499</f>
        <v>-8885.2607</v>
      </c>
      <c r="D15" s="3">
        <f t="shared" si="0"/>
        <v>16467.0845</v>
      </c>
      <c r="E15" s="3">
        <f>560*9.9499</f>
        <v>5571.944</v>
      </c>
      <c r="F15" s="3">
        <f>824*9.9499</f>
        <v>8198.7176</v>
      </c>
      <c r="G15" s="3">
        <f>824*9.9499</f>
        <v>8198.7176</v>
      </c>
      <c r="H15" s="3">
        <f>569.5*1000000</f>
        <v>569500000</v>
      </c>
      <c r="I15" s="3">
        <f>4778*9.9499</f>
        <v>47540.6222</v>
      </c>
      <c r="J15" s="3">
        <f>4701*9.9499</f>
        <v>46774.4799</v>
      </c>
      <c r="K15" s="3">
        <f>398*9.9499</f>
        <v>3960.0602</v>
      </c>
      <c r="L15" s="3">
        <f>1679*9.9499</f>
        <v>16705.8821</v>
      </c>
      <c r="M15" s="3">
        <f>554*9.9499</f>
        <v>5512.2446</v>
      </c>
      <c r="N15" s="3">
        <f>-96*9.9499</f>
        <v>-955.1904</v>
      </c>
      <c r="O15" s="3">
        <f>-693*9.9499</f>
        <v>-6895.2807</v>
      </c>
      <c r="P15" s="3">
        <f t="shared" si="1"/>
        <v>-2338.2265</v>
      </c>
      <c r="Q15">
        <v>0</v>
      </c>
      <c r="R15">
        <v>1</v>
      </c>
    </row>
    <row r="16" spans="1:18">
      <c r="A16" s="2" t="s">
        <v>32</v>
      </c>
      <c r="B16" s="3">
        <f>5302*12.108</f>
        <v>64196.616</v>
      </c>
      <c r="C16" s="3">
        <f>-1897*12.108</f>
        <v>-22968.876</v>
      </c>
      <c r="D16" s="3">
        <f t="shared" si="0"/>
        <v>41227.74</v>
      </c>
      <c r="E16" s="3">
        <f>1108*12.108</f>
        <v>13415.664</v>
      </c>
      <c r="F16" s="3">
        <f>1570*12.108</f>
        <v>19009.56</v>
      </c>
      <c r="G16" s="3">
        <f>1570*12.108</f>
        <v>19009.56</v>
      </c>
      <c r="H16" s="3">
        <f>569.1*1000000</f>
        <v>569100000</v>
      </c>
      <c r="I16" s="3">
        <f>4708*12.108</f>
        <v>57004.464</v>
      </c>
      <c r="J16" s="3">
        <f>5030*12.108</f>
        <v>60903.24</v>
      </c>
      <c r="K16" s="3">
        <f>414*12.108</f>
        <v>5012.712</v>
      </c>
      <c r="L16" s="3">
        <f>1672*12.108</f>
        <v>20244.576</v>
      </c>
      <c r="M16" s="3">
        <f>1163*12.108</f>
        <v>14081.604</v>
      </c>
      <c r="N16" s="3">
        <f>-397*12.108</f>
        <v>-4806.876</v>
      </c>
      <c r="O16" s="3">
        <f>-669*12.108</f>
        <v>-8100.252</v>
      </c>
      <c r="P16" s="3">
        <f t="shared" si="1"/>
        <v>1174.476</v>
      </c>
      <c r="Q16">
        <v>1</v>
      </c>
      <c r="R16">
        <v>0</v>
      </c>
    </row>
    <row r="17" spans="1:18">
      <c r="A17" s="2" t="s">
        <v>33</v>
      </c>
      <c r="B17" s="3">
        <f>2800*12.8878</f>
        <v>36085.84</v>
      </c>
      <c r="C17" s="3">
        <f>-1010*12.8878</f>
        <v>-13016.678</v>
      </c>
      <c r="D17" s="3">
        <f t="shared" si="0"/>
        <v>23069.162</v>
      </c>
      <c r="E17" s="3">
        <f>639*12.8878</f>
        <v>8235.3042</v>
      </c>
      <c r="F17" s="3">
        <f>864*12.8878</f>
        <v>11135.0592</v>
      </c>
      <c r="G17" s="3">
        <f>866*12.8878</f>
        <v>11160.8348</v>
      </c>
      <c r="H17" s="3">
        <f>565.1*1000000</f>
        <v>565100000</v>
      </c>
      <c r="I17" s="3">
        <f>5016*12.8878</f>
        <v>64645.2048</v>
      </c>
      <c r="J17" s="3">
        <f>5654*12.8878</f>
        <v>72867.6212</v>
      </c>
      <c r="K17" s="3">
        <f>478*12.8878</f>
        <v>6160.3684</v>
      </c>
      <c r="L17" s="3">
        <f>2125*12.8878</f>
        <v>27386.575</v>
      </c>
      <c r="M17" s="3">
        <f>514*12.8878</f>
        <v>6624.3292</v>
      </c>
      <c r="N17" s="3">
        <f>-297*12.8878</f>
        <v>-3827.6766</v>
      </c>
      <c r="O17" s="3">
        <f>-478*12.8878</f>
        <v>-6160.3684</v>
      </c>
      <c r="P17" s="3">
        <f t="shared" si="1"/>
        <v>-3363.7158</v>
      </c>
      <c r="Q17">
        <v>0</v>
      </c>
      <c r="R17">
        <v>1</v>
      </c>
    </row>
    <row r="18" spans="1:18">
      <c r="A18" s="2" t="s">
        <v>34</v>
      </c>
      <c r="B18" s="3">
        <f>5418*11.7485</f>
        <v>63653.373</v>
      </c>
      <c r="C18" s="3">
        <f>-1988*11.7485</f>
        <v>-23356.018</v>
      </c>
      <c r="D18" s="3">
        <f t="shared" si="0"/>
        <v>40297.355</v>
      </c>
      <c r="E18" s="3">
        <f>982*11.7485</f>
        <v>11537.027</v>
      </c>
      <c r="F18" s="3">
        <f>1076*11.7485</f>
        <v>12641.386</v>
      </c>
      <c r="G18" s="3">
        <f>1076*11.7485</f>
        <v>12641.386</v>
      </c>
      <c r="H18" s="3">
        <f>561*1000000</f>
        <v>561000000</v>
      </c>
      <c r="I18" s="3">
        <f>2176*11.7485</f>
        <v>25564.736</v>
      </c>
      <c r="J18" s="3">
        <f>5235*11.7485</f>
        <v>61503.3975</v>
      </c>
      <c r="K18" s="3">
        <f>268*11.7485</f>
        <v>3148.598</v>
      </c>
      <c r="L18" s="3">
        <f>2308*11.7485</f>
        <v>27115.538</v>
      </c>
      <c r="M18" s="3">
        <f>1019*11.7485</f>
        <v>11971.7215</v>
      </c>
      <c r="N18" s="3">
        <f>-463*11.7485</f>
        <v>-5439.5555</v>
      </c>
      <c r="O18" s="3">
        <f>-932*11.7485</f>
        <v>-10949.602</v>
      </c>
      <c r="P18" s="3">
        <f t="shared" si="1"/>
        <v>-4417.436</v>
      </c>
      <c r="Q18">
        <v>1</v>
      </c>
      <c r="R18">
        <v>0</v>
      </c>
    </row>
    <row r="19" spans="1:18">
      <c r="A19" s="2" t="s">
        <v>35</v>
      </c>
      <c r="B19" s="3">
        <f>2379*11.0168</f>
        <v>26208.9672</v>
      </c>
      <c r="C19" s="3">
        <f>-915*11.0168</f>
        <v>-10080.372</v>
      </c>
      <c r="D19" s="3">
        <f t="shared" si="0"/>
        <v>16128.5952</v>
      </c>
      <c r="E19" s="3">
        <f>390*11.0168</f>
        <v>4296.552</v>
      </c>
      <c r="F19" s="3">
        <f>344*11.0168</f>
        <v>3789.7792</v>
      </c>
      <c r="G19" s="3">
        <f>400*11.0168</f>
        <v>4406.72</v>
      </c>
      <c r="H19" s="3">
        <f>553.4*1000000</f>
        <v>553400000</v>
      </c>
      <c r="I19" s="3">
        <f>2075*11.0168</f>
        <v>22859.86</v>
      </c>
      <c r="J19" s="3">
        <f>5185*11.0168</f>
        <v>57122.108</v>
      </c>
      <c r="K19" s="3">
        <f>382*11.0168</f>
        <v>4208.4176</v>
      </c>
      <c r="L19" s="3">
        <f>1804*11.0168</f>
        <v>19874.3072</v>
      </c>
      <c r="M19" s="3">
        <f>262*11.0168</f>
        <v>2886.4016</v>
      </c>
      <c r="N19" s="3">
        <f>94*11.0168</f>
        <v>1035.5792</v>
      </c>
      <c r="O19" s="3">
        <f>-222*11.0168</f>
        <v>-2445.7296</v>
      </c>
      <c r="P19" s="3">
        <f t="shared" si="1"/>
        <v>1476.2512</v>
      </c>
      <c r="Q19">
        <v>0</v>
      </c>
      <c r="R19">
        <v>1</v>
      </c>
    </row>
    <row r="20" spans="1:18">
      <c r="A20" s="2" t="s">
        <v>36</v>
      </c>
      <c r="B20" s="3">
        <f>5176*9.3565</f>
        <v>48429.244</v>
      </c>
      <c r="C20" s="3">
        <f>-1985*9.3565</f>
        <v>-18572.6525</v>
      </c>
      <c r="D20" s="3">
        <f t="shared" si="0"/>
        <v>29856.5915</v>
      </c>
      <c r="E20" s="3">
        <f>830*9.3565</f>
        <v>7765.895</v>
      </c>
      <c r="F20" s="3">
        <f>600*9.3565</f>
        <v>5613.9</v>
      </c>
      <c r="G20" s="3">
        <f>937*9.3565</f>
        <v>8767.0405</v>
      </c>
      <c r="H20" s="3">
        <f>559.5*1000000</f>
        <v>559500000</v>
      </c>
      <c r="I20" s="3">
        <f>2149*9.3565</f>
        <v>20107.1185</v>
      </c>
      <c r="J20" s="3">
        <f>5580*9.3565</f>
        <v>52209.27</v>
      </c>
      <c r="K20" s="3">
        <f>464*9.3565</f>
        <v>4341.416</v>
      </c>
      <c r="L20" s="3">
        <f>1605*9.3565</f>
        <v>15017.1825</v>
      </c>
      <c r="M20" s="3">
        <f>1378*9.3565</f>
        <v>12893.257</v>
      </c>
      <c r="N20" s="3">
        <f>-519*9.3565</f>
        <v>-4856.0235</v>
      </c>
      <c r="O20" s="3">
        <f>-365*9.3565</f>
        <v>-3415.1225</v>
      </c>
      <c r="P20" s="3">
        <f t="shared" si="1"/>
        <v>4622.111</v>
      </c>
      <c r="Q20">
        <v>1</v>
      </c>
      <c r="R20">
        <v>0</v>
      </c>
    </row>
    <row r="21" spans="1:18">
      <c r="A21" s="2" t="s">
        <v>37</v>
      </c>
      <c r="B21" s="3">
        <f>3259*9.4763</f>
        <v>30883.2617</v>
      </c>
      <c r="C21" s="3">
        <f>-1146*9.4763</f>
        <v>-10859.8398</v>
      </c>
      <c r="D21" s="3">
        <f t="shared" si="0"/>
        <v>20023.4219</v>
      </c>
      <c r="E21" s="3">
        <f>760*9.4763</f>
        <v>7201.988</v>
      </c>
      <c r="F21" s="3">
        <f>644*9.4763</f>
        <v>6102.7372</v>
      </c>
      <c r="G21" s="3">
        <f>1000*9.4763</f>
        <v>9476.3</v>
      </c>
      <c r="H21" s="3">
        <f>564.6*1000000</f>
        <v>564600000</v>
      </c>
      <c r="I21" s="3">
        <f>2572*9.4763</f>
        <v>24373.0436</v>
      </c>
      <c r="J21" s="3">
        <f>6554*9.4763</f>
        <v>62107.6702</v>
      </c>
      <c r="K21" s="3">
        <f>454*9.4763</f>
        <v>4302.2402</v>
      </c>
      <c r="L21" s="3">
        <f>2323*9.4763</f>
        <v>22013.4449</v>
      </c>
      <c r="M21" s="3">
        <f>485*9.4763</f>
        <v>4596.0055</v>
      </c>
      <c r="N21" s="3">
        <f>-318*9.4763</f>
        <v>-3013.4634</v>
      </c>
      <c r="O21" s="3">
        <f>-326*9.4763</f>
        <v>-3089.2738</v>
      </c>
      <c r="P21" s="3">
        <f t="shared" si="1"/>
        <v>-1506.7317</v>
      </c>
      <c r="Q21">
        <v>0</v>
      </c>
      <c r="R21">
        <v>1</v>
      </c>
    </row>
    <row r="22" spans="1:18">
      <c r="A22" s="2" t="s">
        <v>38</v>
      </c>
      <c r="B22" s="3">
        <f>6892*9.789</f>
        <v>67465.788</v>
      </c>
      <c r="C22" s="3">
        <f>-2498*9.789</f>
        <v>-24452.922</v>
      </c>
      <c r="D22" s="3">
        <f t="shared" si="0"/>
        <v>43012.866</v>
      </c>
      <c r="E22" s="3">
        <f>1355*9.789</f>
        <v>13264.095</v>
      </c>
      <c r="F22" s="3">
        <f>1079*9.789</f>
        <v>10562.331</v>
      </c>
      <c r="G22" s="3">
        <f>1616*9.789</f>
        <v>15819.024</v>
      </c>
      <c r="H22" s="3">
        <f>566.1*1000000</f>
        <v>566100000</v>
      </c>
      <c r="I22" s="3">
        <f>2659*9.789</f>
        <v>26028.951</v>
      </c>
      <c r="J22" s="3">
        <f>7034*9.789</f>
        <v>68855.826</v>
      </c>
      <c r="K22" s="3">
        <f>488*9.789</f>
        <v>4777.032</v>
      </c>
      <c r="L22" s="3">
        <f>2213*9.789</f>
        <v>21663.057</v>
      </c>
      <c r="M22" s="3">
        <f>1493*9.789</f>
        <v>14614.977</v>
      </c>
      <c r="N22" s="3">
        <f>-1357*9.789</f>
        <v>-13283.673</v>
      </c>
      <c r="O22" s="3">
        <f>-416*9.789</f>
        <v>-4072.224</v>
      </c>
      <c r="P22" s="3">
        <f t="shared" si="1"/>
        <v>-2740.92</v>
      </c>
      <c r="Q22">
        <v>1</v>
      </c>
      <c r="R22">
        <v>0</v>
      </c>
    </row>
    <row r="23" spans="1:18">
      <c r="A23" s="2" t="s">
        <v>39</v>
      </c>
      <c r="B23" s="3">
        <f>4214*10.914</f>
        <v>45991.596</v>
      </c>
      <c r="C23" s="3">
        <f>-1549*10.914</f>
        <v>-16905.786</v>
      </c>
      <c r="D23" s="3">
        <f t="shared" si="0"/>
        <v>29085.81</v>
      </c>
      <c r="E23" s="3">
        <f>1075*10.914</f>
        <v>11732.55</v>
      </c>
      <c r="F23" s="3">
        <f>709*10.914</f>
        <v>7738.026</v>
      </c>
      <c r="G23" s="3">
        <f>1087*10.914</f>
        <v>11863.518</v>
      </c>
      <c r="H23" s="3">
        <f>560.2*1000000</f>
        <v>560200000</v>
      </c>
      <c r="I23" s="3">
        <f>2741*10.914</f>
        <v>29915.274</v>
      </c>
      <c r="J23" s="3">
        <f>7965*10.914</f>
        <v>86930.01</v>
      </c>
      <c r="K23" s="3">
        <f>359*10.914</f>
        <v>3918.126</v>
      </c>
      <c r="L23" s="3">
        <f>2691*10.914</f>
        <v>29369.574</v>
      </c>
      <c r="M23" s="3">
        <f>484*10.914</f>
        <v>5282.376</v>
      </c>
      <c r="N23" s="3">
        <f>-171*10.914</f>
        <v>-1866.294</v>
      </c>
      <c r="O23" s="3">
        <f>-430*10.914</f>
        <v>-4693.02</v>
      </c>
      <c r="P23" s="3">
        <f t="shared" si="1"/>
        <v>-1276.938</v>
      </c>
      <c r="Q23">
        <v>0</v>
      </c>
      <c r="R23">
        <v>1</v>
      </c>
    </row>
    <row r="24" spans="1:18">
      <c r="A24" s="2" t="s">
        <v>40</v>
      </c>
      <c r="B24" s="3">
        <f>8867*10.5874</f>
        <v>93878.4758</v>
      </c>
      <c r="C24" s="3">
        <f>-3216*10.5874</f>
        <v>-34049.0784</v>
      </c>
      <c r="D24" s="3">
        <f t="shared" si="0"/>
        <v>59829.3974</v>
      </c>
      <c r="E24" s="3">
        <f>2040*10.5874</f>
        <v>21598.296</v>
      </c>
      <c r="F24" s="3">
        <f>1540*10.5874</f>
        <v>16304.596</v>
      </c>
      <c r="G24" s="3">
        <f>1995*10.5874</f>
        <v>21121.863</v>
      </c>
      <c r="H24" s="3">
        <f>560.2*1000000</f>
        <v>560200000</v>
      </c>
      <c r="I24" s="3">
        <f>3158*10.5874</f>
        <v>33435.0092</v>
      </c>
      <c r="J24" s="3">
        <f>8595*10.5874</f>
        <v>90998.703</v>
      </c>
      <c r="K24" s="3">
        <f>413*10.5874</f>
        <v>4372.5962</v>
      </c>
      <c r="L24" s="3">
        <f>2722*10.5874</f>
        <v>28818.9028</v>
      </c>
      <c r="M24" s="3">
        <f>1482*10.5874</f>
        <v>15690.5268</v>
      </c>
      <c r="N24" s="3">
        <f>-779*10.5874</f>
        <v>-8247.5846</v>
      </c>
      <c r="O24" s="3">
        <f>-530*10.5874</f>
        <v>-5611.322</v>
      </c>
      <c r="P24" s="3">
        <f t="shared" si="1"/>
        <v>1831.6202</v>
      </c>
      <c r="Q24">
        <v>1</v>
      </c>
      <c r="R24">
        <v>0</v>
      </c>
    </row>
    <row r="25" spans="1:18">
      <c r="A25" s="2" t="s">
        <v>41</v>
      </c>
      <c r="B25" s="3">
        <f>5106*11.1164</f>
        <v>56760.3384</v>
      </c>
      <c r="C25" s="3">
        <f>-1796*11.1164</f>
        <v>-19965.0544</v>
      </c>
      <c r="D25" s="3">
        <f t="shared" si="0"/>
        <v>36795.284</v>
      </c>
      <c r="E25" s="3">
        <f>1380*11.1164</f>
        <v>15340.632</v>
      </c>
      <c r="F25" s="3">
        <f>1081*11.1164</f>
        <v>12016.8284</v>
      </c>
      <c r="G25" s="3">
        <f>1057*11.1164</f>
        <v>11750.0348</v>
      </c>
      <c r="H25" s="3">
        <f>557.8*1000000</f>
        <v>557800000</v>
      </c>
      <c r="I25" s="3">
        <f>3315*11.1164</f>
        <v>36850.866</v>
      </c>
      <c r="J25" s="3">
        <f>9903*11.1164</f>
        <v>110085.7092</v>
      </c>
      <c r="K25" s="3">
        <f>460*11.1164</f>
        <v>5113.544</v>
      </c>
      <c r="L25" s="3">
        <f>3431*11.1164</f>
        <v>38140.3684</v>
      </c>
      <c r="M25" s="3">
        <f>422*11.1164</f>
        <v>4691.1208</v>
      </c>
      <c r="N25" s="3">
        <f>-80*11.1164</f>
        <v>-889.312</v>
      </c>
      <c r="O25" s="3">
        <f>-131*11.1164</f>
        <v>-1456.2484</v>
      </c>
      <c r="P25" s="3">
        <f t="shared" si="1"/>
        <v>2345.5604</v>
      </c>
      <c r="Q25">
        <v>0</v>
      </c>
      <c r="R25">
        <v>1</v>
      </c>
    </row>
    <row r="26" spans="1:18">
      <c r="A26" s="2" t="s">
        <v>42</v>
      </c>
      <c r="B26" s="3">
        <f>10150*12.1624</f>
        <v>123448.36</v>
      </c>
      <c r="C26" s="3">
        <f>-3631*12.1624</f>
        <v>-44161.6744</v>
      </c>
      <c r="D26" s="3">
        <f t="shared" si="0"/>
        <v>79286.6856</v>
      </c>
      <c r="E26" s="3">
        <f>2426*12.1624</f>
        <v>29505.9824</v>
      </c>
      <c r="F26" s="3">
        <f>2005*12.1624</f>
        <v>24385.612</v>
      </c>
      <c r="G26" s="3">
        <f>1925*12.1624</f>
        <v>23412.62</v>
      </c>
      <c r="H26" s="3">
        <f>560*1000000</f>
        <v>560000000</v>
      </c>
      <c r="I26" s="3">
        <f>3944*12.1624</f>
        <v>47968.5056</v>
      </c>
      <c r="J26" s="3">
        <f>10553*12.1624</f>
        <v>128349.8072</v>
      </c>
      <c r="K26" s="3">
        <f>826*12.1624</f>
        <v>10046.1424</v>
      </c>
      <c r="L26" s="3">
        <f>3456*12.1624</f>
        <v>42033.2544</v>
      </c>
      <c r="M26" s="3">
        <f>1568*12.1624</f>
        <v>19070.6432</v>
      </c>
      <c r="N26" s="3">
        <f>-1441*12.1624</f>
        <v>-17526.0184</v>
      </c>
      <c r="O26" s="3">
        <f>3*12.1624</f>
        <v>36.4872</v>
      </c>
      <c r="P26" s="3">
        <f t="shared" si="1"/>
        <v>1581.112</v>
      </c>
      <c r="Q26">
        <v>1</v>
      </c>
      <c r="R26">
        <v>0</v>
      </c>
    </row>
    <row r="27" spans="1:18">
      <c r="A27" s="2" t="s">
        <v>43</v>
      </c>
      <c r="B27" s="3">
        <f>5324*13.8872</f>
        <v>73935.4528</v>
      </c>
      <c r="C27" s="3">
        <f>-1922*13.8872</f>
        <v>-26691.1984</v>
      </c>
      <c r="D27" s="3">
        <f t="shared" si="0"/>
        <v>47244.2544</v>
      </c>
      <c r="E27" s="3">
        <f>1370*13.8872</f>
        <v>19025.464</v>
      </c>
      <c r="F27" s="3">
        <f>1185*13.8872</f>
        <v>16456.332</v>
      </c>
      <c r="G27" s="3">
        <f>1133*13.8872</f>
        <v>15734.1976</v>
      </c>
      <c r="H27" s="3">
        <f>560.9*1000000</f>
        <v>560900000</v>
      </c>
      <c r="I27" s="3">
        <f>3921*13.8872</f>
        <v>54451.7112</v>
      </c>
      <c r="J27" s="3">
        <f>11688*13.8872</f>
        <v>162313.5936</v>
      </c>
      <c r="K27" s="3">
        <f>819*13.8872</f>
        <v>11373.6168</v>
      </c>
      <c r="L27" s="3">
        <f>3800*13.8872</f>
        <v>52771.36</v>
      </c>
      <c r="M27" s="3">
        <f>1107*13.8872</f>
        <v>15373.1304</v>
      </c>
      <c r="N27" s="3">
        <f>-201*13.8872</f>
        <v>-2791.3272</v>
      </c>
      <c r="O27" s="3">
        <f>-197*13.8872</f>
        <v>-2735.7784</v>
      </c>
      <c r="P27" s="3">
        <f t="shared" si="1"/>
        <v>9846.0248</v>
      </c>
      <c r="Q27">
        <v>0</v>
      </c>
      <c r="R27">
        <v>1</v>
      </c>
    </row>
    <row r="28" spans="1:18">
      <c r="A28" s="2" t="s">
        <v>44</v>
      </c>
      <c r="B28" s="3">
        <f>10649*14.1806</f>
        <v>151009.2094</v>
      </c>
      <c r="C28" s="3">
        <f>-3898*14.1806</f>
        <v>-55275.9788</v>
      </c>
      <c r="D28" s="3">
        <f t="shared" si="0"/>
        <v>95733.2306</v>
      </c>
      <c r="E28" s="3">
        <f>2419*14.1806</f>
        <v>34302.8714</v>
      </c>
      <c r="F28" s="3">
        <f>2067*14.1806</f>
        <v>29311.3002</v>
      </c>
      <c r="G28" s="3">
        <f>2088*14.1806</f>
        <v>29609.0928</v>
      </c>
      <c r="H28" s="3">
        <f>563.6*1000000</f>
        <v>563600000</v>
      </c>
      <c r="I28" s="3">
        <f>4092*14.1806</f>
        <v>58027.0152</v>
      </c>
      <c r="J28" s="3">
        <f>11826*14.1806</f>
        <v>167699.7756</v>
      </c>
      <c r="K28" s="3">
        <f>847*14.1806</f>
        <v>12010.9682</v>
      </c>
      <c r="L28" s="3">
        <f>3113*14.1806</f>
        <v>44144.2078</v>
      </c>
      <c r="M28" s="3">
        <f>2494*14.1806</f>
        <v>35366.4164</v>
      </c>
      <c r="N28" s="3">
        <f>-846*14.1806</f>
        <v>-11996.7876</v>
      </c>
      <c r="O28" s="3">
        <f>-426*14.1806</f>
        <v>-6040.9356</v>
      </c>
      <c r="P28" s="3">
        <f t="shared" si="1"/>
        <v>17328.6932</v>
      </c>
      <c r="Q28">
        <v>1</v>
      </c>
      <c r="R28">
        <v>0</v>
      </c>
    </row>
    <row r="29" spans="1:18">
      <c r="A29" s="2" t="s">
        <v>45</v>
      </c>
      <c r="B29" s="3">
        <f>5430*14.0034</f>
        <v>76038.462</v>
      </c>
      <c r="C29" s="3">
        <f>-1925*14.0034</f>
        <v>-26956.545</v>
      </c>
      <c r="D29" s="3">
        <f t="shared" si="0"/>
        <v>49081.917</v>
      </c>
      <c r="E29" s="3">
        <f>1311*14.0034</f>
        <v>18358.4574</v>
      </c>
      <c r="F29" s="3">
        <f>907*14.0034</f>
        <v>12701.0838</v>
      </c>
      <c r="G29" s="3">
        <f>1025*14.0034</f>
        <v>14353.485</v>
      </c>
      <c r="H29" s="3">
        <f>566.3*1000000</f>
        <v>566300000</v>
      </c>
      <c r="I29" s="3">
        <f>4150*14.0034</f>
        <v>58114.11</v>
      </c>
      <c r="J29" s="3">
        <f>13321*14.0034</f>
        <v>186539.2914</v>
      </c>
      <c r="K29" s="3">
        <f>749*14.0034</f>
        <v>10488.5466</v>
      </c>
      <c r="L29" s="3">
        <f>4458*14.0034</f>
        <v>62427.1572</v>
      </c>
      <c r="M29" s="3">
        <f>668*14.0034</f>
        <v>9354.2712</v>
      </c>
      <c r="N29" s="3">
        <f>-68*14.0034</f>
        <v>-952.2312</v>
      </c>
      <c r="O29" s="3">
        <f>-560*14.0034</f>
        <v>-7841.904</v>
      </c>
      <c r="P29" s="3">
        <f t="shared" si="1"/>
        <v>560.136</v>
      </c>
      <c r="Q29">
        <v>0</v>
      </c>
      <c r="R29">
        <v>1</v>
      </c>
    </row>
    <row r="30" spans="1:18">
      <c r="A30" s="2" t="s">
        <v>46</v>
      </c>
      <c r="B30" s="3">
        <f>10410*13.1296</f>
        <v>136679.136</v>
      </c>
      <c r="C30" s="3">
        <f>-3534*13.1296</f>
        <v>-46400.0064</v>
      </c>
      <c r="D30" s="3">
        <f t="shared" si="0"/>
        <v>90279.1296</v>
      </c>
      <c r="E30" s="3">
        <f>2670*13.1296</f>
        <v>35056.032</v>
      </c>
      <c r="F30" s="3">
        <f>1334*13.1296</f>
        <v>17514.8864</v>
      </c>
      <c r="G30" s="3">
        <f>3195*13.1296</f>
        <v>41949.072</v>
      </c>
      <c r="H30" s="3">
        <f>566.3*1000000</f>
        <v>566300000</v>
      </c>
      <c r="I30" s="3">
        <f>4522*13.1296</f>
        <v>59372.0512</v>
      </c>
      <c r="J30" s="3">
        <f>15928*13.1296</f>
        <v>209128.2688</v>
      </c>
      <c r="K30" s="3">
        <f>942*13.1296</f>
        <v>12368.0832</v>
      </c>
      <c r="L30" s="3">
        <f>5088*13.1296</f>
        <v>66803.4048</v>
      </c>
      <c r="M30" s="3">
        <f>1704*13.1296</f>
        <v>22372.8384</v>
      </c>
      <c r="N30" s="3">
        <f>-343*13.1296</f>
        <v>-4503.4528</v>
      </c>
      <c r="O30" s="3">
        <f>-642*13.1296</f>
        <v>-8429.2032</v>
      </c>
      <c r="P30" s="3">
        <f t="shared" si="1"/>
        <v>9440.1824</v>
      </c>
      <c r="Q30">
        <v>1</v>
      </c>
      <c r="R30">
        <v>0</v>
      </c>
    </row>
    <row r="31" spans="1:18">
      <c r="A31" s="2" t="s">
        <v>47</v>
      </c>
      <c r="B31" s="3">
        <f>5821*15.372</f>
        <v>89480.412</v>
      </c>
      <c r="C31" s="3">
        <f>-2035*15.372</f>
        <v>-31282.02</v>
      </c>
      <c r="D31" s="3">
        <f t="shared" si="0"/>
        <v>58198.392</v>
      </c>
      <c r="E31" s="3">
        <f>1390*15.372</f>
        <v>21367.08</v>
      </c>
      <c r="F31" s="3">
        <f>603*15.372</f>
        <v>9269.316</v>
      </c>
      <c r="G31" s="3">
        <f>1103*15.372</f>
        <v>16955.316</v>
      </c>
      <c r="H31" s="3">
        <f>565*1000000</f>
        <v>565000000</v>
      </c>
      <c r="I31" s="3">
        <f>4471*15.372</f>
        <v>68728.212</v>
      </c>
      <c r="J31" s="3">
        <f>14476*15.372</f>
        <v>222525.072</v>
      </c>
      <c r="K31" s="3">
        <f>861*15.372</f>
        <v>13235.292</v>
      </c>
      <c r="L31" s="3">
        <f>4012*15.372</f>
        <v>61672.464</v>
      </c>
      <c r="M31" s="3">
        <f>813*15.372</f>
        <v>12497.436</v>
      </c>
      <c r="N31" s="3">
        <f>-322*15.372</f>
        <v>-4949.784</v>
      </c>
      <c r="O31" s="3">
        <f>-1039*15.372</f>
        <v>-15971.508</v>
      </c>
      <c r="P31" s="3">
        <f t="shared" si="1"/>
        <v>-8423.856</v>
      </c>
      <c r="Q31">
        <v>0</v>
      </c>
      <c r="R31">
        <v>1</v>
      </c>
    </row>
    <row r="32" spans="1:18">
      <c r="A32" s="2" t="s">
        <v>48</v>
      </c>
      <c r="B32" s="3">
        <f>11076*17.639</f>
        <v>195369.564</v>
      </c>
      <c r="C32" s="3">
        <f>-3958*17.639</f>
        <v>-69815.162</v>
      </c>
      <c r="D32" s="3">
        <f t="shared" si="0"/>
        <v>125554.402</v>
      </c>
      <c r="E32" s="3">
        <f>2061*17.639</f>
        <v>36353.979</v>
      </c>
      <c r="F32" s="3">
        <f>1600*17.639</f>
        <v>28222.4</v>
      </c>
      <c r="G32" s="3">
        <f>2227*17.639</f>
        <v>39282.053</v>
      </c>
      <c r="H32" s="3">
        <f>565.9*1000000</f>
        <v>565900000</v>
      </c>
      <c r="I32" s="3">
        <f>5767*17.639</f>
        <v>101724.113</v>
      </c>
      <c r="J32" s="3">
        <f>14358*17.639</f>
        <v>253260.762</v>
      </c>
      <c r="K32" s="3">
        <f>882*17.639</f>
        <v>15557.598</v>
      </c>
      <c r="L32" s="3">
        <f>4196*17.639</f>
        <v>74013.244</v>
      </c>
      <c r="M32" s="3">
        <f>1964*17.639</f>
        <v>34642.996</v>
      </c>
      <c r="N32" s="3">
        <f>-1287*17.639</f>
        <v>-22701.393</v>
      </c>
      <c r="O32" s="3">
        <f>-1201*17.639</f>
        <v>-21184.439</v>
      </c>
      <c r="P32" s="3">
        <f t="shared" si="1"/>
        <v>-9242.836</v>
      </c>
      <c r="Q32">
        <v>1</v>
      </c>
      <c r="R32">
        <v>0</v>
      </c>
    </row>
    <row r="33" spans="1:18">
      <c r="A33" s="2" t="s">
        <v>49</v>
      </c>
      <c r="B33" s="3">
        <f>5086*14.7487</f>
        <v>75011.8882</v>
      </c>
      <c r="C33" s="3">
        <f>-1856*14.7487</f>
        <v>-27373.5872</v>
      </c>
      <c r="D33" s="3">
        <f t="shared" si="0"/>
        <v>47638.301</v>
      </c>
      <c r="E33" s="3">
        <f>798*14.7487</f>
        <v>11769.4626</v>
      </c>
      <c r="F33" s="3">
        <f>540*14.7487</f>
        <v>7964.298</v>
      </c>
      <c r="G33" s="3">
        <f>537*14.7487</f>
        <v>7920.0519</v>
      </c>
      <c r="H33" s="3">
        <f>565.4*1000000</f>
        <v>565400000</v>
      </c>
      <c r="I33" s="3">
        <f>5639*14.7487</f>
        <v>83167.9193</v>
      </c>
      <c r="J33" s="3">
        <f>14480*14.7487</f>
        <v>213561.176</v>
      </c>
      <c r="K33" s="3">
        <f>919*14.7487</f>
        <v>13554.0553</v>
      </c>
      <c r="L33" s="3">
        <f>4555*14.7487</f>
        <v>67180.3285</v>
      </c>
      <c r="M33" s="3">
        <f>456*14.7487</f>
        <v>6725.4072</v>
      </c>
      <c r="N33" s="3">
        <f>-431*14.7487</f>
        <v>-6356.6897</v>
      </c>
      <c r="O33" s="3">
        <f>-940*14.7487</f>
        <v>-13863.778</v>
      </c>
      <c r="P33" s="3">
        <f t="shared" si="1"/>
        <v>-13495.0605</v>
      </c>
      <c r="Q33">
        <v>0</v>
      </c>
      <c r="R33">
        <v>1</v>
      </c>
    </row>
    <row r="34" spans="1:18">
      <c r="A34" s="2" t="s">
        <v>50</v>
      </c>
      <c r="B34" s="3">
        <f>10647*14.465</f>
        <v>154008.855</v>
      </c>
      <c r="C34" s="3">
        <f>-3848*14.465</f>
        <v>-55661.32</v>
      </c>
      <c r="D34" s="3">
        <f t="shared" si="0"/>
        <v>98347.535</v>
      </c>
      <c r="E34" s="3">
        <f>1764*14.465</f>
        <v>25516.26</v>
      </c>
      <c r="F34" s="3">
        <f>1210*14.465</f>
        <v>17502.65</v>
      </c>
      <c r="G34" s="3">
        <f>1370*14.465</f>
        <v>19817.05</v>
      </c>
      <c r="H34" s="3">
        <f>565.1*1000000</f>
        <v>565100000</v>
      </c>
      <c r="I34" s="3">
        <f>5727*14.465</f>
        <v>82841.055</v>
      </c>
      <c r="J34" s="3">
        <f>14433*14.465</f>
        <v>208773.345</v>
      </c>
      <c r="K34" s="3">
        <f>731*14.465</f>
        <v>10573.915</v>
      </c>
      <c r="L34" s="3">
        <f>3900*14.465</f>
        <v>56413.5</v>
      </c>
      <c r="M34" s="3">
        <f>1619*14.465</f>
        <v>23418.835</v>
      </c>
      <c r="N34" s="3">
        <f>-475*14.465</f>
        <v>-6870.875</v>
      </c>
      <c r="O34" s="3">
        <f>-958*14.465</f>
        <v>-13857.47</v>
      </c>
      <c r="P34" s="3">
        <f t="shared" si="1"/>
        <v>2690.49</v>
      </c>
      <c r="Q34">
        <v>1</v>
      </c>
      <c r="R34">
        <v>0</v>
      </c>
    </row>
    <row r="35" spans="1:18">
      <c r="A35" s="2" t="s">
        <v>51</v>
      </c>
      <c r="B35" s="3">
        <f>5605*16.8889</f>
        <v>94662.2845</v>
      </c>
      <c r="C35" s="3">
        <f>-1940*16.8889</f>
        <v>-32764.466</v>
      </c>
      <c r="D35" s="3">
        <f t="shared" si="0"/>
        <v>61897.8185</v>
      </c>
      <c r="E35" s="3">
        <f>1166*16.8889</f>
        <v>19692.4574</v>
      </c>
      <c r="F35" s="3">
        <f>974*16.8889</f>
        <v>16449.7886</v>
      </c>
      <c r="G35" s="3">
        <f>974*16.8889</f>
        <v>16449.7886</v>
      </c>
      <c r="H35">
        <f>564.1*1000000</f>
        <v>564100000</v>
      </c>
      <c r="I35" s="3">
        <f>5935*16.8889</f>
        <v>100235.6215</v>
      </c>
      <c r="J35" s="3">
        <f>13330*16.8889</f>
        <v>225129.037</v>
      </c>
      <c r="K35" s="3">
        <f>649*16.8889</f>
        <v>10960.8961</v>
      </c>
      <c r="L35" s="3">
        <f>3938*16.8889</f>
        <v>66508.4882</v>
      </c>
      <c r="M35" s="3">
        <f>960*16.8889</f>
        <v>16213.344</v>
      </c>
      <c r="N35" s="3">
        <f>-878*16.8889</f>
        <v>-14828.4542</v>
      </c>
      <c r="O35" s="3">
        <f>-1019*16.8889</f>
        <v>-17209.7891</v>
      </c>
      <c r="P35" s="3">
        <f t="shared" si="1"/>
        <v>-15824.8993</v>
      </c>
      <c r="Q35">
        <v>0</v>
      </c>
      <c r="R35">
        <v>1</v>
      </c>
    </row>
    <row r="37" spans="8:8">
      <c r="H37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2018-01-01T07:07:00Z</dcterms:created>
  <dcterms:modified xsi:type="dcterms:W3CDTF">2018-01-26T10:44:11Z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