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<sst xmlns="http://schemas.openxmlformats.org/spreadsheetml/2006/main" count="51">
  <si>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</si>
  <si>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</si>
  <si>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</si>
  <si>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</si>
  <si>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</si>
  <si>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</si>
  <si>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</si>
  <si>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</si>
  <si>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</si>
  <si>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</si>
  <si>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</si>
  <si>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</si>
  <si>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</si>
  <si>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</si>
  <si>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</si>
  <si>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</si>
  <si>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</si>
  <si>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</si>
  <si>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07-09-2001</t>
  </si>
  <si>
    <t>17-09-2002</t>
  </si>
  <si>
    <t>01-03-2003</t>
  </si>
  <si>
    <t>16-09-2003</t>
  </si>
  <si>
    <t>03-03-2004</t>
  </si>
  <si>
    <t>14-07-2004</t>
  </si>
  <si>
    <t>18-02-2005</t>
  </si>
  <si>
    <t>20-07-2005</t>
  </si>
  <si>
    <t>28-02-2006</t>
  </si>
  <si>
    <t>20-07-2006</t>
  </si>
  <si>
    <t>28-02-2007</t>
  </si>
  <si>
    <t>18-07-2007</t>
  </si>
  <si>
    <t>04-03-2008</t>
  </si>
  <si>
    <t>16-07-2008</t>
  </si>
  <si>
    <t>10-03-2009</t>
  </si>
  <si>
    <t>15-07-2009</t>
  </si>
  <si>
    <t>09-03-2010</t>
  </si>
  <si>
    <t>14-07-2010</t>
  </si>
  <si>
    <t>08-03-2011</t>
  </si>
  <si>
    <t>13-07-2011</t>
  </si>
  <si>
    <t>01-03-2012</t>
  </si>
  <si>
    <t>11-07-2012</t>
  </si>
  <si>
    <t>06-03-2013</t>
  </si>
  <si>
    <t>10-07-2013</t>
  </si>
  <si>
    <t>04-03-2014</t>
  </si>
  <si>
    <t>09-07-2014</t>
  </si>
  <si>
    <t>10-03-2015</t>
  </si>
  <si>
    <t>10-07-2015</t>
  </si>
  <si>
    <t>10-03-2016</t>
  </si>
  <si>
    <t>08-07-2016</t>
  </si>
  <si>
    <t>09-03-2017</t>
  </si>
  <si>
    <t>07-07-2017</t>
  </si>
  <si>
    <t>06-03-2018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</si>
</sst>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0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Q35" sqref="Q35"/>
    </sheetView>
  </sheetViews>
  <sheetFormatPr defaultColWidth="9" defaultRowHeight="15"/>
  <cols>
    <col min="1" max="1" width="11.1428571428571" customWidth="1"/>
    <col min="3" max="3" width="12.8571428571429" customWidth="1"/>
    <col min="4" max="4" width="12.1428571428571" customWidth="1"/>
    <col min="5" max="5" width="16.5714285714286" customWidth="1"/>
    <col min="6" max="6" width="10.2857142857143" customWidth="1"/>
    <col min="7" max="7" width="18.5714285714286" customWidth="1"/>
    <col min="8" max="8" width="15.1428571428571" customWidth="1"/>
    <col min="9" max="9" width="19.2857142857143" customWidth="1"/>
    <col min="10" max="10" width="14.7142857142857" customWidth="1"/>
    <col min="11" max="11" width="22.5714285714286" customWidth="1"/>
    <col min="12" max="12" width="17.8571428571429" customWidth="1"/>
    <col min="13" max="13" width="21.7142857142857" customWidth="1"/>
    <col min="14" max="15" width="20.1428571428571" customWidth="1"/>
    <col min="16" max="16" width="15.1428571428571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f>15185.1</f>
        <v>15185.1</v>
      </c>
      <c r="C2" s="3">
        <f>-9769.7</f>
        <v>-9769.7</v>
      </c>
      <c r="D2" s="3">
        <f t="shared" ref="D2:D33" si="0">B2+C2</f>
        <v>5415.4</v>
      </c>
      <c r="E2" s="3">
        <v>3545.6</v>
      </c>
      <c r="F2" s="3">
        <f>2918.1</f>
        <v>2918.1</v>
      </c>
      <c r="G2" s="3">
        <v>2786.8</v>
      </c>
      <c r="H2">
        <f>5445.303089*1000000</f>
        <v>5445303089</v>
      </c>
      <c r="I2" s="3">
        <v>132291.2</v>
      </c>
      <c r="J2" s="3">
        <v>132586.2</v>
      </c>
      <c r="K2" s="3">
        <v>74150.1</v>
      </c>
      <c r="L2" s="3">
        <v>172803.5</v>
      </c>
      <c r="M2" s="3">
        <v>4970.7</v>
      </c>
      <c r="N2" s="3">
        <f>-329.6</f>
        <v>-329.6</v>
      </c>
      <c r="O2" s="3">
        <v>-334.2</v>
      </c>
      <c r="P2" s="3">
        <v>1478.9</v>
      </c>
      <c r="Q2">
        <f>1</f>
        <v>1</v>
      </c>
      <c r="R2">
        <f>0</f>
        <v>0</v>
      </c>
    </row>
    <row r="3" spans="1:18">
      <c r="A3" s="2" t="s">
        <v>19</v>
      </c>
      <c r="B3" s="3">
        <v>18720.9</v>
      </c>
      <c r="C3" s="3">
        <v>-12304.5</v>
      </c>
      <c r="D3" s="3">
        <f t="shared" si="0"/>
        <v>6416.4</v>
      </c>
      <c r="E3" s="3">
        <f>4653.1</f>
        <v>4653.1</v>
      </c>
      <c r="F3" s="3">
        <v>3922.1</v>
      </c>
      <c r="G3" s="3">
        <v>3744.8</v>
      </c>
      <c r="H3">
        <f>5445.303089*1000000</f>
        <v>5445303089</v>
      </c>
      <c r="I3" s="3">
        <f>374799.7-J3</f>
        <v>192805.6</v>
      </c>
      <c r="J3" s="3">
        <v>181994.1</v>
      </c>
      <c r="K3" s="3">
        <v>81510.2</v>
      </c>
      <c r="L3" s="3">
        <v>271871.3</v>
      </c>
      <c r="M3" s="3">
        <f>6425.2</f>
        <v>6425.2</v>
      </c>
      <c r="N3" s="3">
        <f>-1857.7</f>
        <v>-1857.7</v>
      </c>
      <c r="O3" s="3">
        <f>-86.8</f>
        <v>-86.8</v>
      </c>
      <c r="P3" s="3">
        <v>6578.6</v>
      </c>
      <c r="Q3">
        <f>1</f>
        <v>1</v>
      </c>
      <c r="R3">
        <f>0</f>
        <v>0</v>
      </c>
    </row>
    <row r="4" spans="1:18">
      <c r="A4" s="2" t="s">
        <v>20</v>
      </c>
      <c r="B4" s="3">
        <f>13304</f>
        <v>13304</v>
      </c>
      <c r="C4" s="3">
        <f>-9076</f>
        <v>-9076</v>
      </c>
      <c r="D4" s="3">
        <f t="shared" si="0"/>
        <v>4228</v>
      </c>
      <c r="E4" s="3">
        <f>2212</f>
        <v>2212</v>
      </c>
      <c r="F4" s="3">
        <f>1594</f>
        <v>1594</v>
      </c>
      <c r="G4" s="3">
        <f>1498</f>
        <v>1498</v>
      </c>
      <c r="H4">
        <f>5445*1000000</f>
        <v>5445000000</v>
      </c>
      <c r="I4" s="3">
        <f>386334-J4</f>
        <v>196040</v>
      </c>
      <c r="J4" s="3">
        <f>21366+43466+13988+11650+12765+35187+13947+37925</f>
        <v>190294</v>
      </c>
      <c r="K4" s="3">
        <f>363922-L4</f>
        <v>81987</v>
      </c>
      <c r="L4" s="3">
        <f>202984+2144+23191+35928+17688</f>
        <v>281935</v>
      </c>
      <c r="M4" s="3">
        <f>4653</f>
        <v>4653</v>
      </c>
      <c r="N4" s="3">
        <f>-7717</f>
        <v>-7717</v>
      </c>
      <c r="O4" s="3">
        <f>425</f>
        <v>425</v>
      </c>
      <c r="P4" s="3">
        <f>-2639</f>
        <v>-2639</v>
      </c>
      <c r="Q4">
        <f>0</f>
        <v>0</v>
      </c>
      <c r="R4">
        <f>1</f>
        <v>1</v>
      </c>
    </row>
    <row r="5" spans="1:18">
      <c r="A5" s="2" t="s">
        <v>21</v>
      </c>
      <c r="B5" s="3">
        <f>26293</f>
        <v>26293</v>
      </c>
      <c r="C5" s="3">
        <f>-17189</f>
        <v>-17189</v>
      </c>
      <c r="D5" s="3">
        <f t="shared" si="0"/>
        <v>9104</v>
      </c>
      <c r="E5" s="3">
        <f>5212</f>
        <v>5212</v>
      </c>
      <c r="F5" s="3">
        <f>4052</f>
        <v>4052</v>
      </c>
      <c r="G5" s="3">
        <f>3774</f>
        <v>3774</v>
      </c>
      <c r="H5">
        <f>5524.042097*1000000</f>
        <v>5524042097</v>
      </c>
      <c r="I5" s="3">
        <f>395693-J5</f>
        <v>204028</v>
      </c>
      <c r="J5" s="3">
        <f>29252+36645+15836+12575+10759+33793+8926+43879</f>
        <v>191665</v>
      </c>
      <c r="K5" s="3">
        <f>372262-L5</f>
        <v>84863</v>
      </c>
      <c r="L5" s="3">
        <f>186031+2403+17335+1092+46657+33881</f>
        <v>287399</v>
      </c>
      <c r="M5" s="3">
        <f>5678</f>
        <v>5678</v>
      </c>
      <c r="N5" s="3">
        <f>-1374</f>
        <v>-1374</v>
      </c>
      <c r="O5" s="3">
        <f>305</f>
        <v>305</v>
      </c>
      <c r="P5" s="3">
        <f>4609</f>
        <v>4609</v>
      </c>
      <c r="Q5">
        <f>1</f>
        <v>1</v>
      </c>
      <c r="R5">
        <f>0</f>
        <v>0</v>
      </c>
    </row>
    <row r="6" spans="1:18">
      <c r="A6" s="2" t="s">
        <v>22</v>
      </c>
      <c r="B6" s="3">
        <f>11860</f>
        <v>11860</v>
      </c>
      <c r="C6" s="3">
        <f>-7192</f>
        <v>-7192</v>
      </c>
      <c r="D6" s="3">
        <f t="shared" si="0"/>
        <v>4668</v>
      </c>
      <c r="E6" s="3">
        <f>8117</f>
        <v>8117</v>
      </c>
      <c r="F6" s="3">
        <f>2442</f>
        <v>2442</v>
      </c>
      <c r="G6" s="3">
        <f>2303</f>
        <v>2303</v>
      </c>
      <c r="H6">
        <f>5540.4*1000000</f>
        <v>5540400000</v>
      </c>
      <c r="I6" s="3">
        <f>417045-J6</f>
        <v>219100</v>
      </c>
      <c r="J6" s="3">
        <f>23249+42375+374+13749+12170+11464+42234+9382+42948</f>
        <v>197945</v>
      </c>
      <c r="K6" s="3">
        <f>390670-L6</f>
        <v>90624</v>
      </c>
      <c r="L6" s="3">
        <f>196506+35166+2395+17305+1262+41275+6137</f>
        <v>300046</v>
      </c>
      <c r="M6" s="3">
        <f>-1675</f>
        <v>-1675</v>
      </c>
      <c r="N6" s="3">
        <f>-8248</f>
        <v>-8248</v>
      </c>
      <c r="O6" s="3">
        <f>1833</f>
        <v>1833</v>
      </c>
      <c r="P6" s="3">
        <f>-8090</f>
        <v>-8090</v>
      </c>
      <c r="Q6">
        <f>0</f>
        <v>0</v>
      </c>
      <c r="R6">
        <f>1</f>
        <v>1</v>
      </c>
    </row>
    <row r="7" spans="1:18">
      <c r="A7" s="2" t="s">
        <v>23</v>
      </c>
      <c r="B7" s="3">
        <f>22412</f>
        <v>22412</v>
      </c>
      <c r="C7" s="3">
        <f>-13505</f>
        <v>-13505</v>
      </c>
      <c r="D7" s="3">
        <f t="shared" si="0"/>
        <v>8907</v>
      </c>
      <c r="E7" s="3">
        <f>6541</f>
        <v>6541</v>
      </c>
      <c r="F7" s="3">
        <f>4989</f>
        <v>4989</v>
      </c>
      <c r="G7" s="3">
        <f>4712</f>
        <v>4712</v>
      </c>
      <c r="H7">
        <f>5317.088855*1000000</f>
        <v>5317088855</v>
      </c>
      <c r="I7" s="3">
        <f>424821-J7</f>
        <v>284432</v>
      </c>
      <c r="J7" s="3">
        <f>25104+36131+702+15149+13123+8110+42070</f>
        <v>140389</v>
      </c>
      <c r="K7" s="3">
        <f>399086-L7</f>
        <v>134827</v>
      </c>
      <c r="L7" s="3">
        <f>219061+6515+14052+1345+23286</f>
        <v>264259</v>
      </c>
      <c r="M7" s="3">
        <f>30</f>
        <v>30</v>
      </c>
      <c r="N7" s="3">
        <f>-7966</f>
        <v>-7966</v>
      </c>
      <c r="O7" s="3">
        <f>3101</f>
        <v>3101</v>
      </c>
      <c r="P7" s="3">
        <f>-4835</f>
        <v>-4835</v>
      </c>
      <c r="Q7">
        <f>1</f>
        <v>1</v>
      </c>
      <c r="R7">
        <f>0</f>
        <v>0</v>
      </c>
    </row>
    <row r="8" spans="1:18">
      <c r="A8" s="2" t="s">
        <v>24</v>
      </c>
      <c r="B8" s="3">
        <f>11835</f>
        <v>11835</v>
      </c>
      <c r="C8" s="3">
        <f>-7237</f>
        <v>-7237</v>
      </c>
      <c r="D8" s="3">
        <f t="shared" si="0"/>
        <v>4598</v>
      </c>
      <c r="E8" s="3">
        <f>3785</f>
        <v>3785</v>
      </c>
      <c r="F8" s="3">
        <f>3374</f>
        <v>3374</v>
      </c>
      <c r="G8" s="3">
        <f>3201</f>
        <v>3201</v>
      </c>
      <c r="H8">
        <f>5362.7*1000000</f>
        <v>5362700000</v>
      </c>
      <c r="I8" s="3">
        <f>450696-J8</f>
        <v>226671</v>
      </c>
      <c r="J8" s="3">
        <f>24195+46871+1164+14613+13859+7643+50976+8355+56349</f>
        <v>224025</v>
      </c>
      <c r="K8" s="3">
        <f>419590-L8</f>
        <v>104609</v>
      </c>
      <c r="L8" s="3">
        <f>230077+5889+14434+1290+46505+16786</f>
        <v>314981</v>
      </c>
      <c r="M8" s="3">
        <f>-3237</f>
        <v>-3237</v>
      </c>
      <c r="N8" s="3">
        <f>-7658</f>
        <v>-7658</v>
      </c>
      <c r="O8" s="3">
        <f>9450</f>
        <v>9450</v>
      </c>
      <c r="P8" s="3">
        <f>-1445</f>
        <v>-1445</v>
      </c>
      <c r="Q8">
        <f>0</f>
        <v>0</v>
      </c>
      <c r="R8">
        <f>1</f>
        <v>1</v>
      </c>
    </row>
    <row r="9" spans="1:18">
      <c r="A9" s="2" t="s">
        <v>25</v>
      </c>
      <c r="B9" s="3">
        <f>23417</f>
        <v>23417</v>
      </c>
      <c r="C9" s="3">
        <f>-13920</f>
        <v>-13920</v>
      </c>
      <c r="D9" s="3">
        <f t="shared" si="0"/>
        <v>9497</v>
      </c>
      <c r="E9" s="3">
        <f>8403</f>
        <v>8403</v>
      </c>
      <c r="F9" s="3">
        <f>7102</f>
        <v>7102</v>
      </c>
      <c r="G9" s="3">
        <f>6810</f>
        <v>6810</v>
      </c>
      <c r="H9">
        <f>5306.4*1000000</f>
        <v>5306400000</v>
      </c>
      <c r="I9" s="3">
        <f>462231-J9</f>
        <v>247373</v>
      </c>
      <c r="J9" s="3">
        <f>23403+43047+618+13143+14735+8378+55787+16020+39727</f>
        <v>214858</v>
      </c>
      <c r="K9" s="3">
        <f>430085-L9</f>
        <v>109442</v>
      </c>
      <c r="L9" s="3">
        <f>237612+8181+23128+1569+30234+19919</f>
        <v>320643</v>
      </c>
      <c r="M9" s="3">
        <f>-38</f>
        <v>-38</v>
      </c>
      <c r="N9" s="3">
        <f>-3086</f>
        <v>-3086</v>
      </c>
      <c r="O9" s="3">
        <f>3146</f>
        <v>3146</v>
      </c>
      <c r="P9" s="3">
        <f>22</f>
        <v>22</v>
      </c>
      <c r="Q9">
        <f>1</f>
        <v>1</v>
      </c>
      <c r="R9">
        <f>0</f>
        <v>0</v>
      </c>
    </row>
    <row r="10" spans="1:18">
      <c r="A10" s="2" t="s">
        <v>26</v>
      </c>
      <c r="B10" s="3">
        <f>13245</f>
        <v>13245</v>
      </c>
      <c r="C10" s="3">
        <f>-7840</f>
        <v>-7840</v>
      </c>
      <c r="D10" s="3">
        <f t="shared" si="0"/>
        <v>5405</v>
      </c>
      <c r="E10" s="3">
        <f>11717</f>
        <v>11717</v>
      </c>
      <c r="F10" s="3">
        <f>3934</f>
        <v>3934</v>
      </c>
      <c r="G10" s="3">
        <f>3645</f>
        <v>3645</v>
      </c>
      <c r="H10">
        <f>5250.590002*1000000</f>
        <v>5250590002</v>
      </c>
      <c r="I10" s="3">
        <f>503975-J10</f>
        <v>278799</v>
      </c>
      <c r="J10" s="3">
        <f>22541+40652+147516+14467</f>
        <v>225176</v>
      </c>
      <c r="K10" s="3">
        <f>470568-L10</f>
        <v>137106</v>
      </c>
      <c r="L10" s="3">
        <f>264437+20417+27307+21301</f>
        <v>333462</v>
      </c>
      <c r="M10" s="3">
        <f>711</f>
        <v>711</v>
      </c>
      <c r="N10" s="3">
        <f>-20973</f>
        <v>-20973</v>
      </c>
      <c r="O10" s="3">
        <f>4253</f>
        <v>4253</v>
      </c>
      <c r="P10" s="3">
        <f>-16009</f>
        <v>-16009</v>
      </c>
      <c r="Q10">
        <f>0</f>
        <v>0</v>
      </c>
      <c r="R10">
        <f>1</f>
        <v>1</v>
      </c>
    </row>
    <row r="11" spans="1:18">
      <c r="A11" s="2" t="s">
        <v>27</v>
      </c>
      <c r="B11" s="3">
        <f>30395</f>
        <v>30395</v>
      </c>
      <c r="C11" s="3">
        <f>-15383</f>
        <v>-15383</v>
      </c>
      <c r="D11" s="3">
        <f t="shared" si="0"/>
        <v>15012</v>
      </c>
      <c r="E11" s="3">
        <f>15028</f>
        <v>15028</v>
      </c>
      <c r="F11" s="3">
        <f>9988</f>
        <v>9988</v>
      </c>
      <c r="G11" s="3">
        <f>8825</f>
        <v>8825</v>
      </c>
      <c r="H11">
        <f>5317.609149*1000000</f>
        <v>5317609149</v>
      </c>
      <c r="I11" s="3">
        <f>579787-J11</f>
        <v>314061</v>
      </c>
      <c r="J11" s="3">
        <f>30323+16361+538+37934+173848+676+6046</f>
        <v>265726</v>
      </c>
      <c r="K11" s="3">
        <f>540283-L11</f>
        <v>174106</v>
      </c>
      <c r="L11" s="3">
        <f>317840+25967+22370</f>
        <v>366177</v>
      </c>
      <c r="M11" s="3">
        <f>2878</f>
        <v>2878</v>
      </c>
      <c r="N11" s="3">
        <f>-282</f>
        <v>-282</v>
      </c>
      <c r="O11" s="3">
        <f>6995</f>
        <v>6995</v>
      </c>
      <c r="P11" s="3">
        <f>9591</f>
        <v>9591</v>
      </c>
      <c r="Q11">
        <f>1</f>
        <v>1</v>
      </c>
      <c r="R11">
        <f>0</f>
        <v>0</v>
      </c>
    </row>
    <row r="12" spans="1:18">
      <c r="A12" s="2" t="s">
        <v>28</v>
      </c>
      <c r="B12" s="3">
        <f>21773</f>
        <v>21773</v>
      </c>
      <c r="C12" s="3">
        <f>-11877</f>
        <v>-11877</v>
      </c>
      <c r="D12" s="3">
        <f t="shared" si="0"/>
        <v>9896</v>
      </c>
      <c r="E12" s="3">
        <f>9191</f>
        <v>9191</v>
      </c>
      <c r="F12" s="3">
        <f>6108</f>
        <v>6108</v>
      </c>
      <c r="G12" s="3">
        <f>5381</f>
        <v>5381</v>
      </c>
      <c r="H12">
        <f>5336.501229*1000000</f>
        <v>5336501229</v>
      </c>
      <c r="I12" s="3">
        <f>661661-J12</f>
        <v>348452</v>
      </c>
      <c r="J12" s="3">
        <f>31127+45358+227893+873+7958</f>
        <v>313209</v>
      </c>
      <c r="K12" s="3">
        <f>619926-L12</f>
        <v>173285</v>
      </c>
      <c r="L12" s="3">
        <f>355011+37716+34574+19340</f>
        <v>446641</v>
      </c>
      <c r="M12" s="3">
        <f>-10283</f>
        <v>-10283</v>
      </c>
      <c r="N12" s="3">
        <f>-4989</f>
        <v>-4989</v>
      </c>
      <c r="O12" s="3">
        <f>-285</f>
        <v>-285</v>
      </c>
      <c r="P12" s="3">
        <f>-15557</f>
        <v>-15557</v>
      </c>
      <c r="Q12">
        <f>0</f>
        <v>0</v>
      </c>
      <c r="R12">
        <f>1</f>
        <v>1</v>
      </c>
    </row>
    <row r="13" spans="1:18">
      <c r="A13" s="2" t="s">
        <v>29</v>
      </c>
      <c r="B13" s="3">
        <f>45463</f>
        <v>45463</v>
      </c>
      <c r="C13" s="3">
        <f>-25844</f>
        <v>-25844</v>
      </c>
      <c r="D13" s="3">
        <f t="shared" si="0"/>
        <v>19619</v>
      </c>
      <c r="E13" s="3">
        <f>16698</f>
        <v>16698</v>
      </c>
      <c r="F13" s="3">
        <f>13078</f>
        <v>13078</v>
      </c>
      <c r="G13" s="3">
        <f>11511</f>
        <v>11511</v>
      </c>
      <c r="H13">
        <f>5314.831808*1000000</f>
        <v>5314831808</v>
      </c>
      <c r="I13" s="3">
        <f>721559-J13</f>
        <v>409038</v>
      </c>
      <c r="J13" s="3">
        <f>46952+33244+221950+1118+9257</f>
        <v>312521</v>
      </c>
      <c r="K13" s="3">
        <f>674339-L13</f>
        <v>178972</v>
      </c>
      <c r="L13" s="3">
        <f>416507+36870+24505+13887+3598</f>
        <v>495367</v>
      </c>
      <c r="M13" s="3">
        <f>9373</f>
        <v>9373</v>
      </c>
      <c r="N13" s="3">
        <f>-9887</f>
        <v>-9887</v>
      </c>
      <c r="O13" s="3">
        <f>-102</f>
        <v>-102</v>
      </c>
      <c r="P13" s="3">
        <f>-616</f>
        <v>-616</v>
      </c>
      <c r="Q13">
        <f>1</f>
        <v>1</v>
      </c>
      <c r="R13">
        <f>0</f>
        <v>0</v>
      </c>
    </row>
    <row r="14" spans="1:18">
      <c r="A14" s="2" t="s">
        <v>30</v>
      </c>
      <c r="B14" s="3">
        <f>27677</f>
        <v>27677</v>
      </c>
      <c r="C14" s="3">
        <f>-15246</f>
        <v>-15246</v>
      </c>
      <c r="D14" s="3">
        <f t="shared" si="0"/>
        <v>12431</v>
      </c>
      <c r="E14" s="3">
        <f>7139</f>
        <v>7139</v>
      </c>
      <c r="F14" s="3">
        <f>7095</f>
        <v>7095</v>
      </c>
      <c r="G14" s="3">
        <f>6283</f>
        <v>6283</v>
      </c>
      <c r="H14">
        <f>5307.945574*1000000</f>
        <v>5307945574</v>
      </c>
      <c r="I14" s="3">
        <f>781236-J14</f>
        <v>442929</v>
      </c>
      <c r="J14" s="3">
        <f>53567+39592+236114+239+8795</f>
        <v>338307</v>
      </c>
      <c r="K14" s="3">
        <f>735174-L14</f>
        <v>176916</v>
      </c>
      <c r="L14" s="3">
        <f>478854+34194+31146+11779+2285</f>
        <v>558258</v>
      </c>
      <c r="M14" s="3">
        <f>10891</f>
        <v>10891</v>
      </c>
      <c r="N14" s="3">
        <f>-5673</f>
        <v>-5673</v>
      </c>
      <c r="O14" s="3">
        <f>1712</f>
        <v>1712</v>
      </c>
      <c r="P14" s="3">
        <f>6930</f>
        <v>6930</v>
      </c>
      <c r="Q14">
        <f>0</f>
        <v>0</v>
      </c>
      <c r="R14">
        <f>1</f>
        <v>1</v>
      </c>
    </row>
    <row r="15" spans="1:18">
      <c r="A15" s="2" t="s">
        <v>31</v>
      </c>
      <c r="B15" s="3">
        <f>55009</f>
        <v>55009</v>
      </c>
      <c r="C15" s="3">
        <f>-31830</f>
        <v>-31830</v>
      </c>
      <c r="D15" s="3">
        <f t="shared" si="0"/>
        <v>23179</v>
      </c>
      <c r="E15" s="3">
        <f>13540</f>
        <v>13540</v>
      </c>
      <c r="F15" s="3">
        <f>13033</f>
        <v>13033</v>
      </c>
      <c r="G15" s="3">
        <f>11309</f>
        <v>11309</v>
      </c>
      <c r="H15">
        <f>5283.101659*1000000</f>
        <v>5283101659</v>
      </c>
      <c r="I15" s="3">
        <f>820058-J15</f>
        <v>482896</v>
      </c>
      <c r="J15" s="3">
        <f>48486+64314+214353+1916+8093</f>
        <v>337162</v>
      </c>
      <c r="K15" s="3">
        <f>768992-L15</f>
        <v>179198</v>
      </c>
      <c r="L15" s="3">
        <f>488423+33450+51595+13051+3275</f>
        <v>589794</v>
      </c>
      <c r="M15" s="3">
        <f>7120</f>
        <v>7120</v>
      </c>
      <c r="N15" s="3">
        <f>-8576</f>
        <v>-8576</v>
      </c>
      <c r="O15" s="3">
        <f>3129</f>
        <v>3129</v>
      </c>
      <c r="P15" s="3">
        <f>1673</f>
        <v>1673</v>
      </c>
      <c r="Q15">
        <f>1</f>
        <v>1</v>
      </c>
      <c r="R15">
        <f>0</f>
        <v>0</v>
      </c>
    </row>
    <row r="16" spans="1:18">
      <c r="A16" s="2" t="s">
        <v>32</v>
      </c>
      <c r="B16" s="3">
        <f>32311</f>
        <v>32311</v>
      </c>
      <c r="C16" s="3">
        <f>-19392</f>
        <v>-19392</v>
      </c>
      <c r="D16" s="3">
        <f t="shared" si="0"/>
        <v>12919</v>
      </c>
      <c r="E16" s="3">
        <f>4786</f>
        <v>4786</v>
      </c>
      <c r="F16" s="3">
        <f>5120</f>
        <v>5120</v>
      </c>
      <c r="G16" s="3">
        <f>4536</f>
        <v>4536</v>
      </c>
      <c r="H16">
        <f>5212.555573*1000000</f>
        <v>5212555573</v>
      </c>
      <c r="I16" s="3">
        <f>849869-J16</f>
        <v>466399</v>
      </c>
      <c r="J16" s="3">
        <f>60297+91604+221189+1259+9121</f>
        <v>383470</v>
      </c>
      <c r="K16" s="3">
        <f>796688-L16</f>
        <v>173505</v>
      </c>
      <c r="L16" s="3">
        <f>490153+39312+78626+13136+1956</f>
        <v>623183</v>
      </c>
      <c r="M16" s="3">
        <f>15181</f>
        <v>15181</v>
      </c>
      <c r="N16" s="3">
        <f>-2988</f>
        <v>-2988</v>
      </c>
      <c r="O16" s="3">
        <f>-931</f>
        <v>-931</v>
      </c>
      <c r="P16" s="3">
        <f>11262</f>
        <v>11262</v>
      </c>
      <c r="Q16">
        <f>0</f>
        <v>0</v>
      </c>
      <c r="R16">
        <f>1</f>
        <v>1</v>
      </c>
    </row>
    <row r="17" spans="1:18">
      <c r="A17" s="2" t="s">
        <v>33</v>
      </c>
      <c r="B17" s="3">
        <f>60516</f>
        <v>60516</v>
      </c>
      <c r="C17" s="3">
        <f>-34526</f>
        <v>-34526</v>
      </c>
      <c r="D17" s="3">
        <f t="shared" si="0"/>
        <v>25990</v>
      </c>
      <c r="E17" s="3">
        <f>7732</f>
        <v>7732</v>
      </c>
      <c r="F17" s="3">
        <f>7838</f>
        <v>7838</v>
      </c>
      <c r="G17" s="3">
        <f>6965</f>
        <v>6965</v>
      </c>
      <c r="H17">
        <f>5213.551371*1000000</f>
        <v>5213551371</v>
      </c>
      <c r="I17" s="3">
        <f>809851-J17</f>
        <v>462050</v>
      </c>
      <c r="J17" s="3">
        <f>57266+68608+209249+1323+11355</f>
        <v>347801</v>
      </c>
      <c r="K17" s="3">
        <f>757754-L17</f>
        <v>177935</v>
      </c>
      <c r="L17" s="3">
        <f>478083+25002+55556+18217+2961</f>
        <v>579819</v>
      </c>
      <c r="M17" s="3">
        <f>9761</f>
        <v>9761</v>
      </c>
      <c r="N17" s="3">
        <f>-5114</f>
        <v>-5114</v>
      </c>
      <c r="O17" s="3">
        <f>-906</f>
        <v>-906</v>
      </c>
      <c r="P17" s="3">
        <f>3741</f>
        <v>3741</v>
      </c>
      <c r="Q17">
        <f>1</f>
        <v>1</v>
      </c>
      <c r="R17">
        <f>0</f>
        <v>0</v>
      </c>
    </row>
    <row r="18" spans="1:18">
      <c r="A18" s="2" t="s">
        <v>34</v>
      </c>
      <c r="B18" s="3">
        <f>23660</f>
        <v>23660</v>
      </c>
      <c r="C18" s="3">
        <f>-11179</f>
        <v>-11179</v>
      </c>
      <c r="D18" s="3">
        <f t="shared" si="0"/>
        <v>12481</v>
      </c>
      <c r="E18" s="3">
        <f>6825</f>
        <v>6825</v>
      </c>
      <c r="F18" s="3">
        <f>5018</f>
        <v>5018</v>
      </c>
      <c r="G18" s="3">
        <f>4710</f>
        <v>4710</v>
      </c>
      <c r="H18">
        <f>5267.202456*1000000</f>
        <v>5267202456</v>
      </c>
      <c r="I18" s="3">
        <f>802389-J18</f>
        <v>450971</v>
      </c>
      <c r="J18" s="3">
        <f>57663+45057+239193+1825+7680</f>
        <v>351418</v>
      </c>
      <c r="K18" s="3">
        <f>745767-L18</f>
        <v>179591</v>
      </c>
      <c r="L18" s="3">
        <f>487929+21813+33779+19610+3045</f>
        <v>566176</v>
      </c>
      <c r="M18" s="3">
        <f>2444</f>
        <v>2444</v>
      </c>
      <c r="N18" s="3">
        <f>-1341</f>
        <v>-1341</v>
      </c>
      <c r="O18" s="3">
        <f>-692</f>
        <v>-692</v>
      </c>
      <c r="P18" s="3">
        <f>411</f>
        <v>411</v>
      </c>
      <c r="Q18">
        <f>0</f>
        <v>0</v>
      </c>
      <c r="R18">
        <f>1</f>
        <v>1</v>
      </c>
    </row>
    <row r="19" spans="1:18">
      <c r="A19" s="2" t="s">
        <v>35</v>
      </c>
      <c r="B19" s="3">
        <f>38817</f>
        <v>38817</v>
      </c>
      <c r="C19" s="3">
        <f>-22467</f>
        <v>-22467</v>
      </c>
      <c r="D19" s="3">
        <f t="shared" si="0"/>
        <v>16350</v>
      </c>
      <c r="E19" s="3">
        <f>12307</f>
        <v>12307</v>
      </c>
      <c r="F19" s="3">
        <f>10674</f>
        <v>10674</v>
      </c>
      <c r="G19" s="3">
        <f>9788</f>
        <v>9788</v>
      </c>
      <c r="H19">
        <f>5302.431206*1000000</f>
        <v>5302431206</v>
      </c>
      <c r="I19" s="3">
        <f>845240-J19</f>
        <v>653130</v>
      </c>
      <c r="J19" s="3">
        <f>27067+39764+117171+2365+5743</f>
        <v>192110</v>
      </c>
      <c r="K19" s="3">
        <f>786277-L19</f>
        <v>205564</v>
      </c>
      <c r="L19" s="3">
        <f>512469+16735+36035+12115+3359</f>
        <v>580713</v>
      </c>
      <c r="M19" s="3">
        <f>9652</f>
        <v>9652</v>
      </c>
      <c r="N19" s="3">
        <f>162</f>
        <v>162</v>
      </c>
      <c r="O19" s="3">
        <f>1085</f>
        <v>1085</v>
      </c>
      <c r="P19" s="3">
        <f>3340</f>
        <v>3340</v>
      </c>
      <c r="Q19">
        <f>1</f>
        <v>1</v>
      </c>
      <c r="R19">
        <f>0</f>
        <v>0</v>
      </c>
    </row>
    <row r="20" spans="1:18">
      <c r="A20" s="2" t="s">
        <v>36</v>
      </c>
      <c r="B20" s="3">
        <f>19133</f>
        <v>19133</v>
      </c>
      <c r="C20" s="3">
        <f>-10754</f>
        <v>-10754</v>
      </c>
      <c r="D20" s="3">
        <f t="shared" si="0"/>
        <v>8379</v>
      </c>
      <c r="E20" s="3">
        <f>7267</f>
        <v>7267</v>
      </c>
      <c r="F20" s="3">
        <f>12591</f>
        <v>12591</v>
      </c>
      <c r="G20" s="3">
        <f>12230</f>
        <v>12230</v>
      </c>
      <c r="H20">
        <f>5407.88875*1000000</f>
        <v>5407888750</v>
      </c>
      <c r="I20" s="3">
        <f>695809-J20</f>
        <v>475600</v>
      </c>
      <c r="J20" s="3">
        <f>31511+51052+127884+4164+5598</f>
        <v>220209</v>
      </c>
      <c r="K20" s="3">
        <f>638061-L20</f>
        <v>15073</v>
      </c>
      <c r="L20" s="3">
        <f>543713+15801+50027+10193+3254</f>
        <v>622988</v>
      </c>
      <c r="M20" s="3">
        <f>3476</f>
        <v>3476</v>
      </c>
      <c r="N20" s="3">
        <f>-341</f>
        <v>-341</v>
      </c>
      <c r="O20" s="3">
        <f>1390</f>
        <v>1390</v>
      </c>
      <c r="P20" s="3">
        <f>4525</f>
        <v>4525</v>
      </c>
      <c r="Q20">
        <f>0</f>
        <v>0</v>
      </c>
      <c r="R20">
        <f>1</f>
        <v>1</v>
      </c>
    </row>
    <row r="21" spans="1:18">
      <c r="A21" s="2" t="s">
        <v>37</v>
      </c>
      <c r="B21" s="3">
        <f>38187</f>
        <v>38187</v>
      </c>
      <c r="C21" s="3">
        <f>-20818</f>
        <v>-20818</v>
      </c>
      <c r="D21" s="3">
        <f t="shared" si="0"/>
        <v>17369</v>
      </c>
      <c r="E21" s="3">
        <f>18572</f>
        <v>18572</v>
      </c>
      <c r="F21" s="3">
        <f>21527</f>
        <v>21527</v>
      </c>
      <c r="G21" s="3">
        <f>20366</f>
        <v>20366</v>
      </c>
      <c r="H21">
        <f>5492.848142*1000000</f>
        <v>5492848142</v>
      </c>
      <c r="I21" s="3">
        <f>697927-J21</f>
        <v>490048</v>
      </c>
      <c r="J21" s="3">
        <f>34240+37206+124756+4388+7289</f>
        <v>207879</v>
      </c>
      <c r="K21" s="3">
        <f>633708-L21</f>
        <v>17726</v>
      </c>
      <c r="L21" s="3">
        <f>553657+12413+36361+9930+3621</f>
        <v>615982</v>
      </c>
      <c r="M21" s="3">
        <f>12155</f>
        <v>12155</v>
      </c>
      <c r="N21" s="3">
        <f>1777</f>
        <v>1777</v>
      </c>
      <c r="O21" s="3">
        <f>-6725</f>
        <v>-6725</v>
      </c>
      <c r="P21" s="3">
        <f>7207</f>
        <v>7207</v>
      </c>
      <c r="Q21">
        <f>1</f>
        <v>1</v>
      </c>
      <c r="R21">
        <f>0</f>
        <v>0</v>
      </c>
    </row>
    <row r="22" spans="1:18">
      <c r="A22" s="2" t="s">
        <v>38</v>
      </c>
      <c r="B22" s="3">
        <f>20278</f>
        <v>20278</v>
      </c>
      <c r="C22" s="3">
        <f>-9748</f>
        <v>-9748</v>
      </c>
      <c r="D22" s="3">
        <f t="shared" si="0"/>
        <v>10530</v>
      </c>
      <c r="E22" s="3">
        <f>6590</f>
        <v>6590</v>
      </c>
      <c r="F22" s="3">
        <f>6590</f>
        <v>6590</v>
      </c>
      <c r="G22" s="3">
        <f>6204</f>
        <v>6204</v>
      </c>
      <c r="H22">
        <f>5556.569287*1000000</f>
        <v>5556569287</v>
      </c>
      <c r="I22" s="3">
        <f>761661-J22</f>
        <v>525384</v>
      </c>
      <c r="J22" s="3">
        <f>38545+57721+126237+5880+7894</f>
        <v>236277</v>
      </c>
      <c r="K22" s="3">
        <f>696562-L22</f>
        <v>15972</v>
      </c>
      <c r="L22" s="3">
        <f>595200+11944+58329+12152+2965</f>
        <v>680590</v>
      </c>
      <c r="M22" s="3">
        <f>6137</f>
        <v>6137</v>
      </c>
      <c r="N22" s="3">
        <f>-2364</f>
        <v>-2364</v>
      </c>
      <c r="O22" s="3">
        <f>313</f>
        <v>313</v>
      </c>
      <c r="P22" s="3">
        <f>4086</f>
        <v>4086</v>
      </c>
      <c r="Q22">
        <f>0</f>
        <v>0</v>
      </c>
      <c r="R22">
        <f>1</f>
        <v>1</v>
      </c>
    </row>
    <row r="23" spans="1:18">
      <c r="A23" s="2" t="s">
        <v>39</v>
      </c>
      <c r="B23" s="3">
        <f>41335</f>
        <v>41335</v>
      </c>
      <c r="C23" s="3">
        <f>-19453</f>
        <v>-19453</v>
      </c>
      <c r="D23" s="3">
        <f t="shared" si="0"/>
        <v>21882</v>
      </c>
      <c r="E23" s="3">
        <f>17889</f>
        <v>17889</v>
      </c>
      <c r="F23" s="3">
        <f>14369</f>
        <v>14369</v>
      </c>
      <c r="G23" s="3">
        <f>13196</f>
        <v>13196</v>
      </c>
      <c r="H23">
        <f>5572.471134*1000000</f>
        <v>5572471134</v>
      </c>
      <c r="I23" s="3">
        <f>769765-J23</f>
        <v>547666</v>
      </c>
      <c r="J23" s="3">
        <f>38363+52913+5108+6007+119708</f>
        <v>222099</v>
      </c>
      <c r="K23" s="3">
        <f>699958-L23</f>
        <v>24896</v>
      </c>
      <c r="L23" s="3">
        <f>5343+53760+9086+606281+592</f>
        <v>675062</v>
      </c>
      <c r="M23" s="3">
        <f>4240</f>
        <v>4240</v>
      </c>
      <c r="N23" s="3">
        <f>-3763</f>
        <v>-3763</v>
      </c>
      <c r="O23" s="3">
        <f>3464</f>
        <v>3464</v>
      </c>
      <c r="P23" s="3">
        <f>3941</f>
        <v>3941</v>
      </c>
      <c r="Q23">
        <f>1</f>
        <v>1</v>
      </c>
      <c r="R23">
        <f>0</f>
        <v>0</v>
      </c>
    </row>
    <row r="24" spans="1:18">
      <c r="A24" s="2" t="s">
        <v>40</v>
      </c>
      <c r="B24" s="3">
        <f>25852</f>
        <v>25852</v>
      </c>
      <c r="C24" s="3">
        <f>-15652</f>
        <v>-15652</v>
      </c>
      <c r="D24" s="3">
        <f t="shared" si="0"/>
        <v>10200</v>
      </c>
      <c r="E24" s="3">
        <f>10200</f>
        <v>10200</v>
      </c>
      <c r="F24" s="3">
        <f>7574</f>
        <v>7574</v>
      </c>
      <c r="G24" s="3">
        <f>7169</f>
        <v>7169</v>
      </c>
      <c r="H24">
        <f>5487.496537*1000000</f>
        <v>5487496537</v>
      </c>
      <c r="I24" s="3">
        <f>825327-J24</f>
        <v>587783</v>
      </c>
      <c r="J24" s="3">
        <f>52695+56502+8003+6400+113944</f>
        <v>237544</v>
      </c>
      <c r="K24" s="3">
        <f>751829-L24</f>
        <v>23605</v>
      </c>
      <c r="L24" s="3">
        <f>9219+58284+8788+651349+584</f>
        <v>728224</v>
      </c>
      <c r="M24" s="3">
        <f>17167</f>
        <v>17167</v>
      </c>
      <c r="N24" s="3">
        <f>-2374</f>
        <v>-2374</v>
      </c>
      <c r="O24" s="3">
        <f>-495</f>
        <v>-495</v>
      </c>
      <c r="P24" s="3">
        <f>14298</f>
        <v>14298</v>
      </c>
      <c r="Q24">
        <f>0</f>
        <v>0</v>
      </c>
      <c r="R24">
        <f>1</f>
        <v>1</v>
      </c>
    </row>
    <row r="25" spans="1:18">
      <c r="A25" s="2" t="s">
        <v>41</v>
      </c>
      <c r="B25" s="3">
        <f>43821</f>
        <v>43821</v>
      </c>
      <c r="C25" s="3">
        <f>-19106</f>
        <v>-19106</v>
      </c>
      <c r="D25" s="3">
        <f t="shared" si="0"/>
        <v>24715</v>
      </c>
      <c r="E25" s="3">
        <f>20031</f>
        <v>20031</v>
      </c>
      <c r="F25" s="3">
        <f>15678</f>
        <v>15678</v>
      </c>
      <c r="G25" s="3">
        <f>14539</f>
        <v>14539</v>
      </c>
      <c r="H25">
        <f>5529.811837*1000000</f>
        <v>5529811837</v>
      </c>
      <c r="I25" s="3">
        <f>869669-J25</f>
        <v>622678</v>
      </c>
      <c r="J25" s="3">
        <f>49620+52316+6016+7471+275+131293</f>
        <v>246991</v>
      </c>
      <c r="K25" s="3">
        <f>790041-L25</f>
        <v>24724</v>
      </c>
      <c r="L25" s="3">
        <f>2991+53013+11155+553+697005+600</f>
        <v>765317</v>
      </c>
      <c r="M25" s="3">
        <f>13842</f>
        <v>13842</v>
      </c>
      <c r="N25" s="3">
        <f>-3200</f>
        <v>-3200</v>
      </c>
      <c r="O25" s="3">
        <f>304</f>
        <v>304</v>
      </c>
      <c r="P25" s="3">
        <f>10946</f>
        <v>10946</v>
      </c>
      <c r="Q25">
        <f>1</f>
        <v>1</v>
      </c>
      <c r="R25">
        <f>0</f>
        <v>0</v>
      </c>
    </row>
    <row r="26" spans="1:18">
      <c r="A26" s="2" t="s">
        <v>42</v>
      </c>
      <c r="B26" s="3">
        <f>29571</f>
        <v>29571</v>
      </c>
      <c r="C26" s="3">
        <f>-17047</f>
        <v>-17047</v>
      </c>
      <c r="D26" s="3">
        <f t="shared" si="0"/>
        <v>12524</v>
      </c>
      <c r="E26" s="3">
        <f>12524</f>
        <v>12524</v>
      </c>
      <c r="F26" s="3">
        <f>9430</f>
        <v>9430</v>
      </c>
      <c r="G26" s="3">
        <f>8983</f>
        <v>8983</v>
      </c>
      <c r="H26">
        <f>5536.591747*1000000</f>
        <v>5536591747</v>
      </c>
      <c r="I26" s="3">
        <f>894431-J26</f>
        <v>658522</v>
      </c>
      <c r="J26" s="3">
        <f>49546+44221+6894+7349+618+127281</f>
        <v>235909</v>
      </c>
      <c r="K26" s="3">
        <f>812312-L26</f>
        <v>19563</v>
      </c>
      <c r="L26" s="3">
        <f>5532+48836+10256+438+727032+655</f>
        <v>792749</v>
      </c>
      <c r="M26" s="3">
        <f>5173</f>
        <v>5173</v>
      </c>
      <c r="N26" s="3">
        <f>-3335</f>
        <v>-3335</v>
      </c>
      <c r="O26" s="3">
        <f>-1626</f>
        <v>-1626</v>
      </c>
      <c r="P26" s="3">
        <f>212</f>
        <v>212</v>
      </c>
      <c r="Q26">
        <f>0</f>
        <v>0</v>
      </c>
      <c r="R26">
        <f>1</f>
        <v>1</v>
      </c>
    </row>
    <row r="27" spans="1:18">
      <c r="A27" s="2" t="s">
        <v>43</v>
      </c>
      <c r="B27" s="3">
        <f>50412</f>
        <v>50412</v>
      </c>
      <c r="C27" s="3">
        <f>-20534</f>
        <v>-20534</v>
      </c>
      <c r="D27" s="3">
        <f t="shared" si="0"/>
        <v>29878</v>
      </c>
      <c r="E27" s="3">
        <f>25328</f>
        <v>25328</v>
      </c>
      <c r="F27" s="3">
        <f>19786</f>
        <v>19786</v>
      </c>
      <c r="G27" s="3">
        <f>18440</f>
        <v>18440</v>
      </c>
      <c r="H27">
        <f>5543.002061*1000000</f>
        <v>5543002061</v>
      </c>
      <c r="I27" s="3">
        <f>945535-J27</f>
        <v>710440</v>
      </c>
      <c r="J27" s="3">
        <f>60756+39038+7904+8159+131+119107</f>
        <v>235095</v>
      </c>
      <c r="K27" s="3">
        <f>857318-L27</f>
        <v>27380</v>
      </c>
      <c r="L27" s="3">
        <f>5442+41659+13437+369+768234+797</f>
        <v>829938</v>
      </c>
      <c r="M27" s="3">
        <f>11878</f>
        <v>11878</v>
      </c>
      <c r="N27" s="3">
        <f>-4190</f>
        <v>-4190</v>
      </c>
      <c r="O27" s="3">
        <f>4343</f>
        <v>4343</v>
      </c>
      <c r="P27" s="3">
        <f>12031</f>
        <v>12031</v>
      </c>
      <c r="Q27">
        <f>1</f>
        <v>1</v>
      </c>
      <c r="R27">
        <f>0</f>
        <v>0</v>
      </c>
    </row>
    <row r="28" spans="1:18">
      <c r="A28" s="2" t="s">
        <v>44</v>
      </c>
      <c r="B28" s="3">
        <f>33576</f>
        <v>33576</v>
      </c>
      <c r="C28" s="3">
        <f>-19339</f>
        <v>-19339</v>
      </c>
      <c r="D28" s="3">
        <f t="shared" si="0"/>
        <v>14237</v>
      </c>
      <c r="E28" s="3">
        <f>14237</f>
        <v>14237</v>
      </c>
      <c r="F28" s="3">
        <f>11131</f>
        <v>11131</v>
      </c>
      <c r="G28" s="3">
        <f>10304</f>
        <v>10304</v>
      </c>
      <c r="H28">
        <f>5485.588633*1000000</f>
        <v>5485588633</v>
      </c>
      <c r="I28" s="3">
        <f>978548-J28</f>
        <v>747135</v>
      </c>
      <c r="J28" s="3">
        <f>53507+39325+6271+7389+1042+123879</f>
        <v>231413</v>
      </c>
      <c r="K28" s="3">
        <f>887179-L28</f>
        <v>26233</v>
      </c>
      <c r="L28" s="3">
        <f>512+42959+14630+380+801698+767</f>
        <v>860946</v>
      </c>
      <c r="M28" s="3">
        <f>-5132</f>
        <v>-5132</v>
      </c>
      <c r="N28" s="3">
        <f>-1371</f>
        <v>-1371</v>
      </c>
      <c r="O28" s="3">
        <f>-857</f>
        <v>-857</v>
      </c>
      <c r="P28" s="3">
        <f>-7360</f>
        <v>-7360</v>
      </c>
      <c r="Q28">
        <f>0</f>
        <v>0</v>
      </c>
      <c r="R28">
        <f>1</f>
        <v>1</v>
      </c>
    </row>
    <row r="29" spans="1:18">
      <c r="A29" s="2" t="s">
        <v>45</v>
      </c>
      <c r="B29" s="3">
        <f>58960</f>
        <v>58960</v>
      </c>
      <c r="C29" s="3">
        <f>-23339</f>
        <v>-23339</v>
      </c>
      <c r="D29" s="3">
        <f t="shared" si="0"/>
        <v>35621</v>
      </c>
      <c r="E29" s="3">
        <f>29200</f>
        <v>29200</v>
      </c>
      <c r="F29" s="3">
        <f>23124</f>
        <v>23124</v>
      </c>
      <c r="G29" s="3">
        <f>21623</f>
        <v>21623</v>
      </c>
      <c r="H29">
        <f>5543.556976*1000000</f>
        <v>5543556976</v>
      </c>
      <c r="I29" s="3">
        <f>1059266-J29</f>
        <v>778550</v>
      </c>
      <c r="J29" s="3">
        <f>65567+34500+7354+8009+115+165171</f>
        <v>280716</v>
      </c>
      <c r="K29" s="3">
        <f>960662-L29</f>
        <v>30562</v>
      </c>
      <c r="L29" s="3">
        <f>5685+40917+17001+353+865521+623</f>
        <v>930100</v>
      </c>
      <c r="M29" s="3">
        <f>4401</f>
        <v>4401</v>
      </c>
      <c r="N29" s="3">
        <f>-2554</f>
        <v>-2554</v>
      </c>
      <c r="O29" s="3">
        <f>2729</f>
        <v>2729</v>
      </c>
      <c r="P29" s="3">
        <f>4576</f>
        <v>4576</v>
      </c>
      <c r="Q29">
        <f>1</f>
        <v>1</v>
      </c>
      <c r="R29">
        <f>0</f>
        <v>0</v>
      </c>
    </row>
    <row r="30" spans="1:18">
      <c r="A30" s="2" t="s">
        <v>46</v>
      </c>
      <c r="B30" s="3">
        <f>27200</f>
        <v>27200</v>
      </c>
      <c r="C30" s="3">
        <f>-16902</f>
        <v>-16902</v>
      </c>
      <c r="D30" s="3">
        <f t="shared" si="0"/>
        <v>10298</v>
      </c>
      <c r="E30" s="3">
        <f>10298</f>
        <v>10298</v>
      </c>
      <c r="F30" s="3">
        <f>7307</f>
        <v>7307</v>
      </c>
      <c r="G30" s="3">
        <f>7198</f>
        <v>7198</v>
      </c>
      <c r="H30">
        <f>5543.556976*1000000</f>
        <v>5543556976</v>
      </c>
      <c r="I30" s="3">
        <f>1019815-J30</f>
        <v>756612</v>
      </c>
      <c r="J30" s="3">
        <f>46268+68213+10779+5786+1219+130938</f>
        <v>263203</v>
      </c>
      <c r="K30" s="3">
        <f>942302-L30</f>
        <v>39266</v>
      </c>
      <c r="L30" s="3">
        <f>6033+81893+10609+804184+317</f>
        <v>903036</v>
      </c>
      <c r="M30" s="3">
        <f>-9685</f>
        <v>-9685</v>
      </c>
      <c r="N30" s="3">
        <f>-1079</f>
        <v>-1079</v>
      </c>
      <c r="O30" s="3">
        <f>3176</f>
        <v>3176</v>
      </c>
      <c r="P30" s="3">
        <f>-7588</f>
        <v>-7588</v>
      </c>
      <c r="Q30">
        <f>0</f>
        <v>0</v>
      </c>
      <c r="R30">
        <f>1</f>
        <v>1</v>
      </c>
    </row>
    <row r="31" spans="1:18">
      <c r="A31" s="2" t="s">
        <v>47</v>
      </c>
      <c r="B31" s="3">
        <f>71561</f>
        <v>71561</v>
      </c>
      <c r="C31" s="3">
        <f>-29520</f>
        <v>-29520</v>
      </c>
      <c r="D31" s="3">
        <f t="shared" si="0"/>
        <v>42041</v>
      </c>
      <c r="E31" s="3">
        <f>30159</f>
        <v>30159</v>
      </c>
      <c r="F31" s="3">
        <f>24075</f>
        <v>24075</v>
      </c>
      <c r="G31" s="3">
        <f>22905</f>
        <v>22905</v>
      </c>
      <c r="H31">
        <f>5607.68753*1000000</f>
        <v>5607687530</v>
      </c>
      <c r="I31" s="3">
        <f>1149277-J31</f>
        <v>835975</v>
      </c>
      <c r="J31" s="3">
        <f>64303+40551+12514+185354+10152+428</f>
        <v>313302</v>
      </c>
      <c r="K31" s="3">
        <f>1041212-L31</f>
        <v>38541</v>
      </c>
      <c r="L31" s="3">
        <f>14263+50782+17285+270+141+919930</f>
        <v>1002671</v>
      </c>
      <c r="M31" s="3">
        <f>-7633</f>
        <v>-7633</v>
      </c>
      <c r="N31" s="3">
        <f>-902</f>
        <v>-902</v>
      </c>
      <c r="O31" s="3">
        <f>5755</f>
        <v>5755</v>
      </c>
      <c r="P31" s="3">
        <f>-2780</f>
        <v>-2780</v>
      </c>
      <c r="Q31">
        <f>1</f>
        <v>1</v>
      </c>
      <c r="R31">
        <f>0</f>
        <v>0</v>
      </c>
    </row>
    <row r="32" spans="1:18">
      <c r="A32" s="2" t="s">
        <v>48</v>
      </c>
      <c r="B32" s="3">
        <f>37973</f>
        <v>37973</v>
      </c>
      <c r="C32" s="3">
        <f>-21708</f>
        <v>-21708</v>
      </c>
      <c r="D32" s="3">
        <f t="shared" si="0"/>
        <v>16265</v>
      </c>
      <c r="E32" s="3">
        <f>16265</f>
        <v>16265</v>
      </c>
      <c r="F32" s="3">
        <f>12563</f>
        <v>12563</v>
      </c>
      <c r="G32" s="3">
        <f>12070</f>
        <v>12070</v>
      </c>
      <c r="H32">
        <f>5608.412415*1000000</f>
        <v>5608412415</v>
      </c>
      <c r="I32" s="3">
        <f>1180488-J32</f>
        <v>893406</v>
      </c>
      <c r="J32" s="3">
        <f>65983+35721+9110+166245+9514+509</f>
        <v>287082</v>
      </c>
      <c r="K32" s="3">
        <f>1068714-L32</f>
        <v>39438</v>
      </c>
      <c r="L32" s="3">
        <f>13874+45499+16890+536+507+951970</f>
        <v>1029276</v>
      </c>
      <c r="M32" s="3">
        <f>3061</f>
        <v>3061</v>
      </c>
      <c r="N32" s="3">
        <f>-2501</f>
        <v>-2501</v>
      </c>
      <c r="O32" s="3">
        <f>2007</f>
        <v>2007</v>
      </c>
      <c r="P32" s="3">
        <f>2567</f>
        <v>2567</v>
      </c>
      <c r="Q32">
        <f>0</f>
        <v>0</v>
      </c>
      <c r="R32">
        <f>1</f>
        <v>1</v>
      </c>
    </row>
    <row r="33" spans="1:18">
      <c r="A33" s="2" t="s">
        <v>49</v>
      </c>
      <c r="B33" s="3">
        <f>77785</f>
        <v>77785</v>
      </c>
      <c r="C33" s="3">
        <f>-44585</f>
        <v>-44585</v>
      </c>
      <c r="D33" s="3">
        <f t="shared" si="0"/>
        <v>33200</v>
      </c>
      <c r="E33" s="3">
        <f>33200</f>
        <v>33200</v>
      </c>
      <c r="F33" s="3">
        <f>26139</f>
        <v>26139</v>
      </c>
      <c r="G33" s="3">
        <f>24928</f>
        <v>24928</v>
      </c>
      <c r="H33">
        <f>5608.007067*1000000</f>
        <v>5608007067</v>
      </c>
      <c r="I33" s="3">
        <f>1217707-J33</f>
        <v>922933</v>
      </c>
      <c r="J33" s="3">
        <f>68483+35459+14380+167427+8878+147</f>
        <v>294774</v>
      </c>
      <c r="K33" s="3">
        <f>1100523-L33</f>
        <v>39829</v>
      </c>
      <c r="L33" s="3">
        <f>15276+44403+17014+277+195+983529</f>
        <v>1060694</v>
      </c>
      <c r="M33" s="3">
        <f>8717</f>
        <v>8717</v>
      </c>
      <c r="N33" s="3">
        <f>-2860</f>
        <v>-2860</v>
      </c>
      <c r="O33" s="3">
        <f>-896</f>
        <v>-896</v>
      </c>
      <c r="P33" s="3">
        <f>4961</f>
        <v>4961</v>
      </c>
      <c r="Q33">
        <f>1</f>
        <v>1</v>
      </c>
      <c r="R33">
        <v>0</v>
      </c>
    </row>
    <row r="34" spans="1:18">
      <c r="A34" s="2" t="s">
        <v>50</v>
      </c>
      <c r="B34">
        <v>40515</v>
      </c>
      <c r="C34">
        <f>-23033</f>
        <v>-23033</v>
      </c>
      <c r="D34" s="3">
        <f>B34+C34</f>
        <v>17482</v>
      </c>
      <c r="E34">
        <f>17482</f>
        <v>17482</v>
      </c>
      <c r="F34">
        <f>13110</f>
        <v>13110</v>
      </c>
      <c r="G34">
        <f>12461</f>
        <v>12461</v>
      </c>
      <c r="H34">
        <v>5607831405</v>
      </c>
      <c r="I34">
        <f>1291724-J34</f>
        <v>902294</v>
      </c>
      <c r="J34">
        <f>65805+53586+15489+188928+53256+9443+356+498+133+1936</f>
        <v>389430</v>
      </c>
      <c r="K34">
        <f>1170376-L34</f>
        <v>30874</v>
      </c>
      <c r="L34">
        <f>15266+58102+16449+415+1040042+8270+958</f>
        <v>1139502</v>
      </c>
      <c r="M34" s="3">
        <v>3265.91038369368</v>
      </c>
      <c r="N34" s="3">
        <v>-933181995</v>
      </c>
      <c r="O34" s="3">
        <v>2141.35319832513</v>
      </c>
      <c r="P34" s="3">
        <f>SUM(M34:O34)</f>
        <v>-933176587.736418</v>
      </c>
      <c r="Q34">
        <v>0</v>
      </c>
      <c r="R34">
        <v>1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2017-12-10T15:22:00Z</dcterms:created>
  <dcterms:modified xsi:type="dcterms:W3CDTF">2018-03-13T06:57:46Z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