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<sst xmlns="http://schemas.openxmlformats.org/spreadsheetml/2006/main" count="53">
  <si>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</si>
  <si>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</si>
  <si>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</si>
  <si>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</si>
  <si>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</si>
  <si>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</si>
  <si>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</si>
  <si>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</si>
  <si>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</si>
  <si>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</si>
  <si>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</si>
  <si>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</si>
  <si>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</si>
  <si>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</si>
  <si>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</si>
  <si>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</si>
  <si>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</si>
  <si>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</si>
  <si>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19-05-1999</t>
  </si>
  <si>
    <t>26-10-2000</t>
  </si>
  <si>
    <t>30-05-2001</t>
  </si>
  <si>
    <t>23-11-2001</t>
  </si>
  <si>
    <t>06-07-2002</t>
  </si>
  <si>
    <t>20-11-2002</t>
  </si>
  <si>
    <t>28-06-2003</t>
  </si>
  <si>
    <t>28-11-2003</t>
  </si>
  <si>
    <t>29-06-2004</t>
  </si>
  <si>
    <t>26-11-2004</t>
  </si>
  <si>
    <t>18-06-2005</t>
  </si>
  <si>
    <t>17-06-2006</t>
  </si>
  <si>
    <t>29-11-2006</t>
  </si>
  <si>
    <t>16-06-2007</t>
  </si>
  <si>
    <t>16-11-2007</t>
  </si>
  <si>
    <t>18-06-2008</t>
  </si>
  <si>
    <t>14-11-2008</t>
  </si>
  <si>
    <t>16-06-2009</t>
  </si>
  <si>
    <t>20-11-2009</t>
  </si>
  <si>
    <t>16-06-2010</t>
  </si>
  <si>
    <t>19-11-2010</t>
  </si>
  <si>
    <t>16-06-2011</t>
  </si>
  <si>
    <t>18-11-2011</t>
  </si>
  <si>
    <t>14-06-2012</t>
  </si>
  <si>
    <t>16-11-2012</t>
  </si>
  <si>
    <t>12-06-2013</t>
  </si>
  <si>
    <t>22-11-2013</t>
  </si>
  <si>
    <t>12-06-2014</t>
  </si>
  <si>
    <t>21-11-2014</t>
  </si>
  <si>
    <t>13-06-2015</t>
  </si>
  <si>
    <t>20-11-2015</t>
  </si>
  <si>
    <t>11-06-2016</t>
  </si>
  <si>
    <t>18-11-2016</t>
  </si>
  <si>
    <t>14-06-2017</t>
  </si>
  <si>
    <t>18-11-2017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</si>
</sst>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177" fontId="0" fillId="0" borderId="0" xfId="0" applyNumberFormat="1"/>
    <xf numFmtId="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5"/>
  <sheetViews>
    <sheetView tabSelected="1" workbookViewId="0">
      <selection activeCell="A2" sqref="A2"/>
    </sheetView>
  </sheetViews>
  <sheetFormatPr defaultColWidth="9" defaultRowHeight="15"/>
  <cols>
    <col min="1" max="1" width="11.1428571428571" customWidth="1"/>
    <col min="2" max="2" width="14.1142857142857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>
        <v>9544</v>
      </c>
      <c r="C2">
        <v>-8246</v>
      </c>
      <c r="D2">
        <f t="shared" ref="D2:D36" si="0">B2+C2</f>
        <v>1298</v>
      </c>
      <c r="E2">
        <v>1193</v>
      </c>
      <c r="F2">
        <v>964</v>
      </c>
      <c r="G2">
        <v>835</v>
      </c>
      <c r="H2">
        <f>79.5*1000000</f>
        <v>79500000</v>
      </c>
      <c r="I2">
        <f>112906-J2</f>
        <v>31344</v>
      </c>
      <c r="J2">
        <f>36711+37014+7837</f>
        <v>81562</v>
      </c>
      <c r="K2">
        <v>241</v>
      </c>
      <c r="L2">
        <v>103909</v>
      </c>
      <c r="M2">
        <v>886</v>
      </c>
      <c r="N2">
        <v>-2559</v>
      </c>
      <c r="O2">
        <v>2338</v>
      </c>
      <c r="P2">
        <f>SUM(M2:O2)</f>
        <v>665</v>
      </c>
      <c r="Q2">
        <v>1</v>
      </c>
      <c r="R2">
        <v>0</v>
      </c>
    </row>
    <row r="3" spans="1:18">
      <c r="A3" s="1" t="s">
        <v>19</v>
      </c>
      <c r="B3">
        <v>5491</v>
      </c>
      <c r="C3">
        <v>-4739</v>
      </c>
      <c r="D3">
        <f t="shared" si="0"/>
        <v>752</v>
      </c>
      <c r="E3">
        <v>700</v>
      </c>
      <c r="F3">
        <v>549</v>
      </c>
      <c r="G3">
        <v>344</v>
      </c>
      <c r="H3">
        <f>80.6*1000000</f>
        <v>80600000</v>
      </c>
      <c r="I3">
        <f>187338-J3</f>
        <v>44021</v>
      </c>
      <c r="J3">
        <f>79446+54394+9477</f>
        <v>143317</v>
      </c>
      <c r="K3">
        <f>250+369</f>
        <v>619</v>
      </c>
      <c r="L3">
        <v>177198</v>
      </c>
      <c r="M3">
        <v>-1490</v>
      </c>
      <c r="N3" s="2">
        <v>-995.5</v>
      </c>
      <c r="O3" s="2">
        <v>1328</v>
      </c>
      <c r="P3" s="2">
        <v>-1157.5</v>
      </c>
      <c r="Q3">
        <v>0</v>
      </c>
      <c r="R3">
        <v>1</v>
      </c>
    </row>
    <row r="4" spans="1:18">
      <c r="A4" s="1" t="s">
        <v>20</v>
      </c>
      <c r="B4">
        <v>12114</v>
      </c>
      <c r="C4">
        <v>-10236</v>
      </c>
      <c r="D4">
        <f t="shared" si="0"/>
        <v>1878</v>
      </c>
      <c r="E4">
        <v>1192</v>
      </c>
      <c r="F4">
        <v>1106</v>
      </c>
      <c r="G4">
        <v>846</v>
      </c>
      <c r="H4">
        <f>80.7*1000000</f>
        <v>80700000</v>
      </c>
      <c r="I4">
        <f>194532-J4</f>
        <v>49327</v>
      </c>
      <c r="J4">
        <f>69187+53874+22144</f>
        <v>145205</v>
      </c>
      <c r="K4">
        <f>298+356</f>
        <v>654</v>
      </c>
      <c r="L4">
        <v>182994</v>
      </c>
      <c r="M4">
        <f>1027-7892+19</f>
        <v>-6846</v>
      </c>
      <c r="N4">
        <v>-1423</v>
      </c>
      <c r="O4">
        <v>2974</v>
      </c>
      <c r="P4">
        <f t="shared" ref="P4:P36" si="1">SUM(M4:O4)</f>
        <v>-5295</v>
      </c>
      <c r="Q4">
        <v>1</v>
      </c>
      <c r="R4">
        <v>0</v>
      </c>
    </row>
    <row r="5" spans="1:18">
      <c r="A5" s="1" t="s">
        <v>21</v>
      </c>
      <c r="B5">
        <v>5870</v>
      </c>
      <c r="C5">
        <v>-4868</v>
      </c>
      <c r="D5">
        <f t="shared" si="0"/>
        <v>1002</v>
      </c>
      <c r="E5">
        <v>628</v>
      </c>
      <c r="F5">
        <v>723</v>
      </c>
      <c r="G5">
        <v>209</v>
      </c>
      <c r="H5">
        <v>91800000</v>
      </c>
      <c r="I5">
        <f>250214-J5</f>
        <v>98442</v>
      </c>
      <c r="J5">
        <f>80541+56970+14261</f>
        <v>151772</v>
      </c>
      <c r="K5">
        <f>554+40037</f>
        <v>40591</v>
      </c>
      <c r="L5">
        <v>194394</v>
      </c>
      <c r="M5">
        <v>3479</v>
      </c>
      <c r="N5">
        <v>-723</v>
      </c>
      <c r="O5">
        <v>-644</v>
      </c>
      <c r="P5">
        <f t="shared" si="1"/>
        <v>2112</v>
      </c>
      <c r="Q5">
        <v>0</v>
      </c>
      <c r="R5">
        <v>1</v>
      </c>
    </row>
    <row r="6" spans="1:18">
      <c r="A6" s="1" t="s">
        <v>22</v>
      </c>
      <c r="B6">
        <v>12444</v>
      </c>
      <c r="C6">
        <v>-10261</v>
      </c>
      <c r="D6">
        <f t="shared" si="0"/>
        <v>2183</v>
      </c>
      <c r="E6">
        <v>1356</v>
      </c>
      <c r="F6">
        <v>953</v>
      </c>
      <c r="G6">
        <v>626</v>
      </c>
      <c r="H6">
        <f>91.5*1000000</f>
        <v>91500000</v>
      </c>
      <c r="I6">
        <f>303841-J6</f>
        <v>109962</v>
      </c>
      <c r="J6">
        <f>111224+64738+17917</f>
        <v>193879</v>
      </c>
      <c r="K6">
        <f>38042+513</f>
        <v>38555</v>
      </c>
      <c r="L6">
        <v>249270</v>
      </c>
      <c r="M6">
        <f>1225+24667+161</f>
        <v>26053</v>
      </c>
      <c r="N6">
        <v>-1649</v>
      </c>
      <c r="O6">
        <v>-395</v>
      </c>
      <c r="P6">
        <f t="shared" si="1"/>
        <v>24009</v>
      </c>
      <c r="Q6">
        <v>1</v>
      </c>
      <c r="R6">
        <v>0</v>
      </c>
    </row>
    <row r="7" spans="1:18">
      <c r="A7" s="1" t="s">
        <v>23</v>
      </c>
      <c r="B7">
        <v>6788</v>
      </c>
      <c r="C7">
        <v>-5479</v>
      </c>
      <c r="D7">
        <f t="shared" si="0"/>
        <v>1309</v>
      </c>
      <c r="E7">
        <v>387</v>
      </c>
      <c r="F7">
        <v>271</v>
      </c>
      <c r="G7">
        <v>112</v>
      </c>
      <c r="H7">
        <f>92.2*1000000</f>
        <v>92200000</v>
      </c>
      <c r="I7">
        <f>319776-J7</f>
        <v>106743</v>
      </c>
      <c r="J7">
        <f>138882+60008+14143</f>
        <v>213033</v>
      </c>
      <c r="K7">
        <f>33403+576</f>
        <v>33979</v>
      </c>
      <c r="L7">
        <v>268533</v>
      </c>
      <c r="M7">
        <v>27125</v>
      </c>
      <c r="N7">
        <v>48</v>
      </c>
      <c r="O7">
        <v>633</v>
      </c>
      <c r="P7">
        <f t="shared" si="1"/>
        <v>27806</v>
      </c>
      <c r="Q7">
        <v>0</v>
      </c>
      <c r="R7">
        <v>1</v>
      </c>
    </row>
    <row r="8" spans="1:18">
      <c r="A8" s="1" t="s">
        <v>24</v>
      </c>
      <c r="B8">
        <v>11028</v>
      </c>
      <c r="C8">
        <v>-8967</v>
      </c>
      <c r="D8">
        <f t="shared" si="0"/>
        <v>2061</v>
      </c>
      <c r="E8">
        <v>1343</v>
      </c>
      <c r="F8">
        <v>928</v>
      </c>
      <c r="G8">
        <v>511</v>
      </c>
      <c r="H8">
        <f>97.5*1000000</f>
        <v>97500000</v>
      </c>
      <c r="I8">
        <f>205842-J8</f>
        <v>100110</v>
      </c>
      <c r="J8">
        <f>69524+20748+15460</f>
        <v>105732</v>
      </c>
      <c r="K8">
        <f>31736+524</f>
        <v>32260</v>
      </c>
      <c r="L8">
        <v>160114</v>
      </c>
      <c r="M8">
        <f>1277-24902-1225</f>
        <v>-24850</v>
      </c>
      <c r="N8">
        <v>-35</v>
      </c>
      <c r="O8">
        <v>647</v>
      </c>
      <c r="P8">
        <f t="shared" si="1"/>
        <v>-24238</v>
      </c>
      <c r="Q8">
        <v>1</v>
      </c>
      <c r="R8">
        <v>0</v>
      </c>
    </row>
    <row r="9" spans="1:18">
      <c r="A9" s="1" t="s">
        <v>25</v>
      </c>
      <c r="B9" s="2">
        <f>(54.17+285.736)*11.0106</f>
        <v>3742.5690036</v>
      </c>
      <c r="C9" s="2">
        <f>--296.653*11.0106</f>
        <v>3266.3275218</v>
      </c>
      <c r="D9" s="2">
        <f t="shared" si="0"/>
        <v>7008.8965254</v>
      </c>
      <c r="E9" s="2">
        <f>62.911*11.0106</f>
        <v>692.6878566</v>
      </c>
      <c r="F9" s="2">
        <f>50.184*11.0106</f>
        <v>552.5559504</v>
      </c>
      <c r="G9" s="2">
        <f>48.949*11.0106</f>
        <v>538.9578594</v>
      </c>
      <c r="H9" s="2">
        <v>95791802</v>
      </c>
      <c r="I9" s="2">
        <f>(15757.033*11.0106)-J9</f>
        <v>142375.9325436</v>
      </c>
      <c r="J9" s="2">
        <f>(348.391+311.422+1902.519+263.895)*11.0106</f>
        <v>31118.4550062</v>
      </c>
      <c r="K9" s="2">
        <v>66398.4653778</v>
      </c>
      <c r="L9" s="2">
        <f>(1402.002+6907.589+232.061)*11.0106</f>
        <v>94048.7135112</v>
      </c>
      <c r="M9" s="2">
        <f>(-58.293-4.973-26.298)*11.0106</f>
        <v>-986.1533784</v>
      </c>
      <c r="N9" s="2">
        <v>17.8151508</v>
      </c>
      <c r="O9" s="2">
        <f>127.806*11.0106</f>
        <v>1407.2207436</v>
      </c>
      <c r="P9" s="2">
        <f t="shared" si="1"/>
        <v>438.882516</v>
      </c>
      <c r="Q9">
        <v>0</v>
      </c>
      <c r="R9">
        <v>1</v>
      </c>
    </row>
    <row r="10" spans="1:18">
      <c r="A10" s="1" t="s">
        <v>26</v>
      </c>
      <c r="B10" s="2">
        <f>(91.845+588.067)*11.2966</f>
        <v>7680.6938992</v>
      </c>
      <c r="C10" s="2">
        <f>-574.249*11.2966</f>
        <v>-6487.0612534</v>
      </c>
      <c r="D10" s="2">
        <f t="shared" si="0"/>
        <v>1193.6326458</v>
      </c>
      <c r="E10" s="2">
        <f>143.344*11.2966</f>
        <v>1619.2998304</v>
      </c>
      <c r="F10" s="2">
        <f>115.523*11.2966</f>
        <v>1305.0171218</v>
      </c>
      <c r="G10" s="2">
        <f>75.143*11.2966</f>
        <v>848.8604138</v>
      </c>
      <c r="H10" s="2">
        <v>102300071</v>
      </c>
      <c r="I10" s="2">
        <f>(15361.371*11.2966)-J10</f>
        <v>143882.873778</v>
      </c>
      <c r="J10" s="2">
        <f>(363.862+332.208+1466.437+418.254+43.78)*11.2966</f>
        <v>29648.3898606</v>
      </c>
      <c r="K10" s="2">
        <f>(14015.515*11.2966)-L10</f>
        <v>53807.4793662</v>
      </c>
      <c r="L10" s="2">
        <f>(1233.609+7211.292+621.857+185.6)*11.2966</f>
        <v>104520.1873828</v>
      </c>
      <c r="M10" s="2">
        <f>(-489.492+3.769-31.917-52.81)*11.2966</f>
        <v>-6444.14547</v>
      </c>
      <c r="N10" s="2">
        <f>-52.663*11.2966</f>
        <v>-594.9128458</v>
      </c>
      <c r="O10" s="2">
        <v>8609.195343</v>
      </c>
      <c r="P10" s="2">
        <f t="shared" si="1"/>
        <v>1570.1370272</v>
      </c>
      <c r="Q10">
        <v>1</v>
      </c>
      <c r="R10">
        <v>0</v>
      </c>
    </row>
    <row r="11" spans="1:18">
      <c r="A11" s="1" t="s">
        <v>27</v>
      </c>
      <c r="B11" s="2">
        <f>(39.528+310.283)*11.0352</f>
        <v>3860.2343472</v>
      </c>
      <c r="C11" s="2">
        <f>-288.183*11.0352</f>
        <v>-3180.1570416</v>
      </c>
      <c r="D11" s="2">
        <f t="shared" si="0"/>
        <v>680.0773056</v>
      </c>
      <c r="E11" s="2">
        <f>95.887*11.0352</f>
        <v>1058.1322224</v>
      </c>
      <c r="F11" s="2">
        <f>35.765*11.0352</f>
        <v>394.673928</v>
      </c>
      <c r="G11" s="2">
        <f>35.665*11.0352</f>
        <v>393.570408</v>
      </c>
      <c r="H11" s="2">
        <v>107363927</v>
      </c>
      <c r="I11" s="2">
        <f>(16514.396*11.0352)-J11</f>
        <v>154682.60544</v>
      </c>
      <c r="J11" s="2">
        <f>(217.46+277.583+1761.409+240.744)*11.0352</f>
        <v>27557.0572992</v>
      </c>
      <c r="K11" s="2">
        <f>(15210.845*11.0352)-L11</f>
        <v>76136.4575136</v>
      </c>
      <c r="L11" s="2">
        <f>(886.583+7233.545+191.299)*11.0352</f>
        <v>91718.2592304</v>
      </c>
      <c r="M11" s="2">
        <f>(487.999-16.691-28.833)*11.0352</f>
        <v>4882.80012</v>
      </c>
      <c r="N11" s="2">
        <v>-6219.5601072</v>
      </c>
      <c r="O11" s="2">
        <f>-6.886*11.0352</f>
        <v>-75.9883872</v>
      </c>
      <c r="P11" s="2">
        <f t="shared" si="1"/>
        <v>-1412.7483744</v>
      </c>
      <c r="Q11">
        <v>0</v>
      </c>
      <c r="R11">
        <v>1</v>
      </c>
    </row>
    <row r="12" spans="1:18">
      <c r="A12" s="1" t="s">
        <v>28</v>
      </c>
      <c r="B12" s="2">
        <f>(81.061+639.526)*12.2335</f>
        <v>8815.3010645</v>
      </c>
      <c r="C12" s="2">
        <f>-587.901*12.2335</f>
        <v>-7192.0868835</v>
      </c>
      <c r="D12" s="2">
        <f t="shared" si="0"/>
        <v>1623.214181</v>
      </c>
      <c r="E12" s="2">
        <f>222.388*12.2335</f>
        <v>2720.583598</v>
      </c>
      <c r="F12" s="2">
        <f>165.123*12.2335</f>
        <v>2020.0322205</v>
      </c>
      <c r="G12" s="2">
        <f>80.557*12.2335</f>
        <v>985.4940595</v>
      </c>
      <c r="H12" s="2">
        <v>107362339</v>
      </c>
      <c r="I12" s="2">
        <f>(17910.674*12.2335)-J12</f>
        <v>184176.5046825</v>
      </c>
      <c r="J12" s="2">
        <f>(105.13+323.622+1986.864+439.963)*12.2335</f>
        <v>34933.7256965</v>
      </c>
      <c r="K12" s="2">
        <f>(16430.228*12.2335)-L12</f>
        <v>103810.006686</v>
      </c>
      <c r="L12" s="2">
        <f>(912.32+6805.429+226.763)*12.2335</f>
        <v>97189.187552</v>
      </c>
      <c r="M12" s="2">
        <f>(1366.87+4.893-21.764-60.749)*12.2335</f>
        <v>15772.039875</v>
      </c>
      <c r="N12" s="2">
        <f>(-71.966-460.102-70.224)*12.2335</f>
        <v>-7368.139182</v>
      </c>
      <c r="O12" s="2">
        <f>194.465*12.2335</f>
        <v>2378.9875775</v>
      </c>
      <c r="P12" s="2">
        <f t="shared" si="1"/>
        <v>10782.8882705</v>
      </c>
      <c r="Q12">
        <v>1</v>
      </c>
      <c r="R12">
        <v>0</v>
      </c>
    </row>
    <row r="13" spans="1:18">
      <c r="A13" s="1" t="s">
        <v>29</v>
      </c>
      <c r="B13" s="2">
        <f>934.389*12.8871</f>
        <v>12041.5644819</v>
      </c>
      <c r="C13" s="2">
        <f>-675.237*12.8871</f>
        <v>-8701.8467427</v>
      </c>
      <c r="D13" s="2">
        <f t="shared" si="0"/>
        <v>3339.7177392</v>
      </c>
      <c r="E13" s="2">
        <f>367.411*12.8871</f>
        <v>4734.8622981</v>
      </c>
      <c r="F13" s="2">
        <f>329.368*12.8871</f>
        <v>4244.5983528</v>
      </c>
      <c r="G13" s="2">
        <f>315.101*12.8871</f>
        <v>4060.7380971</v>
      </c>
      <c r="H13" s="2">
        <v>109767783</v>
      </c>
      <c r="I13" s="2">
        <f>(23900.949*12.8871)-J13</f>
        <v>234740.4209037</v>
      </c>
      <c r="J13" s="2">
        <f>(190.838+690.236+756.645+1640.088+1081.287+1266.673+60.035)*12.8871</f>
        <v>73273.4989542</v>
      </c>
      <c r="K13" s="2">
        <f>(22388.856*12.8871)-L13</f>
        <v>130485.4443396</v>
      </c>
      <c r="L13" s="2">
        <f>(1879.483+705.764+457.254+358.278+8699.165+137.426+26.21)*12.8871</f>
        <v>158041.981818</v>
      </c>
      <c r="M13" s="2">
        <f>168.989*12.8871</f>
        <v>2177.7781419</v>
      </c>
      <c r="N13" s="2">
        <f>-473.159*12.8871</f>
        <v>-6097.6473489</v>
      </c>
      <c r="O13" s="2">
        <f>38.076*12.8871</f>
        <v>490.6892196</v>
      </c>
      <c r="P13" s="2">
        <f t="shared" si="1"/>
        <v>-3429.1799874</v>
      </c>
      <c r="Q13">
        <v>1</v>
      </c>
      <c r="R13">
        <v>0</v>
      </c>
    </row>
    <row r="14" spans="1:18">
      <c r="A14" s="1" t="s">
        <v>30</v>
      </c>
      <c r="B14">
        <v>4102</v>
      </c>
      <c r="C14">
        <v>-3011</v>
      </c>
      <c r="D14" s="2">
        <f t="shared" si="0"/>
        <v>1091</v>
      </c>
      <c r="E14">
        <v>1645</v>
      </c>
      <c r="F14">
        <v>1168</v>
      </c>
      <c r="G14">
        <v>1138</v>
      </c>
      <c r="H14" s="2">
        <v>109767784</v>
      </c>
      <c r="I14">
        <f>195294-J14</f>
        <v>151006</v>
      </c>
      <c r="J14">
        <f>1654+10332+19046+12755+157+344</f>
        <v>44288</v>
      </c>
      <c r="K14">
        <f>185197-L14</f>
        <v>69245</v>
      </c>
      <c r="L14">
        <f>8798+10120+4824+2496+61105+27531+723+355</f>
        <v>115952</v>
      </c>
      <c r="M14" s="2">
        <v>4487.454504225</v>
      </c>
      <c r="N14" s="2">
        <v>-3366.446632725</v>
      </c>
      <c r="O14" s="2">
        <v>717.419199275</v>
      </c>
      <c r="P14" s="2">
        <f t="shared" si="1"/>
        <v>1838.427070775</v>
      </c>
      <c r="Q14">
        <v>0</v>
      </c>
      <c r="R14">
        <v>1</v>
      </c>
    </row>
    <row r="15" spans="1:18">
      <c r="A15" s="1" t="s">
        <v>31</v>
      </c>
      <c r="B15" s="2">
        <f>1233.226*14.3686</f>
        <v>17719.7311036</v>
      </c>
      <c r="C15" s="2">
        <f>-889.311*14.3686</f>
        <v>-12778.1540346</v>
      </c>
      <c r="D15" s="2">
        <f t="shared" si="0"/>
        <v>4941.577069</v>
      </c>
      <c r="E15" s="2">
        <f>469.154*14.3686</f>
        <v>6741.0861644</v>
      </c>
      <c r="F15" s="2">
        <f>349.373*14.3686</f>
        <v>5020.0008878</v>
      </c>
      <c r="G15" s="2">
        <f>340.319*14.3686</f>
        <v>4889.9075834</v>
      </c>
      <c r="H15" s="2">
        <v>563782684</v>
      </c>
      <c r="I15" s="2">
        <f>(26299.688*14.3686)-J15</f>
        <v>268284.2919648</v>
      </c>
      <c r="J15" s="2">
        <f>(102.751+687.918+2185.322+2151.036+724.492+1776.601)*14.3686</f>
        <v>109605.405032</v>
      </c>
      <c r="K15" s="2">
        <f>(24465.525*14.3686)-L15</f>
        <v>143314.0544204</v>
      </c>
      <c r="L15" s="2">
        <f>(2347.095+509.919+321.863+1765.671+9384.848+113.967+48.048)*14.3686</f>
        <v>208221.2880946</v>
      </c>
      <c r="M15" s="2">
        <f>134.359*14.3686</f>
        <v>1930.5507274</v>
      </c>
      <c r="N15" s="2">
        <f>-178.985*14.3686</f>
        <v>-2571.763871</v>
      </c>
      <c r="O15" s="2">
        <f>430.471*14.3686</f>
        <v>6185.2656106</v>
      </c>
      <c r="P15" s="2">
        <f t="shared" si="1"/>
        <v>5544.052467</v>
      </c>
      <c r="Q15">
        <v>1</v>
      </c>
      <c r="R15">
        <v>0</v>
      </c>
    </row>
    <row r="16" spans="1:18">
      <c r="A16" s="1" t="s">
        <v>32</v>
      </c>
      <c r="B16">
        <v>6534</v>
      </c>
      <c r="C16">
        <v>-5059</v>
      </c>
      <c r="D16" s="2">
        <f t="shared" si="0"/>
        <v>1475</v>
      </c>
      <c r="E16">
        <v>1918</v>
      </c>
      <c r="F16">
        <v>1383</v>
      </c>
      <c r="G16">
        <v>1377</v>
      </c>
      <c r="H16" s="2">
        <v>584974195</v>
      </c>
      <c r="I16">
        <v>224679</v>
      </c>
      <c r="J16">
        <f>2015+12760+4307+23545+7016+430+12170</f>
        <v>62243</v>
      </c>
      <c r="K16">
        <f>212377-L16</f>
        <v>107773</v>
      </c>
      <c r="L16">
        <f>9052+6882+4122+3021+79877+924+726</f>
        <v>104604</v>
      </c>
      <c r="M16" s="2">
        <v>6186.7372208625</v>
      </c>
      <c r="N16" s="2">
        <v>-3525.2581118625</v>
      </c>
      <c r="O16" s="2">
        <v>953.4564940125</v>
      </c>
      <c r="P16" s="2">
        <f t="shared" si="1"/>
        <v>3614.9356030125</v>
      </c>
      <c r="Q16">
        <v>0</v>
      </c>
      <c r="R16">
        <v>1</v>
      </c>
    </row>
    <row r="17" spans="1:18">
      <c r="A17" s="1" t="s">
        <v>33</v>
      </c>
      <c r="B17" s="2">
        <f>2083.38*15.6959</f>
        <v>32700.524142</v>
      </c>
      <c r="C17" s="2">
        <f>-1499.96*15.6959</f>
        <v>-23543.222164</v>
      </c>
      <c r="D17" s="2">
        <f t="shared" si="0"/>
        <v>9157.301978</v>
      </c>
      <c r="E17" s="2">
        <f>474.906*15.6959</f>
        <v>7454.0770854</v>
      </c>
      <c r="F17" s="2">
        <f>420.512*15.6959</f>
        <v>6600.3143008</v>
      </c>
      <c r="G17" s="2">
        <f>391.558*15.6959</f>
        <v>6145.8552122</v>
      </c>
      <c r="H17" s="2">
        <v>606165706</v>
      </c>
      <c r="I17" s="2">
        <f>(34103.552*15.6959)-J17</f>
        <v>336337.4114199</v>
      </c>
      <c r="J17" s="2">
        <f>(788.472+504.382+794.153+1984.58+1305.264+1130.872+6082.975+84.493)*15.6959</f>
        <v>198948.5304169</v>
      </c>
      <c r="K17" s="2">
        <f>(31893.533*15.6959)-L17</f>
        <v>106832.0400994</v>
      </c>
      <c r="L17" s="2">
        <f>(3489.032+1778.438+881.577+450.58+382.384+12133.12+5760.208+132.656+79.172)*15.6959</f>
        <v>393765.6645153</v>
      </c>
      <c r="M17" s="2">
        <f>1035.078*15.6959</f>
        <v>16246.4807802</v>
      </c>
      <c r="N17" s="2">
        <f>-65.642*15.6959</f>
        <v>-1030.3102678</v>
      </c>
      <c r="O17" s="2">
        <f>-54.893*15.6959</f>
        <v>-861.5950387</v>
      </c>
      <c r="P17" s="2">
        <f t="shared" si="1"/>
        <v>14354.5754737</v>
      </c>
      <c r="Q17">
        <v>1</v>
      </c>
      <c r="R17">
        <v>0</v>
      </c>
    </row>
    <row r="18" spans="1:18">
      <c r="A18" s="1" t="s">
        <v>34</v>
      </c>
      <c r="B18">
        <v>10801</v>
      </c>
      <c r="C18">
        <v>-8804</v>
      </c>
      <c r="D18" s="2">
        <f t="shared" si="0"/>
        <v>1997</v>
      </c>
      <c r="E18">
        <v>2122</v>
      </c>
      <c r="F18">
        <v>1575</v>
      </c>
      <c r="G18">
        <v>1571</v>
      </c>
      <c r="H18" s="2">
        <v>620383612.5</v>
      </c>
      <c r="I18">
        <v>262412</v>
      </c>
      <c r="J18">
        <f>3103+7247+10166+24923+7770+200+13673+426</f>
        <v>67508</v>
      </c>
      <c r="K18">
        <v>247324</v>
      </c>
      <c r="L18">
        <f>9332+8198+3830+6306+121929+13022+1026+696</f>
        <v>164339</v>
      </c>
      <c r="M18" s="2">
        <v>5185.6639483625</v>
      </c>
      <c r="N18" s="2">
        <v>-4370.4216172625</v>
      </c>
      <c r="O18" s="2">
        <v>531.629102029167</v>
      </c>
      <c r="P18" s="2">
        <f t="shared" si="1"/>
        <v>1346.87143312917</v>
      </c>
      <c r="Q18">
        <v>0</v>
      </c>
      <c r="R18">
        <v>1</v>
      </c>
    </row>
    <row r="19" spans="1:18">
      <c r="A19" s="1" t="s">
        <v>35</v>
      </c>
      <c r="B19" s="3">
        <f>2596.913*13.2356</f>
        <v>34371.7017028</v>
      </c>
      <c r="C19" s="3">
        <f>-1902.882*13.2356</f>
        <v>-25185.7849992</v>
      </c>
      <c r="D19" s="3">
        <f t="shared" si="0"/>
        <v>9185.9167036</v>
      </c>
      <c r="E19" s="3">
        <f>367.621*13.2356</f>
        <v>4865.6845076</v>
      </c>
      <c r="F19" s="3">
        <f>286.667*13.2356</f>
        <v>3794.2097452</v>
      </c>
      <c r="G19" s="3">
        <f>292.022*13.2356</f>
        <v>3865.0863832</v>
      </c>
      <c r="H19" s="3">
        <v>634601519</v>
      </c>
      <c r="I19" s="3">
        <f>(37104.668*13.2356)-J19</f>
        <v>321733.744276</v>
      </c>
      <c r="J19" s="3">
        <f>(1105.089+396.173+569.77+2313.845+1582.908+1063.569+5628.347+136.757)*13.2356</f>
        <v>169368.7995048</v>
      </c>
      <c r="K19" s="3">
        <f>(34484.131*13.2356)-L19</f>
        <v>89759.9876404001</v>
      </c>
      <c r="L19" s="3">
        <f>(3781.153+1412.961+1196.326+344.561+915.85+14572.568+5203.473+155.395+120.135)*13.2356</f>
        <v>366658.1766232</v>
      </c>
      <c r="M19" s="3">
        <f>354.847*13.2356</f>
        <v>4696.6129532</v>
      </c>
      <c r="N19" s="3">
        <f>-63.67*13.2356</f>
        <v>-842.710652</v>
      </c>
      <c r="O19" s="3">
        <f>-184.981*13.2356</f>
        <v>-2448.3345236</v>
      </c>
      <c r="P19" s="3">
        <f t="shared" si="1"/>
        <v>1405.5677776</v>
      </c>
      <c r="Q19">
        <v>1</v>
      </c>
      <c r="R19">
        <v>0</v>
      </c>
    </row>
    <row r="20" spans="1:18">
      <c r="A20" s="1" t="s">
        <v>36</v>
      </c>
      <c r="B20" s="2">
        <f>974.116*12.5449</f>
        <v>12220.1878084</v>
      </c>
      <c r="C20" s="2">
        <f>-676.759*12.5449</f>
        <v>-8489.8739791</v>
      </c>
      <c r="D20" s="2">
        <f t="shared" si="0"/>
        <v>3730.3138293</v>
      </c>
      <c r="E20" s="2">
        <f>203.902*12.5449</f>
        <v>2557.9301998</v>
      </c>
      <c r="F20" s="2">
        <f>167.691*12.5449</f>
        <v>2103.6668259</v>
      </c>
      <c r="G20" s="2">
        <f>178.534*12.5449</f>
        <v>2239.6911766</v>
      </c>
      <c r="H20">
        <f>669.2*1000000</f>
        <v>669200000</v>
      </c>
      <c r="I20" s="2">
        <f>(40334.145*12.5449)-J20</f>
        <v>326597.3262679</v>
      </c>
      <c r="J20" s="2">
        <f>(1474.204+496.792+560.424+3569.743+1453.804+1236.293+5369.003+139.611)*12.5449</f>
        <v>179390.4893426</v>
      </c>
      <c r="K20" s="2">
        <f>(37340.755*12.5449)-L20</f>
        <v>97214.9838987</v>
      </c>
      <c r="L20" s="2">
        <f>(3050.282+1354.737+1154.535+305.77+655.556+18013.512+4749.629+168.088+139.283)*12.5449</f>
        <v>371221.0535008</v>
      </c>
      <c r="M20" s="2">
        <f>350.778*12.5449</f>
        <v>4400.4749322</v>
      </c>
      <c r="N20" s="2">
        <f>2.195*12.5449</f>
        <v>27.5360555</v>
      </c>
      <c r="O20" s="2">
        <f>-20.229*12.5449</f>
        <v>-253.7707821</v>
      </c>
      <c r="P20" s="2">
        <f t="shared" si="1"/>
        <v>4174.2402056</v>
      </c>
      <c r="Q20">
        <v>0</v>
      </c>
      <c r="R20">
        <v>1</v>
      </c>
    </row>
    <row r="21" spans="1:18">
      <c r="A21" s="1" t="s">
        <v>37</v>
      </c>
      <c r="B21" s="2">
        <f>2726.011*11.2203</f>
        <v>30586.6612233</v>
      </c>
      <c r="C21" s="2">
        <f>-2112.925*11.2203</f>
        <v>-23707.6523775</v>
      </c>
      <c r="D21" s="2">
        <f t="shared" si="0"/>
        <v>6879.0088458</v>
      </c>
      <c r="E21" s="2">
        <f>409.93*11.2203</f>
        <v>4599.537579</v>
      </c>
      <c r="F21" s="2">
        <f>327.331*11.2203</f>
        <v>3672.7520193</v>
      </c>
      <c r="G21" s="2">
        <f>346.133*11.2203</f>
        <v>3883.7160999</v>
      </c>
      <c r="H21">
        <f>686.3*1000000</f>
        <v>686300000</v>
      </c>
      <c r="I21" s="2">
        <f>(46571.865*11.2203)-J21</f>
        <v>330580.5011145</v>
      </c>
      <c r="J21" s="2">
        <f>(2338.234+581.117+911.432+4221.645+1591.841+1996.073+5334.453+134.355)*11.2203</f>
        <v>191969.795745</v>
      </c>
      <c r="K21" s="2">
        <f>(43280.004*11.2203)-L21</f>
        <v>110365.1821818</v>
      </c>
      <c r="L21" s="2">
        <f>(2439.67+1213.042+1193.421+504.618+1110.508+21934.044+4714.556+196.965+136.974)*11.2203</f>
        <v>375249.4466994</v>
      </c>
      <c r="M21" s="2">
        <f>1509.945*11.2203</f>
        <v>16942.0358835</v>
      </c>
      <c r="N21" s="2">
        <f>-19.368*11.2203</f>
        <v>-217.3147704</v>
      </c>
      <c r="O21" s="2">
        <f>-127.794*11.2203</f>
        <v>-1433.8870182</v>
      </c>
      <c r="P21" s="2">
        <f t="shared" si="1"/>
        <v>15290.8340949</v>
      </c>
      <c r="Q21">
        <v>1</v>
      </c>
      <c r="R21">
        <v>0</v>
      </c>
    </row>
    <row r="22" spans="1:18">
      <c r="A22" s="1" t="s">
        <v>38</v>
      </c>
      <c r="B22" s="2">
        <f>1118.36*11.1727</f>
        <v>12495.100772</v>
      </c>
      <c r="C22" s="2">
        <f>-797.186*11.1727</f>
        <v>-8906.7200222</v>
      </c>
      <c r="D22" s="2">
        <f t="shared" si="0"/>
        <v>3588.3807498</v>
      </c>
      <c r="E22" s="2">
        <f>212.303*11.1727</f>
        <v>2371.9977281</v>
      </c>
      <c r="F22" s="2">
        <f>234.675*11.1727</f>
        <v>2621.9533725</v>
      </c>
      <c r="G22" s="2">
        <f>246.993*11.1727</f>
        <v>2759.5786911</v>
      </c>
      <c r="H22">
        <f>739.7*1000000</f>
        <v>739700000</v>
      </c>
      <c r="I22" s="2">
        <f>(48978.438*11.1727)-J22</f>
        <v>337243.8491191</v>
      </c>
      <c r="J22" s="2">
        <f>(1550.807+527.758+1207.255+5338.673+1970.67+2915.969+5150.421+132.252)*11.1727</f>
        <v>209977.5451235</v>
      </c>
      <c r="K22" s="2">
        <f>(45180.643*11.1727)-L22</f>
        <v>116622.3743685</v>
      </c>
      <c r="L22" s="2">
        <f>(2181.563+1082.431+1618.99+540.254+942.699+23493.808+4488.245+191.56+202.938)*11.1727</f>
        <v>388167.3956776</v>
      </c>
      <c r="M22" s="2">
        <f>-821.352*11.1727</f>
        <v>-9176.7194904</v>
      </c>
      <c r="N22" s="2">
        <f>-10.946*11.1727</f>
        <v>-122.2963742</v>
      </c>
      <c r="O22" s="2">
        <f>157.453*11.1727</f>
        <v>1759.1751331</v>
      </c>
      <c r="P22" s="2">
        <f t="shared" si="1"/>
        <v>-7539.8407315</v>
      </c>
      <c r="Q22">
        <v>0</v>
      </c>
      <c r="R22">
        <v>1</v>
      </c>
    </row>
    <row r="23" spans="1:18">
      <c r="A23" s="1" t="s">
        <v>39</v>
      </c>
      <c r="B23" s="2">
        <f>2238.783*10.9537</f>
        <v>24522.9573471</v>
      </c>
      <c r="C23" s="2">
        <f>-1557.314*10.9537</f>
        <v>-17058.3503618</v>
      </c>
      <c r="D23" s="2">
        <f t="shared" si="0"/>
        <v>7464.6069853</v>
      </c>
      <c r="E23" s="2">
        <f>423.444*10.9537</f>
        <v>4638.2785428</v>
      </c>
      <c r="F23" s="2">
        <f>407.913*10.9537</f>
        <v>4468.1566281</v>
      </c>
      <c r="G23" s="2">
        <f>420.516*10.9537</f>
        <v>4606.2061092</v>
      </c>
      <c r="H23">
        <f>759.8*1000000</f>
        <v>759800000</v>
      </c>
      <c r="I23" s="2">
        <f>(50941.27*10.9537)-J23</f>
        <v>338328.7721216</v>
      </c>
      <c r="J23" s="2">
        <f>(1769.078+535.983+2467.775+5114.322+1799.204+3328.609+4924.293+114.838)*10.9537</f>
        <v>219666.6170774</v>
      </c>
      <c r="K23" s="2">
        <f>(46980.168*10.9537)-L23</f>
        <v>122739.2864897</v>
      </c>
      <c r="L23" s="2">
        <f>(1858.893+975.542+1486.419+716.556+1599.646+24441.26+4340.864+206.957+148.75)*10.9537</f>
        <v>391867.3797319</v>
      </c>
      <c r="M23" s="2">
        <f>-654.966*10.9537</f>
        <v>-7174.3010742</v>
      </c>
      <c r="N23" s="2">
        <f>-124.475*10.9537</f>
        <v>-1363.4618075</v>
      </c>
      <c r="O23" s="2">
        <f>143.35*10.9537</f>
        <v>1570.212895</v>
      </c>
      <c r="P23" s="2">
        <f t="shared" si="1"/>
        <v>-6967.5499867</v>
      </c>
      <c r="Q23">
        <v>1</v>
      </c>
      <c r="R23">
        <v>0</v>
      </c>
    </row>
    <row r="24" spans="1:18">
      <c r="A24" s="1" t="s">
        <v>40</v>
      </c>
      <c r="B24" s="2">
        <f>1183.565*12.9611</f>
        <v>15340.3043215</v>
      </c>
      <c r="C24" s="2">
        <f>-818.853*12.9611</f>
        <v>-10613.2356183</v>
      </c>
      <c r="D24" s="2">
        <f t="shared" si="0"/>
        <v>4727.0687032</v>
      </c>
      <c r="E24" s="2">
        <f>214.293*12.9611</f>
        <v>2777.4730023</v>
      </c>
      <c r="F24" s="2">
        <f>174.352*12.9611</f>
        <v>2259.7937072</v>
      </c>
      <c r="G24" s="2">
        <f>178.92*12.9611</f>
        <v>2319.000012</v>
      </c>
      <c r="H24">
        <f>792.1*1000000</f>
        <v>792100000</v>
      </c>
      <c r="I24" s="2">
        <f>(49726.587*12.9611)-J24</f>
        <v>392055.56624907</v>
      </c>
      <c r="J24" s="2">
        <f>(1274.647+398.068+2332.96+5212.2+2543.704+3461.471+4137.5633+117.34)*12.9611</f>
        <v>252455.70051663</v>
      </c>
      <c r="K24" s="2">
        <f>(45929.603*12.9611)-L24</f>
        <v>138203.5094006</v>
      </c>
      <c r="L24" s="2">
        <f>(1696.07+898.564+2010.287+834.417+1721.545+24184.573+3575.793+207.298+138.11)*12.9611</f>
        <v>457094.6680427</v>
      </c>
      <c r="M24" s="2">
        <f>-199.575*12.9611</f>
        <v>-2586.7115325</v>
      </c>
      <c r="N24" s="2">
        <f>-19.493*12.9611</f>
        <v>-252.6507223</v>
      </c>
      <c r="O24" s="2">
        <f>28.144*12.9611</f>
        <v>364.7771984</v>
      </c>
      <c r="P24" s="2">
        <f t="shared" si="1"/>
        <v>-2474.5850564</v>
      </c>
      <c r="Q24">
        <v>0</v>
      </c>
      <c r="R24">
        <v>1</v>
      </c>
    </row>
    <row r="25" spans="1:18">
      <c r="A25" s="1" t="s">
        <v>41</v>
      </c>
      <c r="B25" s="2">
        <f>2299.925*13.1305</f>
        <v>30199.1652125</v>
      </c>
      <c r="C25" s="2">
        <f>-1600.878*13.1305</f>
        <v>-21020.328579</v>
      </c>
      <c r="D25" s="2">
        <f t="shared" si="0"/>
        <v>9178.8366335</v>
      </c>
      <c r="E25" s="2">
        <f>296.577*13.1305</f>
        <v>3894.2042985</v>
      </c>
      <c r="F25" s="2">
        <f>236.492*13.1305</f>
        <v>3105.258206</v>
      </c>
      <c r="G25" s="2">
        <f>247.527*13.1305</f>
        <v>3250.1532735</v>
      </c>
      <c r="H25">
        <f>809.6*1000000</f>
        <v>809600000</v>
      </c>
      <c r="I25" s="2">
        <f>(51550.4*13.1305)-J25</f>
        <v>461712.130826</v>
      </c>
      <c r="J25" s="2">
        <f>(2593.851+642.48+975.992+4067.093+3081.061+1913.65+640.146+890.702+1431.712+150.381)*13.1305</f>
        <v>215170.396374</v>
      </c>
      <c r="K25" s="2">
        <f>(47537.878*13.1305)-L25</f>
        <v>152021.304982</v>
      </c>
      <c r="L25" s="2">
        <f>(2132.516+834.912+1421.13+612.884+1864.137+25343.771+1036.674+2402.043+209.609+102.478)*13.1305</f>
        <v>472174.802097</v>
      </c>
      <c r="M25" s="2">
        <f>1513.142*13.1305</f>
        <v>19868.311031</v>
      </c>
      <c r="N25" s="2">
        <f>39.56*13.1305</f>
        <v>519.44258</v>
      </c>
      <c r="O25" s="2">
        <f>105.679*13.1305</f>
        <v>1387.6181095</v>
      </c>
      <c r="P25" s="2">
        <f t="shared" si="1"/>
        <v>21775.3717205</v>
      </c>
      <c r="Q25">
        <v>1</v>
      </c>
      <c r="R25">
        <v>0</v>
      </c>
    </row>
    <row r="26" spans="1:18">
      <c r="A26" s="1" t="s">
        <v>42</v>
      </c>
      <c r="B26" s="2">
        <f>1127.516*14.0466</f>
        <v>15837.7662456</v>
      </c>
      <c r="C26" s="2">
        <f>-777.797*14.0466</f>
        <v>-10925.4033402</v>
      </c>
      <c r="D26" s="2">
        <f t="shared" si="0"/>
        <v>4912.3629054</v>
      </c>
      <c r="E26" s="2">
        <f>201.557*14.0466</f>
        <v>2831.1905562</v>
      </c>
      <c r="F26" s="2">
        <f>161.454*14.0466</f>
        <v>2267.8797564</v>
      </c>
      <c r="G26" s="2">
        <f>168.472*14.0466</f>
        <v>2366.4587952</v>
      </c>
      <c r="H26">
        <f>855.2*1000000</f>
        <v>855200000</v>
      </c>
      <c r="I26" s="2">
        <f>(50207.733*14.0466)-J26</f>
        <v>427508.5378854</v>
      </c>
      <c r="J26" s="2">
        <f>(1964.616+736.548+2268.021+4078.756+2452.196+379.491+1941.073+742.879+835.136+917.033+3303.116+153.849)*14.0466</f>
        <v>277739.4044724</v>
      </c>
      <c r="K26" s="2">
        <f>(46231.064*14.0466)-L26</f>
        <v>165339.3540684</v>
      </c>
      <c r="L26" s="2">
        <f>(2732.271+1560.408+676.97+1936.204+24688.559+2541.9+210.724+113.254)*14.0466</f>
        <v>484049.909514</v>
      </c>
      <c r="M26" s="2">
        <f>-824.082*14.0466</f>
        <v>-11575.5502212</v>
      </c>
      <c r="N26" s="2">
        <f>-78.825*14.0466</f>
        <v>-1107.223245</v>
      </c>
      <c r="O26" s="2">
        <f>203.386*14.0466</f>
        <v>2856.8817876</v>
      </c>
      <c r="P26" s="2">
        <f t="shared" si="1"/>
        <v>-9825.8916786</v>
      </c>
      <c r="Q26">
        <v>0</v>
      </c>
      <c r="R26">
        <v>1</v>
      </c>
    </row>
    <row r="27" spans="1:18">
      <c r="A27" s="1" t="s">
        <v>43</v>
      </c>
      <c r="B27" s="2">
        <f>2131.765*15.4829</f>
        <v>33005.9043185</v>
      </c>
      <c r="C27" s="2">
        <f>-1429.239*15.4829</f>
        <v>-22128.7645131</v>
      </c>
      <c r="D27" s="2">
        <f t="shared" si="0"/>
        <v>10877.1398054</v>
      </c>
      <c r="E27" s="2">
        <f>394.88*15.4829</f>
        <v>6113.887552</v>
      </c>
      <c r="F27" s="2">
        <f>320.808*15.4829</f>
        <v>4967.0381832</v>
      </c>
      <c r="G27" s="2">
        <f>317.491*15.4829</f>
        <v>4915.6814039</v>
      </c>
      <c r="H27">
        <f>856*1000000</f>
        <v>856000000</v>
      </c>
      <c r="I27" s="2">
        <f>(50999.518*15.4829)-J27</f>
        <v>498091.5351641</v>
      </c>
      <c r="J27" s="2">
        <f>(1782.447+420.96+2358.672+4077.217+1879.105+457.652+1982.571+931.603+960.364+930.449+2882.592+165.457)*15.4829</f>
        <v>291528.9020781</v>
      </c>
      <c r="K27" s="2">
        <f>(46994.869*15.4829)-L27</f>
        <v>196531.5873169</v>
      </c>
      <c r="L27" s="2">
        <f>(2976.464+1443.325+851.939+1940.158+24531.838+2237.581+210.475+109.628)*15.4829</f>
        <v>531085.2699232</v>
      </c>
      <c r="M27" s="2">
        <f>-1404.85*15.4829</f>
        <v>-21751.152065</v>
      </c>
      <c r="N27" s="2">
        <f>-22.258*15.4829</f>
        <v>-344.6183882</v>
      </c>
      <c r="O27" s="2">
        <f>187.894*15.4829</f>
        <v>2909.1440126</v>
      </c>
      <c r="P27" s="2">
        <f t="shared" si="1"/>
        <v>-19186.6264406</v>
      </c>
      <c r="Q27">
        <v>1</v>
      </c>
      <c r="R27">
        <v>0</v>
      </c>
    </row>
    <row r="28" spans="1:18">
      <c r="A28" s="1" t="s">
        <v>44</v>
      </c>
      <c r="B28" s="2">
        <f>979.825*16.3111</f>
        <v>15982.0235575</v>
      </c>
      <c r="C28" s="2">
        <f>-661.411*16.3111</f>
        <v>-10788.3409621</v>
      </c>
      <c r="D28" s="2">
        <f t="shared" si="0"/>
        <v>5193.6825954</v>
      </c>
      <c r="E28" s="2">
        <f>198.53*16.3111</f>
        <v>3238.242683</v>
      </c>
      <c r="F28" s="2">
        <f>165.741*16.3111</f>
        <v>2703.4180251</v>
      </c>
      <c r="G28" s="2">
        <f>164.284*16.3111</f>
        <v>2679.6527524</v>
      </c>
      <c r="H28">
        <f>859.6*1000000</f>
        <v>859600000</v>
      </c>
      <c r="I28" s="2">
        <f>(47530.201*16.3111)-J28</f>
        <v>475175.9275549</v>
      </c>
      <c r="J28" s="2">
        <f>(1943.845+474.151+1565.256+3465.113+1733.907+574.285+2001.005+978.648+852.199+871.161+3806.822+131.75)*16.3111</f>
        <v>300093.9339762</v>
      </c>
      <c r="K28" s="2">
        <f>(43525.041*16.3111)-L28</f>
        <v>169975.9668347</v>
      </c>
      <c r="L28" s="2">
        <f>(2351.429+1208.577+850.068+1333.388+23231.372+892.173+3036.339+200.818)*16.3111</f>
        <v>539965.3294204</v>
      </c>
      <c r="M28" s="2">
        <f>536.258*16.3111</f>
        <v>8746.9578638</v>
      </c>
      <c r="N28" s="2">
        <f>128.257*16.3111</f>
        <v>2092.0127527</v>
      </c>
      <c r="O28" s="2">
        <f>-254.137*16.3111</f>
        <v>-4145.2540207</v>
      </c>
      <c r="P28" s="2">
        <f t="shared" si="1"/>
        <v>6693.7165958</v>
      </c>
      <c r="Q28">
        <v>0</v>
      </c>
      <c r="R28">
        <v>1</v>
      </c>
    </row>
    <row r="29" spans="1:18">
      <c r="A29" s="1" t="s">
        <v>45</v>
      </c>
      <c r="B29" s="2">
        <f>1905.383*18.0986</f>
        <v>34484.7647638</v>
      </c>
      <c r="C29" s="2">
        <f>-1253.704*18.0986</f>
        <v>-22690.2872144</v>
      </c>
      <c r="D29" s="2">
        <f t="shared" si="0"/>
        <v>11794.4775494</v>
      </c>
      <c r="E29" s="2">
        <f>415.586*18.0986</f>
        <v>7521.5247796</v>
      </c>
      <c r="F29" s="2">
        <f>353.546*18.0986</f>
        <v>6398.6876356</v>
      </c>
      <c r="G29" s="2">
        <f>331.666*18.0986</f>
        <v>6002.6902676</v>
      </c>
      <c r="H29">
        <f>862.6*1000000</f>
        <v>862600000</v>
      </c>
      <c r="I29" s="2">
        <f>(47141.907*18.0986)-J29</f>
        <v>540604.639042</v>
      </c>
      <c r="J29" s="2">
        <f>(2080.19+515.189+1388.98+3215.432+1568.097+605.378+1619.415+870.088+825.745+875.755+3576.526+131.142)*18.0986</f>
        <v>312597.8789882</v>
      </c>
      <c r="K29" s="2">
        <f>(43128.866*18.0986)-L29</f>
        <v>158872.7504494</v>
      </c>
      <c r="L29" s="2">
        <f>(2721.17+1170.232+861.412+1316.087+22609.784+1596.63+729.534+3041.435+208.041+96.362)*18.0986</f>
        <v>621699.3437382</v>
      </c>
      <c r="M29" s="2">
        <f>978.951*18.0986</f>
        <v>17717.6425686</v>
      </c>
      <c r="N29" s="2">
        <f>24.313*18.0986</f>
        <v>440.0312618</v>
      </c>
      <c r="O29" s="2">
        <f>-234.601*18.0986</f>
        <v>-4245.9496586</v>
      </c>
      <c r="P29" s="2">
        <f t="shared" si="1"/>
        <v>13911.7241718</v>
      </c>
      <c r="Q29">
        <v>1</v>
      </c>
      <c r="R29">
        <v>0</v>
      </c>
    </row>
    <row r="30" spans="1:18">
      <c r="A30" s="1" t="s">
        <v>46</v>
      </c>
      <c r="B30" s="2">
        <f>912.645*17.6679</f>
        <v>16124.5205955</v>
      </c>
      <c r="C30" s="2">
        <f>-580.259*17.6679</f>
        <v>-10251.9579861</v>
      </c>
      <c r="D30" s="2">
        <f t="shared" si="0"/>
        <v>5872.5626094</v>
      </c>
      <c r="E30" s="2">
        <f>227.635*17.6679</f>
        <v>4021.8324165</v>
      </c>
      <c r="F30" s="2">
        <f>130.023*17.6679</f>
        <v>2297.2333617</v>
      </c>
      <c r="G30" s="2">
        <f>121.624*17.6679</f>
        <v>2148.8406696</v>
      </c>
      <c r="H30">
        <f>858.1*1000000</f>
        <v>858100000</v>
      </c>
      <c r="I30" s="2">
        <f>(45931.3*17.6679)-J30</f>
        <v>552365.7626916</v>
      </c>
      <c r="J30" s="2">
        <f>(3178.509+567.683+1120.419+2656.672+1422.39+469.524+1994.328+920.244+909.407+403.742+937.508+87.07)*17.6679</f>
        <v>259143.8525784</v>
      </c>
      <c r="K30" s="2">
        <f>(42000.562*17.6679)-L30</f>
        <v>232792.4624148</v>
      </c>
      <c r="L30" s="2">
        <f>(2101.544+1178.641+886.628+1282.672+22253.475+105.266+744.014+189.222+83.088)*17.6679</f>
        <v>509269.266945</v>
      </c>
      <c r="M30" s="2">
        <f>960.079*17.6679</f>
        <v>16962.5797641</v>
      </c>
      <c r="N30" s="2">
        <f>81.915*17.6679</f>
        <v>1447.2660285</v>
      </c>
      <c r="O30" s="2">
        <f>-168.665*17.6679</f>
        <v>-2979.9563535</v>
      </c>
      <c r="P30" s="2">
        <f t="shared" si="1"/>
        <v>15429.8894391</v>
      </c>
      <c r="Q30">
        <v>0</v>
      </c>
      <c r="R30">
        <v>1</v>
      </c>
    </row>
    <row r="31" spans="1:18">
      <c r="A31" s="1" t="s">
        <v>47</v>
      </c>
      <c r="B31" s="2">
        <f>1790.867*19.3476</f>
        <v>34648.9783692</v>
      </c>
      <c r="C31" s="2">
        <f>-1155.89*19.3476</f>
        <v>-22363.697364</v>
      </c>
      <c r="D31" s="2">
        <f t="shared" si="0"/>
        <v>12285.2810052</v>
      </c>
      <c r="E31" s="2">
        <f>485.024*19.3476</f>
        <v>9384.0503424</v>
      </c>
      <c r="F31" s="2">
        <f>275.394*19.3476</f>
        <v>5328.2129544</v>
      </c>
      <c r="G31" s="2">
        <f>245.509*19.3476</f>
        <v>4750.0099284</v>
      </c>
      <c r="H31">
        <f>862.7*1000000</f>
        <v>862700000</v>
      </c>
      <c r="I31" s="2">
        <f>(44353.402*19.3476)-J31</f>
        <v>575296.919742</v>
      </c>
      <c r="J31" s="2">
        <f>(2529.562+586.4+1812.156+2958.641+1161.055+627.373+1580.681+1086.349+947.846+448.647+780.596+99.301)*19.3476</f>
        <v>282834.9607932</v>
      </c>
      <c r="K31" s="2">
        <f>(40312.907*19.3476)-L31</f>
        <v>214187.5284096</v>
      </c>
      <c r="L31" s="2">
        <f>(1908.294+1544.168+885.003+1284.945+22614.868+109.953+616.909+201.79+76.481)*19.3476</f>
        <v>565770.4710636</v>
      </c>
      <c r="M31" s="2">
        <f>596.203*19.3476</f>
        <v>11535.0971628</v>
      </c>
      <c r="N31" s="2">
        <f>193.737*19.3476</f>
        <v>3748.3459812</v>
      </c>
      <c r="O31" s="2">
        <f>-259.012*19.3476</f>
        <v>-5011.2605712</v>
      </c>
      <c r="P31" s="2">
        <f t="shared" si="1"/>
        <v>10272.1825728</v>
      </c>
      <c r="Q31">
        <v>1</v>
      </c>
      <c r="R31">
        <v>0</v>
      </c>
    </row>
    <row r="32" spans="1:18">
      <c r="A32" s="1" t="s">
        <v>48</v>
      </c>
      <c r="B32" s="2">
        <f>849.817*21.3041</f>
        <v>18104.5863497</v>
      </c>
      <c r="C32" s="2">
        <f>-564.317*21.3041</f>
        <v>-12022.2657997</v>
      </c>
      <c r="D32" s="2">
        <f t="shared" si="0"/>
        <v>6082.32055</v>
      </c>
      <c r="E32" s="2">
        <f>281.393*21.3041</f>
        <v>5994.8246113</v>
      </c>
      <c r="F32" s="2">
        <f>216.772*21.3041</f>
        <v>4618.1323652</v>
      </c>
      <c r="G32" s="2">
        <f>197.607*21.3041</f>
        <v>4209.8392887</v>
      </c>
      <c r="H32">
        <f>862.7*1000000</f>
        <v>862700000</v>
      </c>
      <c r="I32" s="2">
        <f>(36173.583*21.3041)-J32</f>
        <v>472992.8399483</v>
      </c>
      <c r="J32" s="2">
        <f>(2003.037+545.878+2504.339+2739.669+988.133+832.494+1331.618+1354.599+929.155+463.436+279.262)*21.3041</f>
        <v>297652.789642</v>
      </c>
      <c r="K32" s="2">
        <f>(31386.196*21.3041)-L32</f>
        <v>86308.7038152</v>
      </c>
      <c r="L32" s="2">
        <f>(1810.306+1396.041+1312.201+877.301+21658.505+82.67+197.9)*21.3041</f>
        <v>582345.9543884</v>
      </c>
      <c r="M32" s="2">
        <v>4711.32913556667</v>
      </c>
      <c r="N32" s="2">
        <v>810.685178733333</v>
      </c>
      <c r="O32" s="2">
        <v>-1422.77619553333</v>
      </c>
      <c r="P32" s="2">
        <f t="shared" si="1"/>
        <v>4099.23811876667</v>
      </c>
      <c r="Q32">
        <v>0</v>
      </c>
      <c r="R32">
        <v>1</v>
      </c>
    </row>
    <row r="33" spans="1:18">
      <c r="A33" s="1" t="s">
        <v>49</v>
      </c>
      <c r="B33" s="2">
        <f>1705.64*19.0434</f>
        <v>32481.184776</v>
      </c>
      <c r="C33" s="2">
        <f>-1131.871*19.0434</f>
        <v>-21554.6722014</v>
      </c>
      <c r="D33" s="2">
        <f t="shared" si="0"/>
        <v>10926.5125746</v>
      </c>
      <c r="E33" s="2">
        <f>522.969*19.0434</f>
        <v>9959.1078546</v>
      </c>
      <c r="F33" s="2">
        <f>420.186*19.0434</f>
        <v>8001.7700724</v>
      </c>
      <c r="G33" s="2">
        <f>368.456*19.0434</f>
        <v>7016.6549904</v>
      </c>
      <c r="H33">
        <f>870.5*1000000</f>
        <v>870500000</v>
      </c>
      <c r="I33" s="2">
        <f>(45351.781*19.0434)-J33</f>
        <v>576151.5160704</v>
      </c>
      <c r="J33" s="2">
        <f>(3007.269+466.573+2497.125+3208.862+896.855+949.95+1580.949+1119.074+660.795+437.243+160.295+112.135)*19.0434</f>
        <v>287500.590225</v>
      </c>
      <c r="K33" s="2">
        <f>(41492.474*19.0434)-L33</f>
        <v>211089.1762458</v>
      </c>
      <c r="L33" s="2">
        <f>(2397.403+1582.847+957.418+971.646+24044.281+85.65+120.851+192.255+55.486)*19.0434</f>
        <v>579068.6031258</v>
      </c>
      <c r="M33" s="2">
        <f>620.836*19.0434</f>
        <v>11822.8282824</v>
      </c>
      <c r="N33" s="2">
        <f>-13.925*19.0434</f>
        <v>-265.179345</v>
      </c>
      <c r="O33" s="2">
        <f>-347.741*19.0434</f>
        <v>-6622.1709594</v>
      </c>
      <c r="P33" s="2">
        <f t="shared" si="1"/>
        <v>4935.477978</v>
      </c>
      <c r="Q33">
        <v>1</v>
      </c>
      <c r="R33">
        <v>0</v>
      </c>
    </row>
    <row r="34" spans="1:18">
      <c r="A34" s="1" t="s">
        <v>50</v>
      </c>
      <c r="B34" s="2">
        <f>1037.756*17.8032</f>
        <v>18475.3776192</v>
      </c>
      <c r="C34" s="2">
        <f>-724.291*17.8032</f>
        <v>-12894.6975312</v>
      </c>
      <c r="D34" s="2">
        <f t="shared" si="0"/>
        <v>5580.680088</v>
      </c>
      <c r="E34" s="2">
        <f>290.712*17.8032</f>
        <v>5175.6038784</v>
      </c>
      <c r="F34" s="2">
        <f>236.555*17.8032</f>
        <v>4211.435976</v>
      </c>
      <c r="G34" s="2">
        <f>208.598*17.8032</f>
        <v>3713.7119136</v>
      </c>
      <c r="H34">
        <f>895.7*1000000</f>
        <v>895700000</v>
      </c>
      <c r="I34" s="2">
        <f>(52478.963*17.8032)-J34</f>
        <v>636606.3449136</v>
      </c>
      <c r="J34" s="2">
        <f>(4233.278+571.405+2424.849+3639.215+341.542+1079.256+1636.619+1215.293+806.696+521.063+153.133+98.641)*17.8032</f>
        <v>297687.129168</v>
      </c>
      <c r="K34" s="2">
        <f>(47994.135*17.8032)-L34</f>
        <v>187655.3239248</v>
      </c>
      <c r="L34" s="2">
        <f>(2536.285+1757.081+983.407+1048.993+28304.921+2354.568+91.611+112.754+200.39+63.586)*17.8032</f>
        <v>666793.8603072</v>
      </c>
      <c r="M34" s="2">
        <f>1547.848*17.8032</f>
        <v>27556.6475136</v>
      </c>
      <c r="N34" s="2">
        <f>-30.229*17.8032</f>
        <v>-538.1729328</v>
      </c>
      <c r="O34" s="2">
        <f>-32.265*17.8032</f>
        <v>-574.420248</v>
      </c>
      <c r="P34" s="2">
        <f t="shared" si="1"/>
        <v>26444.0543328</v>
      </c>
      <c r="Q34">
        <v>0</v>
      </c>
      <c r="R34">
        <v>1</v>
      </c>
    </row>
    <row r="35" spans="1:18">
      <c r="A35" s="1" t="s">
        <v>51</v>
      </c>
      <c r="B35" s="2">
        <f>2230.765*16.3712</f>
        <v>36520.299968</v>
      </c>
      <c r="C35" s="2">
        <f>-1550.87*16.3712</f>
        <v>-25389.602944</v>
      </c>
      <c r="D35" s="2">
        <f t="shared" si="0"/>
        <v>11130.697024</v>
      </c>
      <c r="E35" s="2">
        <f>637.414*16.3712</f>
        <v>10435.2320768</v>
      </c>
      <c r="F35" s="2">
        <f>522.996*16.3712</f>
        <v>8562.0721152</v>
      </c>
      <c r="G35" s="2">
        <f>442.466*16.3712</f>
        <v>7243.6993792</v>
      </c>
      <c r="H35">
        <f>900.4*1000000</f>
        <v>900400000</v>
      </c>
      <c r="I35" s="2">
        <f>(53534.832*16.3712)-J35</f>
        <v>614411.3651968</v>
      </c>
      <c r="J35" s="2">
        <f>(3351.702+536.259+2358.97+3804.627+639.189+1115.558+1185.848+1376.668+835.899+517.162+148.964+133.972)*16.3712</f>
        <v>262018.0764416</v>
      </c>
      <c r="K35" s="2">
        <f>(48726.203*16.3712)-L35</f>
        <v>180764.2091776</v>
      </c>
      <c r="L35" s="2">
        <f>(2736.066+1296.206+978.911+690.615+29109.428+2386.18+90.125+128.838+227.828+40.408)*16.3712</f>
        <v>616942.205376</v>
      </c>
      <c r="M35" s="2">
        <f>761.428*16.3712</f>
        <v>12465.4900736</v>
      </c>
      <c r="N35" s="2">
        <f>-59.615*16.3712</f>
        <v>-975.969088</v>
      </c>
      <c r="O35" s="2">
        <f>37.523*16.3712</f>
        <v>614.2965376</v>
      </c>
      <c r="P35" s="2">
        <f t="shared" si="1"/>
        <v>12103.8175232</v>
      </c>
      <c r="Q35">
        <v>1</v>
      </c>
      <c r="R35">
        <v>0</v>
      </c>
    </row>
    <row r="36" spans="1:18">
      <c r="A36" s="1" t="s">
        <v>52</v>
      </c>
      <c r="B36" s="2">
        <f>1225.13*18.5875</f>
        <v>22772.103875</v>
      </c>
      <c r="C36" s="2">
        <f>-860.809*18.5875</f>
        <v>-16000.2872875</v>
      </c>
      <c r="D36" s="2">
        <f t="shared" si="0"/>
        <v>6771.8165875</v>
      </c>
      <c r="E36" s="2">
        <f>334.404*18.5875</f>
        <v>6215.73435</v>
      </c>
      <c r="F36" s="2">
        <f>282.897*18.5875</f>
        <v>5258.3479875</v>
      </c>
      <c r="G36" s="2">
        <f>252.434*18.5875</f>
        <v>4692.116975</v>
      </c>
      <c r="H36">
        <f>922.9*1000000</f>
        <v>922900000</v>
      </c>
      <c r="I36" s="2">
        <f>(51818.127*18.5875)-J36</f>
        <v>683725.313775</v>
      </c>
      <c r="J36" s="2">
        <f>(3356.259+574.521+1690.036+3608.316+604.511+968.597+1201.602+1395.766+911.48+445.672+153.786+123.435)*18.5875</f>
        <v>279444.1218375</v>
      </c>
      <c r="K36" s="2">
        <f>(47051.929*18.5875)-L36</f>
        <v>203003.1582</v>
      </c>
      <c r="L36" s="2">
        <f>(2246.115+1169.314+968.917+730.17+27966.066+2549.264+133.307+131.74+197.244+38.304)*18.5875</f>
        <v>671574.5720875</v>
      </c>
      <c r="M36" s="2">
        <f>53.418*18.5875</f>
        <v>992.907075</v>
      </c>
      <c r="N36" s="2">
        <f>5.292*18.5875</f>
        <v>98.36505</v>
      </c>
      <c r="O36" s="2">
        <f>-121.852*18.5875</f>
        <v>-2264.92405</v>
      </c>
      <c r="P36" s="2">
        <f t="shared" si="1"/>
        <v>-1173.651925</v>
      </c>
      <c r="Q36">
        <v>0</v>
      </c>
      <c r="R36">
        <v>1</v>
      </c>
    </row>
    <row r="37" spans="1:15">
      <c r="A37" s="1"/>
      <c r="M37" s="2"/>
      <c r="N37" s="2"/>
      <c r="O37" s="2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2017-12-27T17:10:00Z</dcterms:created>
  <dcterms:modified xsi:type="dcterms:W3CDTF">2018-01-11T19:09:03Z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