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<sst xmlns="http://schemas.openxmlformats.org/spreadsheetml/2006/main" count="45">
  <si>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</si>
  <si>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</si>
  <si>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</si>
  <si>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</si>
  <si>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</si>
  <si>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</si>
  <si>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</si>
  <si>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</si>
  <si>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</si>
  <si>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</si>
  <si>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</si>
  <si>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</si>
  <si>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</si>
  <si>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</si>
  <si>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</si>
  <si>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</si>
  <si>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</si>
  <si>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</si>
  <si>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28-02-2004</t>
  </si>
  <si>
    <t>25-08-2004</t>
  </si>
  <si>
    <t>24-08-2005</t>
  </si>
  <si>
    <t>29-02-2006</t>
  </si>
  <si>
    <t>30-08-2006</t>
  </si>
  <si>
    <t>28-02-2007</t>
  </si>
  <si>
    <t>29-08-2007</t>
  </si>
  <si>
    <t>27-02-2008</t>
  </si>
  <si>
    <t>27-08-2008</t>
  </si>
  <si>
    <t>26-02-2009</t>
  </si>
  <si>
    <t>26-08-2009</t>
  </si>
  <si>
    <t>25-02-2010</t>
  </si>
  <si>
    <t>25-08-2010</t>
  </si>
  <si>
    <t>24-08-2011</t>
  </si>
  <si>
    <t>23-02-2012</t>
  </si>
  <si>
    <t>22-08-2012</t>
  </si>
  <si>
    <t>27-02-2013</t>
  </si>
  <si>
    <t>21-08-2013</t>
  </si>
  <si>
    <t>27-02-2014</t>
  </si>
  <si>
    <t>27-08-2014</t>
  </si>
  <si>
    <t>24-02-2015</t>
  </si>
  <si>
    <t>25-08-2015</t>
  </si>
  <si>
    <t>23-02-2016</t>
  </si>
  <si>
    <t>15-09-2016</t>
  </si>
  <si>
    <t>21-02-2017</t>
  </si>
  <si>
    <t>22-08-2017</t>
  </si>
  <si>
    <t>20-02-2018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</si>
</sst>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8"/>
  <sheetViews>
    <sheetView tabSelected="1" workbookViewId="0">
      <selection activeCell="A1" sqref="A1:R28"/>
    </sheetView>
  </sheetViews>
  <sheetFormatPr defaultColWidth="9" defaultRowHeight="15"/>
  <cols>
    <col min="1" max="1" width="11.1428571428571" customWidth="1"/>
    <col min="2" max="2" width="9.42857142857143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17363</v>
      </c>
      <c r="C2">
        <f t="shared" ref="C2:C7" si="0">D2-B2</f>
        <v>-15425</v>
      </c>
      <c r="D2">
        <f>1938</f>
        <v>1938</v>
      </c>
      <c r="E2">
        <f>1328</f>
        <v>1328</v>
      </c>
      <c r="F2">
        <v>723</v>
      </c>
      <c r="G2">
        <v>723</v>
      </c>
      <c r="H2">
        <f>202.7*1000000</f>
        <v>202700000</v>
      </c>
      <c r="I2">
        <f>23204-J2</f>
        <v>13188</v>
      </c>
      <c r="J2">
        <f>1097+5134+3721+64</f>
        <v>10016</v>
      </c>
      <c r="K2">
        <f>14464-L2</f>
        <v>8170</v>
      </c>
      <c r="L2">
        <f>5729+565</f>
        <v>6294</v>
      </c>
      <c r="M2">
        <v>381</v>
      </c>
      <c r="N2">
        <v>-1572</v>
      </c>
      <c r="O2">
        <v>588</v>
      </c>
      <c r="P2">
        <f t="shared" ref="P2:P14" si="1">SUM(M2:O2)</f>
        <v>-603</v>
      </c>
      <c r="Q2">
        <v>0</v>
      </c>
      <c r="R2">
        <v>1</v>
      </c>
    </row>
    <row r="3" spans="1:18">
      <c r="A3" t="s">
        <v>19</v>
      </c>
      <c r="B3">
        <v>35278</v>
      </c>
      <c r="C3">
        <f t="shared" si="0"/>
        <v>-31199</v>
      </c>
      <c r="D3">
        <v>4079</v>
      </c>
      <c r="E3">
        <v>2886</v>
      </c>
      <c r="F3">
        <v>1626</v>
      </c>
      <c r="G3">
        <v>1626</v>
      </c>
      <c r="H3">
        <f>202.7*1000000</f>
        <v>202700000</v>
      </c>
      <c r="I3">
        <f>23225-J3</f>
        <v>13381</v>
      </c>
      <c r="J3">
        <f>1261+98+4756+3729</f>
        <v>9844</v>
      </c>
      <c r="K3">
        <f>14119-L3</f>
        <v>7587</v>
      </c>
      <c r="L3">
        <f>5906+626</f>
        <v>6532</v>
      </c>
      <c r="M3">
        <v>2712</v>
      </c>
      <c r="N3">
        <v>-2409</v>
      </c>
      <c r="O3">
        <v>-14</v>
      </c>
      <c r="P3">
        <f t="shared" si="1"/>
        <v>289</v>
      </c>
      <c r="Q3">
        <v>1</v>
      </c>
      <c r="R3">
        <v>0</v>
      </c>
    </row>
    <row r="4" spans="1:18">
      <c r="A4" t="s">
        <v>20</v>
      </c>
      <c r="B4">
        <v>42546</v>
      </c>
      <c r="C4">
        <f t="shared" si="0"/>
        <v>-37701</v>
      </c>
      <c r="D4">
        <v>4845</v>
      </c>
      <c r="E4">
        <v>3523</v>
      </c>
      <c r="F4">
        <v>2340</v>
      </c>
      <c r="G4">
        <v>2340</v>
      </c>
      <c r="H4">
        <f>200*1000000</f>
        <v>200000000</v>
      </c>
      <c r="I4">
        <f>28898-J4</f>
        <v>15868</v>
      </c>
      <c r="J4">
        <f>1043+128+6164+5695</f>
        <v>13030</v>
      </c>
      <c r="K4">
        <f>19444-L4</f>
        <v>8702</v>
      </c>
      <c r="L4">
        <f>8419+1438+885</f>
        <v>10742</v>
      </c>
      <c r="M4">
        <v>3249</v>
      </c>
      <c r="N4">
        <v>-2880</v>
      </c>
      <c r="O4">
        <v>-1436</v>
      </c>
      <c r="P4">
        <f t="shared" si="1"/>
        <v>-1067</v>
      </c>
      <c r="Q4">
        <v>1</v>
      </c>
      <c r="R4">
        <v>0</v>
      </c>
    </row>
    <row r="5" spans="1:18">
      <c r="A5" t="s">
        <v>21</v>
      </c>
      <c r="B5">
        <v>26172</v>
      </c>
      <c r="C5">
        <v>-23224</v>
      </c>
      <c r="D5">
        <v>4846</v>
      </c>
      <c r="E5">
        <v>2132</v>
      </c>
      <c r="F5">
        <v>1157</v>
      </c>
      <c r="G5">
        <v>1157</v>
      </c>
      <c r="H5">
        <f>199.6*1000000</f>
        <v>199600000</v>
      </c>
      <c r="I5">
        <f>32472-J5</f>
        <v>17545</v>
      </c>
      <c r="J5">
        <f>1248+89+7658+5932</f>
        <v>14927</v>
      </c>
      <c r="K5">
        <f>23522-L5</f>
        <v>12459</v>
      </c>
      <c r="L5">
        <f>10190+873</f>
        <v>11063</v>
      </c>
      <c r="M5">
        <v>1475</v>
      </c>
      <c r="N5">
        <v>-2690</v>
      </c>
      <c r="O5">
        <v>-480</v>
      </c>
      <c r="P5">
        <f t="shared" si="1"/>
        <v>-1695</v>
      </c>
      <c r="Q5">
        <v>0</v>
      </c>
      <c r="R5">
        <v>1</v>
      </c>
    </row>
    <row r="6" spans="1:18">
      <c r="A6" t="s">
        <v>22</v>
      </c>
      <c r="B6">
        <v>54105</v>
      </c>
      <c r="C6">
        <v>-48015</v>
      </c>
      <c r="D6">
        <v>4847</v>
      </c>
      <c r="E6">
        <v>4458</v>
      </c>
      <c r="F6">
        <v>2485</v>
      </c>
      <c r="G6">
        <v>2247</v>
      </c>
      <c r="H6">
        <f>243428*1000</f>
        <v>243428000</v>
      </c>
      <c r="I6">
        <f>37560-J6</f>
        <v>19321</v>
      </c>
      <c r="J6">
        <f>1630+8248+108+7535+718</f>
        <v>18239</v>
      </c>
      <c r="K6">
        <f>26773-L6</f>
        <v>9126</v>
      </c>
      <c r="L6">
        <f>3916+1118+10620+925+127+941</f>
        <v>17647</v>
      </c>
      <c r="M6">
        <v>4255</v>
      </c>
      <c r="N6">
        <v>-4842</v>
      </c>
      <c r="O6">
        <v>1286</v>
      </c>
      <c r="P6">
        <f t="shared" si="1"/>
        <v>699</v>
      </c>
      <c r="Q6">
        <v>1</v>
      </c>
      <c r="R6">
        <v>0</v>
      </c>
    </row>
    <row r="7" spans="1:18">
      <c r="A7" t="s">
        <v>23</v>
      </c>
      <c r="B7">
        <v>33388</v>
      </c>
      <c r="C7">
        <f t="shared" si="0"/>
        <v>-29944</v>
      </c>
      <c r="D7">
        <v>3444</v>
      </c>
      <c r="E7">
        <v>2499</v>
      </c>
      <c r="F7">
        <v>1599</v>
      </c>
      <c r="G7">
        <v>1599</v>
      </c>
      <c r="H7">
        <f>(185.3+14.5+19.2)*1000000</f>
        <v>219000000</v>
      </c>
      <c r="I7">
        <f>41268-J7</f>
        <v>21817</v>
      </c>
      <c r="J7">
        <f>1686+8591+215+8177+782</f>
        <v>19451</v>
      </c>
      <c r="K7">
        <f>28727-L7</f>
        <v>14359</v>
      </c>
      <c r="L7">
        <f>1022+12301+31+1014</f>
        <v>14368</v>
      </c>
      <c r="M7">
        <v>1987</v>
      </c>
      <c r="N7">
        <v>-2874</v>
      </c>
      <c r="O7">
        <v>322</v>
      </c>
      <c r="P7">
        <f t="shared" si="1"/>
        <v>-565</v>
      </c>
      <c r="Q7">
        <v>0</v>
      </c>
      <c r="R7">
        <v>1</v>
      </c>
    </row>
    <row r="8" spans="1:18">
      <c r="A8" t="s">
        <v>24</v>
      </c>
      <c r="B8">
        <v>66214</v>
      </c>
      <c r="C8">
        <v>-59269</v>
      </c>
      <c r="D8">
        <f t="shared" ref="D8:D28" si="2">B8+C8</f>
        <v>6945</v>
      </c>
      <c r="E8">
        <v>5024</v>
      </c>
      <c r="F8">
        <v>3154</v>
      </c>
      <c r="G8">
        <v>2776</v>
      </c>
      <c r="H8">
        <f>203.6*1000000</f>
        <v>203600000</v>
      </c>
      <c r="I8">
        <f>45534-J8</f>
        <v>23445</v>
      </c>
      <c r="J8">
        <f>2788+8883+140+9436+842</f>
        <v>22089</v>
      </c>
      <c r="K8">
        <f>32067-L8</f>
        <v>9789</v>
      </c>
      <c r="L8">
        <f>6449+940+12526+1154+13+1196</f>
        <v>22278</v>
      </c>
      <c r="M8">
        <v>3879</v>
      </c>
      <c r="N8">
        <v>-4748</v>
      </c>
      <c r="O8">
        <v>323</v>
      </c>
      <c r="P8">
        <f t="shared" si="1"/>
        <v>-546</v>
      </c>
      <c r="Q8">
        <v>1</v>
      </c>
      <c r="R8">
        <v>0</v>
      </c>
    </row>
    <row r="9" spans="1:18">
      <c r="A9" t="s">
        <v>25</v>
      </c>
      <c r="B9">
        <v>31670</v>
      </c>
      <c r="C9">
        <v>-28341</v>
      </c>
      <c r="D9">
        <f t="shared" si="2"/>
        <v>3329</v>
      </c>
      <c r="E9">
        <v>2300</v>
      </c>
      <c r="F9">
        <v>-333</v>
      </c>
      <c r="G9">
        <v>-500</v>
      </c>
      <c r="H9">
        <f>185.3*1000000</f>
        <v>185300000</v>
      </c>
      <c r="I9">
        <f>47768-J9</f>
        <v>27620</v>
      </c>
      <c r="J9">
        <f>2568+8862+120+7717+881</f>
        <v>20148</v>
      </c>
      <c r="K9">
        <f>35465-L9</f>
        <v>19537</v>
      </c>
      <c r="L9">
        <f>1049+11267+91+2469+1052</f>
        <v>15928</v>
      </c>
      <c r="M9">
        <v>-252</v>
      </c>
      <c r="N9">
        <v>-3041</v>
      </c>
      <c r="O9">
        <v>-575</v>
      </c>
      <c r="P9">
        <f t="shared" si="1"/>
        <v>-3868</v>
      </c>
      <c r="Q9">
        <v>0</v>
      </c>
      <c r="R9">
        <v>1</v>
      </c>
    </row>
    <row r="10" spans="1:18">
      <c r="A10" t="s">
        <v>26</v>
      </c>
      <c r="B10">
        <v>55927</v>
      </c>
      <c r="C10">
        <v>-51849</v>
      </c>
      <c r="D10">
        <f t="shared" si="2"/>
        <v>4078</v>
      </c>
      <c r="E10">
        <v>2992</v>
      </c>
      <c r="F10">
        <v>-513</v>
      </c>
      <c r="G10">
        <v>-870</v>
      </c>
      <c r="H10">
        <f>203.6*1000000</f>
        <v>203600000</v>
      </c>
      <c r="I10">
        <f>37932-J10</f>
        <v>16640</v>
      </c>
      <c r="J10">
        <f>4440+3148+6821+111+6442+330</f>
        <v>21292</v>
      </c>
      <c r="K10">
        <f>27516-L10</f>
        <v>10365</v>
      </c>
      <c r="L10">
        <f>2357+3496+586+9160+905+98+549</f>
        <v>17151</v>
      </c>
      <c r="M10">
        <v>2867</v>
      </c>
      <c r="N10">
        <v>1056</v>
      </c>
      <c r="O10">
        <v>-2074</v>
      </c>
      <c r="P10">
        <f t="shared" si="1"/>
        <v>1849</v>
      </c>
      <c r="Q10">
        <v>1</v>
      </c>
      <c r="R10">
        <v>0</v>
      </c>
    </row>
    <row r="11" spans="1:18">
      <c r="A11" t="s">
        <v>27</v>
      </c>
      <c r="B11">
        <v>28619</v>
      </c>
      <c r="C11">
        <v>-26824</v>
      </c>
      <c r="D11">
        <f t="shared" si="2"/>
        <v>1795</v>
      </c>
      <c r="E11">
        <v>1155</v>
      </c>
      <c r="F11">
        <v>1224</v>
      </c>
      <c r="G11">
        <v>1155</v>
      </c>
      <c r="H11">
        <f>207*1000000</f>
        <v>207000000</v>
      </c>
      <c r="I11">
        <f>35235-J11</f>
        <v>17247</v>
      </c>
      <c r="J11">
        <f>1478+3160+6834+97+6052+367</f>
        <v>17988</v>
      </c>
      <c r="K11">
        <f>24635-L11</f>
        <v>13344</v>
      </c>
      <c r="L11">
        <f>640+608+9387+83+573</f>
        <v>11291</v>
      </c>
      <c r="M11">
        <v>1518</v>
      </c>
      <c r="N11">
        <v>100</v>
      </c>
      <c r="O11">
        <v>-915</v>
      </c>
      <c r="P11">
        <f t="shared" si="1"/>
        <v>703</v>
      </c>
      <c r="Q11">
        <v>0</v>
      </c>
      <c r="R11">
        <v>1</v>
      </c>
    </row>
    <row r="12" spans="1:18">
      <c r="A12" t="s">
        <v>28</v>
      </c>
      <c r="B12">
        <v>52219</v>
      </c>
      <c r="C12">
        <v>-48454</v>
      </c>
      <c r="D12">
        <f t="shared" si="2"/>
        <v>3765</v>
      </c>
      <c r="E12">
        <v>2453</v>
      </c>
      <c r="F12">
        <v>1679</v>
      </c>
      <c r="G12">
        <v>1518</v>
      </c>
      <c r="H12">
        <f>208*1000000</f>
        <v>208000000</v>
      </c>
      <c r="I12">
        <f>33315-J12</f>
        <v>14584</v>
      </c>
      <c r="J12">
        <f>1544+950+4655+5633+154+5592+203</f>
        <v>18731</v>
      </c>
      <c r="K12">
        <f>22954-L12</f>
        <v>9708</v>
      </c>
      <c r="L12">
        <f>459+2139+501+8342+996+157+652</f>
        <v>13246</v>
      </c>
      <c r="M12">
        <v>4053</v>
      </c>
      <c r="N12">
        <v>64</v>
      </c>
      <c r="O12">
        <v>-1146</v>
      </c>
      <c r="P12">
        <f t="shared" si="1"/>
        <v>2971</v>
      </c>
      <c r="Q12">
        <v>1</v>
      </c>
      <c r="R12">
        <v>0</v>
      </c>
    </row>
    <row r="13" spans="1:18">
      <c r="A13" t="s">
        <v>29</v>
      </c>
      <c r="B13">
        <v>25683</v>
      </c>
      <c r="C13">
        <v>-23564</v>
      </c>
      <c r="D13">
        <f t="shared" si="2"/>
        <v>2119</v>
      </c>
      <c r="E13">
        <v>1441</v>
      </c>
      <c r="F13">
        <v>1363</v>
      </c>
      <c r="G13">
        <v>1012</v>
      </c>
      <c r="H13">
        <f>204*1000000</f>
        <v>204000000</v>
      </c>
      <c r="I13">
        <f>33287-J13</f>
        <v>17293</v>
      </c>
      <c r="J13">
        <f>816+2786+6437+110+5614+231</f>
        <v>15994</v>
      </c>
      <c r="K13">
        <f>21805-L13</f>
        <v>10521</v>
      </c>
      <c r="L13">
        <f>461+419+9594+134+676</f>
        <v>11284</v>
      </c>
      <c r="M13">
        <v>820</v>
      </c>
      <c r="N13">
        <v>-1105</v>
      </c>
      <c r="O13">
        <v>-1558</v>
      </c>
      <c r="P13">
        <f t="shared" si="1"/>
        <v>-1843</v>
      </c>
      <c r="Q13">
        <v>0</v>
      </c>
      <c r="R13">
        <v>1</v>
      </c>
    </row>
    <row r="14" spans="1:18">
      <c r="A14" t="s">
        <v>30</v>
      </c>
      <c r="B14">
        <v>53438</v>
      </c>
      <c r="C14">
        <v>-48771</v>
      </c>
      <c r="D14">
        <f t="shared" si="2"/>
        <v>4667</v>
      </c>
      <c r="E14">
        <v>3288</v>
      </c>
      <c r="F14">
        <v>2262</v>
      </c>
      <c r="G14">
        <v>2021</v>
      </c>
      <c r="H14">
        <f>204*1000000</f>
        <v>204000000</v>
      </c>
      <c r="I14">
        <f>34223-J14</f>
        <v>19494</v>
      </c>
      <c r="J14">
        <f>477+747+3199+3165+126+6809+206</f>
        <v>14729</v>
      </c>
      <c r="K14">
        <f>22277-L14</f>
        <v>6465</v>
      </c>
      <c r="L14">
        <f>262+3124+335+10081+1042+312+656</f>
        <v>15812</v>
      </c>
      <c r="M14">
        <v>2132</v>
      </c>
      <c r="N14">
        <v>-995</v>
      </c>
      <c r="O14">
        <v>-1584</v>
      </c>
      <c r="P14">
        <f t="shared" si="1"/>
        <v>-447</v>
      </c>
      <c r="Q14">
        <v>1</v>
      </c>
      <c r="R14">
        <v>0</v>
      </c>
    </row>
    <row r="15" spans="1:18">
      <c r="A15" t="s">
        <v>31</v>
      </c>
      <c r="B15">
        <v>64667</v>
      </c>
      <c r="C15">
        <v>-58646</v>
      </c>
      <c r="D15">
        <f t="shared" si="2"/>
        <v>6021</v>
      </c>
      <c r="E15">
        <v>4526</v>
      </c>
      <c r="F15">
        <v>2908</v>
      </c>
      <c r="G15">
        <v>2562</v>
      </c>
      <c r="H15">
        <f>202.3*1000000</f>
        <v>202300000</v>
      </c>
      <c r="I15">
        <f>36533-J15</f>
        <v>17901</v>
      </c>
      <c r="J15">
        <f>3531+7130+138+7589+244</f>
        <v>18632</v>
      </c>
      <c r="K15">
        <f>23517-L15</f>
        <v>9764</v>
      </c>
      <c r="L15">
        <f>1206+524+10116+1358+549</f>
        <v>13753</v>
      </c>
      <c r="M15">
        <v>3962</v>
      </c>
      <c r="N15">
        <v>-1600</v>
      </c>
      <c r="O15">
        <v>-1620</v>
      </c>
      <c r="P15">
        <v>742</v>
      </c>
      <c r="Q15">
        <v>1</v>
      </c>
      <c r="R15">
        <v>0</v>
      </c>
    </row>
    <row r="16" spans="1:18">
      <c r="A16" t="s">
        <v>32</v>
      </c>
      <c r="B16">
        <v>38385</v>
      </c>
      <c r="C16">
        <v>-34930</v>
      </c>
      <c r="D16">
        <f t="shared" si="2"/>
        <v>3455</v>
      </c>
      <c r="E16">
        <v>2621</v>
      </c>
      <c r="F16">
        <v>1534</v>
      </c>
      <c r="G16">
        <v>1350</v>
      </c>
      <c r="H16">
        <f>202.8*1000000</f>
        <v>202800000</v>
      </c>
      <c r="I16">
        <f>40415-J16</f>
        <v>19865</v>
      </c>
      <c r="J16">
        <f>2203+8860+192+9295</f>
        <v>20550</v>
      </c>
      <c r="K16">
        <f>25461-L16</f>
        <v>11858</v>
      </c>
      <c r="L16">
        <f>860+12195+548</f>
        <v>13603</v>
      </c>
      <c r="M16">
        <v>170</v>
      </c>
      <c r="N16">
        <v>-901</v>
      </c>
      <c r="O16">
        <v>-668</v>
      </c>
      <c r="P16">
        <f t="shared" ref="P16:P28" si="3">SUM(M16:O16)</f>
        <v>-1399</v>
      </c>
      <c r="Q16">
        <v>0</v>
      </c>
      <c r="R16">
        <v>1</v>
      </c>
    </row>
    <row r="17" spans="1:18">
      <c r="A17" t="s">
        <v>33</v>
      </c>
      <c r="B17">
        <v>80830</v>
      </c>
      <c r="C17">
        <v>-73402</v>
      </c>
      <c r="D17">
        <f t="shared" si="2"/>
        <v>7428</v>
      </c>
      <c r="E17">
        <v>5638</v>
      </c>
      <c r="F17">
        <v>3388</v>
      </c>
      <c r="G17">
        <v>2980</v>
      </c>
      <c r="H17">
        <f>203.6*1000000</f>
        <v>203600000</v>
      </c>
      <c r="I17">
        <f>45698-J17</f>
        <v>23465</v>
      </c>
      <c r="J17">
        <f>3545+9275+195+9218</f>
        <v>22233</v>
      </c>
      <c r="K17">
        <f>29809-L17</f>
        <v>10699</v>
      </c>
      <c r="L17">
        <f>3649+468+12234+1652+1107</f>
        <v>19110</v>
      </c>
      <c r="M17">
        <v>4380</v>
      </c>
      <c r="N17">
        <v>-3373</v>
      </c>
      <c r="O17">
        <v>-1104</v>
      </c>
      <c r="P17">
        <f t="shared" si="3"/>
        <v>-97</v>
      </c>
      <c r="Q17">
        <v>1</v>
      </c>
      <c r="R17">
        <v>0</v>
      </c>
    </row>
    <row r="18" spans="1:18">
      <c r="A18" t="s">
        <v>34</v>
      </c>
      <c r="B18">
        <v>45262</v>
      </c>
      <c r="C18">
        <v>-41310</v>
      </c>
      <c r="D18">
        <f t="shared" si="2"/>
        <v>3952</v>
      </c>
      <c r="E18">
        <v>2939</v>
      </c>
      <c r="F18">
        <v>1787</v>
      </c>
      <c r="G18">
        <v>1579</v>
      </c>
      <c r="H18">
        <f>203.4*1000000</f>
        <v>203400000</v>
      </c>
      <c r="I18">
        <f>48046-J18</f>
        <v>24444</v>
      </c>
      <c r="J18">
        <f>630+2590+10202+295+8851+1034</f>
        <v>23602</v>
      </c>
      <c r="K18">
        <f>31552-L18</f>
        <v>16079</v>
      </c>
      <c r="L18">
        <f>197+543+13467+1266</f>
        <v>15473</v>
      </c>
      <c r="M18">
        <v>1101</v>
      </c>
      <c r="N18">
        <v>-1969</v>
      </c>
      <c r="O18">
        <v>-171</v>
      </c>
      <c r="P18">
        <f t="shared" si="3"/>
        <v>-1039</v>
      </c>
      <c r="Q18">
        <v>0</v>
      </c>
      <c r="R18">
        <v>1</v>
      </c>
    </row>
    <row r="19" spans="1:18">
      <c r="A19" t="s">
        <v>35</v>
      </c>
      <c r="B19">
        <v>92382</v>
      </c>
      <c r="C19">
        <v>-84225</v>
      </c>
      <c r="D19">
        <f t="shared" si="2"/>
        <v>8157</v>
      </c>
      <c r="E19">
        <v>6087</v>
      </c>
      <c r="F19">
        <v>3686</v>
      </c>
      <c r="G19">
        <v>3294</v>
      </c>
      <c r="H19">
        <f>202.2*1000000</f>
        <v>202200000</v>
      </c>
      <c r="I19">
        <f>51636-J19</f>
        <v>26316</v>
      </c>
      <c r="J19">
        <f>94+1844+10437+439+11492+1014</f>
        <v>25320</v>
      </c>
      <c r="K19">
        <f>33923-L19</f>
        <v>11160</v>
      </c>
      <c r="L19">
        <f>46+4995+453+14082+1689+1498</f>
        <v>22763</v>
      </c>
      <c r="M19">
        <v>4137</v>
      </c>
      <c r="N19">
        <v>-3792</v>
      </c>
      <c r="O19">
        <v>-3863</v>
      </c>
      <c r="P19">
        <f t="shared" si="3"/>
        <v>-3518</v>
      </c>
      <c r="Q19">
        <v>1</v>
      </c>
      <c r="R19">
        <v>0</v>
      </c>
    </row>
    <row r="20" spans="1:18">
      <c r="A20" t="s">
        <v>36</v>
      </c>
      <c r="B20">
        <v>51357</v>
      </c>
      <c r="C20">
        <v>-47136</v>
      </c>
      <c r="D20">
        <f t="shared" si="2"/>
        <v>4221</v>
      </c>
      <c r="E20">
        <v>3166</v>
      </c>
      <c r="F20">
        <v>1931</v>
      </c>
      <c r="G20">
        <v>1734</v>
      </c>
      <c r="H20">
        <f>200.9*1000000</f>
        <v>200900000</v>
      </c>
      <c r="I20">
        <f>56409-J20</f>
        <v>28837</v>
      </c>
      <c r="J20">
        <f>1693+11692+340+12506+1341</f>
        <v>27572</v>
      </c>
      <c r="K20">
        <f>37570-L20</f>
        <v>19435</v>
      </c>
      <c r="L20">
        <f>583+15975+1577</f>
        <v>18135</v>
      </c>
      <c r="M20">
        <v>587</v>
      </c>
      <c r="N20">
        <v>-1718</v>
      </c>
      <c r="O20">
        <v>790</v>
      </c>
      <c r="P20">
        <f t="shared" si="3"/>
        <v>-341</v>
      </c>
      <c r="Q20">
        <v>0</v>
      </c>
      <c r="R20">
        <v>1</v>
      </c>
    </row>
    <row r="21" spans="1:18">
      <c r="A21" t="s">
        <v>37</v>
      </c>
      <c r="B21">
        <v>103567</v>
      </c>
      <c r="C21">
        <v>-95197</v>
      </c>
      <c r="D21">
        <f t="shared" si="2"/>
        <v>8370</v>
      </c>
      <c r="E21">
        <v>6185</v>
      </c>
      <c r="F21">
        <v>3627</v>
      </c>
      <c r="G21">
        <v>3272</v>
      </c>
      <c r="H21">
        <f>200*1000000</f>
        <v>200000000</v>
      </c>
      <c r="I21">
        <f>59021-J21</f>
        <v>28746</v>
      </c>
      <c r="J21">
        <f>3103+11882+148+13774+267+1101</f>
        <v>30275</v>
      </c>
      <c r="K21">
        <f>40912-L21</f>
        <v>22089</v>
      </c>
      <c r="L21">
        <f>487+16981+1355</f>
        <v>18823</v>
      </c>
      <c r="M21">
        <v>2969</v>
      </c>
      <c r="N21">
        <v>-2116</v>
      </c>
      <c r="O21">
        <v>480</v>
      </c>
      <c r="P21">
        <f t="shared" si="3"/>
        <v>1333</v>
      </c>
      <c r="Q21">
        <v>1</v>
      </c>
      <c r="R21">
        <v>0</v>
      </c>
    </row>
    <row r="22" spans="1:18">
      <c r="A22" t="s">
        <v>38</v>
      </c>
      <c r="B22">
        <v>56234</v>
      </c>
      <c r="C22">
        <v>-52226</v>
      </c>
      <c r="D22">
        <f t="shared" si="2"/>
        <v>4008</v>
      </c>
      <c r="E22">
        <v>2872</v>
      </c>
      <c r="F22">
        <v>1594</v>
      </c>
      <c r="G22">
        <v>1426</v>
      </c>
      <c r="H22">
        <f>197.7*1000000</f>
        <v>197700000</v>
      </c>
      <c r="I22">
        <f>64078-J22</f>
        <v>31237</v>
      </c>
      <c r="J22">
        <f>2620+13470+264+15197+1290</f>
        <v>32841</v>
      </c>
      <c r="K22">
        <f>45816-L22</f>
        <v>25842</v>
      </c>
      <c r="L22">
        <f>778+17683+1513</f>
        <v>19974</v>
      </c>
      <c r="M22">
        <v>1013</v>
      </c>
      <c r="N22">
        <v>-3294</v>
      </c>
      <c r="O22">
        <v>229</v>
      </c>
      <c r="P22">
        <f t="shared" si="3"/>
        <v>-2052</v>
      </c>
      <c r="Q22">
        <v>0</v>
      </c>
      <c r="R22">
        <v>1</v>
      </c>
    </row>
    <row r="23" spans="1:18">
      <c r="A23" t="s">
        <v>39</v>
      </c>
      <c r="B23">
        <v>107453</v>
      </c>
      <c r="C23">
        <v>-99290</v>
      </c>
      <c r="D23">
        <f t="shared" si="2"/>
        <v>8163</v>
      </c>
      <c r="E23">
        <v>5671</v>
      </c>
      <c r="F23">
        <v>3386</v>
      </c>
      <c r="G23">
        <v>3054</v>
      </c>
      <c r="H23">
        <f>197.6*1000000</f>
        <v>197600000</v>
      </c>
      <c r="I23">
        <f>65712-J23</f>
        <v>29117</v>
      </c>
      <c r="J23">
        <f>4618+2271+12849+295+15465+1097</f>
        <v>36595</v>
      </c>
      <c r="K23">
        <f>46479-L23</f>
        <v>23572</v>
      </c>
      <c r="L23">
        <f>2713+561+18440+1193</f>
        <v>22907</v>
      </c>
      <c r="M23">
        <v>4987</v>
      </c>
      <c r="N23">
        <v>-4951</v>
      </c>
      <c r="O23">
        <v>-1510</v>
      </c>
      <c r="P23">
        <f t="shared" si="3"/>
        <v>-1474</v>
      </c>
      <c r="Q23">
        <v>1</v>
      </c>
      <c r="R23">
        <v>0</v>
      </c>
    </row>
    <row r="24" spans="1:18">
      <c r="A24" t="s">
        <v>40</v>
      </c>
      <c r="B24">
        <v>58201</v>
      </c>
      <c r="C24">
        <v>-54083</v>
      </c>
      <c r="D24">
        <f t="shared" si="2"/>
        <v>4118</v>
      </c>
      <c r="E24">
        <v>2792</v>
      </c>
      <c r="F24">
        <v>1783</v>
      </c>
      <c r="G24">
        <v>1699</v>
      </c>
      <c r="H24">
        <f>198*1000000</f>
        <v>198000000</v>
      </c>
      <c r="I24">
        <f>74863-J24</f>
        <v>31820</v>
      </c>
      <c r="J24">
        <f>1667+4863+2740+14391+322+17815+1245</f>
        <v>43043</v>
      </c>
      <c r="K24">
        <f>53672-L24</f>
        <v>26557</v>
      </c>
      <c r="L24">
        <f>506+2737+703+20731+2438</f>
        <v>27115</v>
      </c>
      <c r="M24">
        <v>89</v>
      </c>
      <c r="N24">
        <v>-818</v>
      </c>
      <c r="O24">
        <v>-509</v>
      </c>
      <c r="P24">
        <f t="shared" si="3"/>
        <v>-1238</v>
      </c>
      <c r="Q24">
        <v>0</v>
      </c>
      <c r="R24">
        <v>1</v>
      </c>
    </row>
    <row r="25" spans="1:18">
      <c r="A25" t="s">
        <v>41</v>
      </c>
      <c r="B25">
        <v>115738</v>
      </c>
      <c r="C25">
        <v>-107286</v>
      </c>
      <c r="D25">
        <f t="shared" si="2"/>
        <v>8452</v>
      </c>
      <c r="E25">
        <v>5893</v>
      </c>
      <c r="F25">
        <v>3208</v>
      </c>
      <c r="G25">
        <v>3049</v>
      </c>
      <c r="H25">
        <f>198*1000000</f>
        <v>198000000</v>
      </c>
      <c r="I25">
        <f>69830-J25</f>
        <v>29673</v>
      </c>
      <c r="J25">
        <f>1469+5083+2317+12712+483+16717+1376</f>
        <v>40157</v>
      </c>
      <c r="K25">
        <f>50028-L25</f>
        <v>25859</v>
      </c>
      <c r="L25">
        <f>376+2738+681+19493+881</f>
        <v>24169</v>
      </c>
      <c r="M25">
        <v>3142</v>
      </c>
      <c r="N25">
        <v>-1726</v>
      </c>
      <c r="O25">
        <v>-880</v>
      </c>
      <c r="P25">
        <f t="shared" si="3"/>
        <v>536</v>
      </c>
      <c r="Q25">
        <v>1</v>
      </c>
      <c r="R25">
        <v>0</v>
      </c>
    </row>
    <row r="26" spans="1:18">
      <c r="A26" t="s">
        <v>42</v>
      </c>
      <c r="B26">
        <v>59691</v>
      </c>
      <c r="C26">
        <v>-55544</v>
      </c>
      <c r="D26">
        <f t="shared" si="2"/>
        <v>4147</v>
      </c>
      <c r="E26">
        <v>2879</v>
      </c>
      <c r="F26">
        <v>1352</v>
      </c>
      <c r="G26">
        <v>1319</v>
      </c>
      <c r="H26">
        <f>198.7*1000000</f>
        <v>198700000</v>
      </c>
      <c r="I26">
        <f>73331-J26</f>
        <v>31189</v>
      </c>
      <c r="J26">
        <f>2063+5249+2339+14017+702+16377+1395</f>
        <v>42142</v>
      </c>
      <c r="K26">
        <f>54061-L26</f>
        <v>29923</v>
      </c>
      <c r="L26">
        <f>318+2667+700+19189+1264</f>
        <v>24138</v>
      </c>
      <c r="M26">
        <v>-931</v>
      </c>
      <c r="N26">
        <v>-2255</v>
      </c>
      <c r="O26">
        <v>1485</v>
      </c>
      <c r="P26">
        <f t="shared" si="3"/>
        <v>-1701</v>
      </c>
      <c r="Q26">
        <v>0</v>
      </c>
      <c r="R26">
        <v>1</v>
      </c>
    </row>
    <row r="27" spans="1:18">
      <c r="A27" t="s">
        <v>43</v>
      </c>
      <c r="B27">
        <v>116839</v>
      </c>
      <c r="C27">
        <v>-108261</v>
      </c>
      <c r="D27">
        <f t="shared" si="2"/>
        <v>8578</v>
      </c>
      <c r="E27">
        <v>6049</v>
      </c>
      <c r="F27">
        <v>2565</v>
      </c>
      <c r="G27">
        <v>2601</v>
      </c>
      <c r="H27">
        <f>199.8*1000000</f>
        <v>199800000</v>
      </c>
      <c r="I27">
        <f>68853-J27</f>
        <v>31230</v>
      </c>
      <c r="J27">
        <f>979+4499+13353+330+16953+1509</f>
        <v>37623</v>
      </c>
      <c r="K27">
        <f>48592-L27</f>
        <v>25790</v>
      </c>
      <c r="L27">
        <f>337+21350+1115</f>
        <v>22802</v>
      </c>
      <c r="M27">
        <v>4177</v>
      </c>
      <c r="N27">
        <v>-1939</v>
      </c>
      <c r="O27">
        <v>-292</v>
      </c>
      <c r="P27">
        <f t="shared" si="3"/>
        <v>1946</v>
      </c>
      <c r="Q27">
        <v>1</v>
      </c>
      <c r="R27">
        <v>0</v>
      </c>
    </row>
    <row r="28" spans="1:18">
      <c r="A28" t="s">
        <v>44</v>
      </c>
      <c r="B28">
        <v>66520</v>
      </c>
      <c r="C28">
        <v>-62167</v>
      </c>
      <c r="D28">
        <f t="shared" si="2"/>
        <v>4353</v>
      </c>
      <c r="E28">
        <v>3093</v>
      </c>
      <c r="F28">
        <v>1367</v>
      </c>
      <c r="G28">
        <v>1306</v>
      </c>
      <c r="H28">
        <f>200.2*1000000</f>
        <v>200200000</v>
      </c>
      <c r="I28">
        <f>70499-J28</f>
        <v>28485</v>
      </c>
      <c r="J28">
        <f>2758+14606+409+16803+4489+1213+1736</f>
        <v>42014</v>
      </c>
      <c r="K28">
        <f>50046-L28</f>
        <v>22328</v>
      </c>
      <c r="L28">
        <f>627+458+22525+1155+2953</f>
        <v>27718</v>
      </c>
      <c r="M28">
        <v>1542</v>
      </c>
      <c r="N28">
        <f>-1823</f>
        <v>-1823</v>
      </c>
      <c r="O28">
        <f>-1363</f>
        <v>-1363</v>
      </c>
      <c r="P28">
        <f t="shared" si="3"/>
        <v>-1644</v>
      </c>
      <c r="Q28">
        <v>0</v>
      </c>
      <c r="R28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2017-12-27T06:53:00Z</dcterms:created>
  <dcterms:modified xsi:type="dcterms:W3CDTF">2018-02-26T16:08:31Z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