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57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<sst xmlns="http://schemas.openxmlformats.org/spreadsheetml/2006/main" count="51">
  <si>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</si>
  <si>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</si>
  <si>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</si>
  <si>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</si>
  <si>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</si>
  <si>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</si>
  <si>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</si>
  <si>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</si>
  <si>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</si>
  <si>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</si>
  <si>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</si>
  <si>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</si>
  <si>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</si>
  <si>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</si>
  <si>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</si>
  <si>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</si>
  <si>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</si>
  <si>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</si>
  <si>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05-09-2001</t>
  </si>
  <si>
    <t>26-02-2002</t>
  </si>
  <si>
    <t>13-08-2002</t>
  </si>
  <si>
    <t>25-02-2003</t>
  </si>
  <si>
    <t>08-08-2003</t>
  </si>
  <si>
    <t>24-02-2004</t>
  </si>
  <si>
    <t>11-08-2004</t>
  </si>
  <si>
    <t>01-03-2005</t>
  </si>
  <si>
    <t>11-08-2005</t>
  </si>
  <si>
    <t>12-03-2006</t>
  </si>
  <si>
    <t>15-09-2006</t>
  </si>
  <si>
    <t>27-02-2007</t>
  </si>
  <si>
    <t>11-08-2007</t>
  </si>
  <si>
    <t>28-02-2008</t>
  </si>
  <si>
    <t>07-08-2008</t>
  </si>
  <si>
    <t>05-03-2009</t>
  </si>
  <si>
    <t>06-08-2009</t>
  </si>
  <si>
    <t>12-03-2010</t>
  </si>
  <si>
    <t>07-08-2010</t>
  </si>
  <si>
    <t>09-03-2011</t>
  </si>
  <si>
    <t>06-08-2011</t>
  </si>
  <si>
    <t>10-03-2012</t>
  </si>
  <si>
    <t>09-08-2012</t>
  </si>
  <si>
    <t>02-03-2013</t>
  </si>
  <si>
    <t>08-08-2013</t>
  </si>
  <si>
    <t>01-03-2014</t>
  </si>
  <si>
    <t>08-08-2014</t>
  </si>
  <si>
    <t>28-02-2015</t>
  </si>
  <si>
    <t>07-08-2015</t>
  </si>
  <si>
    <t>12-03-2016</t>
  </si>
  <si>
    <t>12-08-2016</t>
  </si>
  <si>
    <t>10-03-2017</t>
  </si>
  <si>
    <t>12-08-2017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</si>
</sst>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tabSelected="1" workbookViewId="0">
      <selection activeCell="A2" sqref="A2"/>
    </sheetView>
  </sheetViews>
  <sheetFormatPr defaultColWidth="9" defaultRowHeight="15"/>
  <cols>
    <col min="1" max="1" width="11.1428571428571" customWidth="1"/>
    <col min="2" max="2" width="12.8571428571429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>
        <v>5195</v>
      </c>
      <c r="C2">
        <f t="shared" ref="C2:C9" si="0">-(B2-D2)</f>
        <v>-3182</v>
      </c>
      <c r="D2">
        <v>2013</v>
      </c>
      <c r="E2">
        <v>791</v>
      </c>
      <c r="F2">
        <v>1568</v>
      </c>
      <c r="G2">
        <v>1645</v>
      </c>
      <c r="H2">
        <f>3457*1000000</f>
        <v>3457000000</v>
      </c>
      <c r="I2">
        <f>589442-J2</f>
        <v>435173</v>
      </c>
      <c r="J2">
        <f>108543+6511+2091+14704+7034+7045+3602+4739</f>
        <v>154269</v>
      </c>
      <c r="K2">
        <f>589442-L2</f>
        <v>440516</v>
      </c>
      <c r="L2">
        <f>132986+13512+2409+19</f>
        <v>148926</v>
      </c>
      <c r="M2">
        <v>5480</v>
      </c>
      <c r="N2">
        <f>1473+503</f>
        <v>1976</v>
      </c>
      <c r="O2">
        <v>1213</v>
      </c>
      <c r="P2">
        <f t="shared" ref="P2:P28" si="1">SUM(M2:O2)</f>
        <v>8669</v>
      </c>
      <c r="Q2">
        <v>0</v>
      </c>
      <c r="R2">
        <v>1</v>
      </c>
    </row>
    <row r="3" spans="1:18">
      <c r="A3" s="1" t="s">
        <v>19</v>
      </c>
      <c r="B3">
        <v>10601</v>
      </c>
      <c r="C3">
        <f t="shared" si="0"/>
        <v>-9605</v>
      </c>
      <c r="D3">
        <v>996</v>
      </c>
      <c r="E3">
        <v>-2449</v>
      </c>
      <c r="F3">
        <v>-2771</v>
      </c>
      <c r="G3">
        <v>-5377</v>
      </c>
      <c r="H3">
        <f>3550*1000000</f>
        <v>3550000000</v>
      </c>
      <c r="I3">
        <f>780868-J3</f>
        <v>582019</v>
      </c>
      <c r="J3">
        <f>2562+105+139847+8279+1725+1150+1743+10980+11372+12648+3921+4517</f>
        <v>198849</v>
      </c>
      <c r="K3">
        <f>780868-L3</f>
        <v>422771</v>
      </c>
      <c r="L3">
        <f>4741+941+6989+122+175646+32454+118550+17183+1471</f>
        <v>358097</v>
      </c>
      <c r="M3">
        <v>1003</v>
      </c>
      <c r="N3">
        <f>11735-1276</f>
        <v>10459</v>
      </c>
      <c r="O3">
        <f>1128-1882</f>
        <v>-754</v>
      </c>
      <c r="P3">
        <f t="shared" si="1"/>
        <v>10708</v>
      </c>
      <c r="Q3">
        <v>1</v>
      </c>
      <c r="R3">
        <v>0</v>
      </c>
    </row>
    <row r="4" spans="1:18">
      <c r="A4" s="1" t="s">
        <v>20</v>
      </c>
      <c r="B4">
        <v>6599</v>
      </c>
      <c r="C4">
        <f t="shared" si="0"/>
        <v>-3223</v>
      </c>
      <c r="D4">
        <v>3376</v>
      </c>
      <c r="E4">
        <v>3979</v>
      </c>
      <c r="F4">
        <v>2439</v>
      </c>
      <c r="G4">
        <v>1931</v>
      </c>
      <c r="H4">
        <f>3652*1000000</f>
        <v>3652000000</v>
      </c>
      <c r="I4">
        <f>755194-J4</f>
        <v>545812</v>
      </c>
      <c r="J4">
        <f>5562+145553+10062+3581+15227+9210+11472+3312+5403</f>
        <v>209382</v>
      </c>
      <c r="K4">
        <f>755194-L4</f>
        <v>409336</v>
      </c>
      <c r="L4">
        <f>6782+165676+13580+2694+18133+137345+1648</f>
        <v>345858</v>
      </c>
      <c r="M4">
        <v>3979</v>
      </c>
      <c r="N4">
        <f>830+552</f>
        <v>1382</v>
      </c>
      <c r="O4">
        <f>1302+3001</f>
        <v>4303</v>
      </c>
      <c r="P4">
        <f t="shared" si="1"/>
        <v>9664</v>
      </c>
      <c r="Q4">
        <v>0</v>
      </c>
      <c r="R4">
        <v>1</v>
      </c>
    </row>
    <row r="5" spans="1:18">
      <c r="A5" s="1" t="s">
        <v>21</v>
      </c>
      <c r="B5">
        <v>12694</v>
      </c>
      <c r="C5">
        <f t="shared" si="0"/>
        <v>-5904</v>
      </c>
      <c r="D5">
        <v>6790</v>
      </c>
      <c r="E5">
        <v>6702</v>
      </c>
      <c r="F5">
        <v>3167</v>
      </c>
      <c r="G5">
        <v>2472</v>
      </c>
      <c r="H5">
        <f>3670*1000000</f>
        <v>3670000000</v>
      </c>
      <c r="I5">
        <f>684724-J5</f>
        <v>590368</v>
      </c>
      <c r="J5">
        <f>290+4213+608+2472+166+3287+7805+1589+1768+3924+2114+16607+14987+14647+13331+6548</f>
        <v>94356</v>
      </c>
      <c r="K5">
        <f>684724-L5</f>
        <v>446366</v>
      </c>
      <c r="L5">
        <f>1091+4628+4503+97+20110+10596+29148+166735+1450</f>
        <v>238358</v>
      </c>
      <c r="M5">
        <v>19047</v>
      </c>
      <c r="N5">
        <f>-1468-2084-411-2526-2763</f>
        <v>-9252</v>
      </c>
      <c r="O5">
        <v>4108</v>
      </c>
      <c r="P5">
        <f t="shared" si="1"/>
        <v>13903</v>
      </c>
      <c r="Q5">
        <v>1</v>
      </c>
      <c r="R5">
        <v>0</v>
      </c>
    </row>
    <row r="6" spans="1:18">
      <c r="A6" s="1" t="s">
        <v>22</v>
      </c>
      <c r="B6">
        <v>5678</v>
      </c>
      <c r="C6">
        <f t="shared" si="0"/>
        <v>-779</v>
      </c>
      <c r="D6">
        <f>4899</f>
        <v>4899</v>
      </c>
      <c r="E6">
        <v>4731</v>
      </c>
      <c r="F6">
        <v>2259</v>
      </c>
      <c r="G6">
        <v>2272</v>
      </c>
      <c r="H6">
        <f>3717*1000000</f>
        <v>3717000000</v>
      </c>
      <c r="I6">
        <f>667874-J6</f>
        <v>585793</v>
      </c>
      <c r="J6">
        <f>14557+7595+8448+9401+19370+10959+5084+6667</f>
        <v>82081</v>
      </c>
      <c r="K6">
        <f>667874-L6</f>
        <v>390331</v>
      </c>
      <c r="L6">
        <f>7112+32250+6147+1732+41412+173874+13742+1274</f>
        <v>277543</v>
      </c>
      <c r="M6">
        <v>-8164</v>
      </c>
      <c r="N6">
        <f>-790-1165+829-298-1476</f>
        <v>-2900</v>
      </c>
      <c r="O6">
        <v>2136</v>
      </c>
      <c r="P6">
        <f t="shared" si="1"/>
        <v>-8928</v>
      </c>
      <c r="Q6">
        <v>0</v>
      </c>
      <c r="R6">
        <v>1</v>
      </c>
    </row>
    <row r="7" spans="1:18">
      <c r="A7" s="1" t="s">
        <v>23</v>
      </c>
      <c r="B7">
        <v>9128</v>
      </c>
      <c r="C7">
        <f t="shared" si="0"/>
        <v>-3244</v>
      </c>
      <c r="D7">
        <v>5884</v>
      </c>
      <c r="E7">
        <v>5480</v>
      </c>
      <c r="F7">
        <v>2504</v>
      </c>
      <c r="G7">
        <v>3381</v>
      </c>
      <c r="H7">
        <f>3727*1000000</f>
        <v>3727000000</v>
      </c>
      <c r="I7">
        <f>690229-J7</f>
        <v>587272</v>
      </c>
      <c r="J7">
        <f>227+645+2686+84+5610+8296+1301+2196+5097+1516+12235+10600+16952+3784+31728</f>
        <v>102957</v>
      </c>
      <c r="K7">
        <f>690229-L7</f>
        <v>431232</v>
      </c>
      <c r="L7">
        <f>955+4978+5706+36+21550+4501+52295+166827+2149</f>
        <v>258997</v>
      </c>
      <c r="M7">
        <v>10025</v>
      </c>
      <c r="N7">
        <v>603.5</v>
      </c>
      <c r="O7">
        <v>1677</v>
      </c>
      <c r="P7" s="3">
        <f t="shared" si="1"/>
        <v>12305.5</v>
      </c>
      <c r="Q7">
        <v>1</v>
      </c>
      <c r="R7">
        <v>0</v>
      </c>
    </row>
    <row r="8" spans="1:18">
      <c r="A8" s="1" t="s">
        <v>24</v>
      </c>
      <c r="B8">
        <v>5462</v>
      </c>
      <c r="C8">
        <f t="shared" si="0"/>
        <v>-5584</v>
      </c>
      <c r="D8">
        <v>-122</v>
      </c>
      <c r="E8">
        <v>27</v>
      </c>
      <c r="F8">
        <v>-240</v>
      </c>
      <c r="G8">
        <v>-750</v>
      </c>
      <c r="H8">
        <f>3745*1000000</f>
        <v>3745000000</v>
      </c>
      <c r="I8">
        <f>671158-J8</f>
        <v>597627</v>
      </c>
      <c r="J8">
        <f>4341+7517+6104+9812+11812+9552+16876+3866+3651</f>
        <v>73531</v>
      </c>
      <c r="K8">
        <f>671158-L8</f>
        <v>439664</v>
      </c>
      <c r="L8">
        <f>28327+4063+1289+19194+178293+328</f>
        <v>231494</v>
      </c>
      <c r="M8">
        <v>-1422</v>
      </c>
      <c r="N8">
        <f>-608-1665+705-802-1398</f>
        <v>-3768</v>
      </c>
      <c r="O8">
        <v>1507</v>
      </c>
      <c r="P8">
        <f t="shared" si="1"/>
        <v>-3683</v>
      </c>
      <c r="Q8">
        <v>0</v>
      </c>
      <c r="R8">
        <v>1</v>
      </c>
    </row>
    <row r="9" spans="1:18">
      <c r="A9" s="1" t="s">
        <v>25</v>
      </c>
      <c r="B9">
        <v>12123</v>
      </c>
      <c r="C9">
        <f t="shared" si="0"/>
        <v>-1412</v>
      </c>
      <c r="D9">
        <v>10711</v>
      </c>
      <c r="E9">
        <v>10293</v>
      </c>
      <c r="F9">
        <v>6919</v>
      </c>
      <c r="G9">
        <v>5704</v>
      </c>
      <c r="H9">
        <f>3748*1000000</f>
        <v>3748000000</v>
      </c>
      <c r="I9">
        <f>718821-J9</f>
        <v>649549</v>
      </c>
      <c r="J9">
        <f>152+759+1877+239+5467+2278+7214+1334+10055+16110+20976+2811</f>
        <v>69272</v>
      </c>
      <c r="K9">
        <f>718821-L9</f>
        <v>444257</v>
      </c>
      <c r="L9">
        <f>835+7376+3308+108+19346+5065+30607+189933+16956+1030</f>
        <v>274564</v>
      </c>
      <c r="M9">
        <v>6376</v>
      </c>
      <c r="N9">
        <f>-1334-3457-23-366-2132</f>
        <v>-7312</v>
      </c>
      <c r="O9">
        <v>3346</v>
      </c>
      <c r="P9">
        <f t="shared" si="1"/>
        <v>2410</v>
      </c>
      <c r="Q9">
        <v>1</v>
      </c>
      <c r="R9">
        <v>0</v>
      </c>
    </row>
    <row r="10" spans="1:18">
      <c r="A10" s="1" t="s">
        <v>26</v>
      </c>
      <c r="B10">
        <v>73543</v>
      </c>
      <c r="C10">
        <v>-38788</v>
      </c>
      <c r="D10">
        <f t="shared" ref="D10:D28" si="2">B10+C10</f>
        <v>34755</v>
      </c>
      <c r="E10">
        <v>7848</v>
      </c>
      <c r="F10">
        <v>5746</v>
      </c>
      <c r="G10">
        <v>4509</v>
      </c>
      <c r="H10">
        <f>3753*1000000</f>
        <v>3753000000</v>
      </c>
      <c r="I10">
        <f>819497-J10</f>
        <v>719998</v>
      </c>
      <c r="J10">
        <f>5962+9747+335+23824+38268+17755+3608</f>
        <v>99499</v>
      </c>
      <c r="K10">
        <f>756620-L10</f>
        <v>230648</v>
      </c>
      <c r="L10">
        <f>236784+5431+1474+5985+1846+18370+193696+39489+22897</f>
        <v>525972</v>
      </c>
      <c r="M10">
        <v>-2970</v>
      </c>
      <c r="N10">
        <v>10423</v>
      </c>
      <c r="O10">
        <v>-1816</v>
      </c>
      <c r="P10">
        <f t="shared" si="1"/>
        <v>5637</v>
      </c>
      <c r="Q10">
        <v>0</v>
      </c>
      <c r="R10">
        <v>1</v>
      </c>
    </row>
    <row r="11" spans="1:18">
      <c r="A11" s="2" t="s">
        <v>27</v>
      </c>
      <c r="B11">
        <v>168319</v>
      </c>
      <c r="C11">
        <v>-150522</v>
      </c>
      <c r="D11">
        <f t="shared" si="2"/>
        <v>17797</v>
      </c>
      <c r="E11">
        <v>18603</v>
      </c>
      <c r="F11">
        <v>13002</v>
      </c>
      <c r="G11">
        <v>10041</v>
      </c>
      <c r="H11">
        <f>3840*1000000</f>
        <v>3840000000</v>
      </c>
      <c r="I11">
        <f>877625-J11</f>
        <v>790545</v>
      </c>
      <c r="J11">
        <f>4992+11860+314+17466+19218+33230</f>
        <v>87080</v>
      </c>
      <c r="K11">
        <f>807705-L11</f>
        <v>280151</v>
      </c>
      <c r="L11">
        <f>253332+10521+5485+1504+6656+1934+28073+168928+33320+17801</f>
        <v>527554</v>
      </c>
      <c r="M11">
        <v>8441</v>
      </c>
      <c r="N11">
        <v>6496</v>
      </c>
      <c r="O11">
        <v>3243</v>
      </c>
      <c r="P11">
        <f t="shared" si="1"/>
        <v>18180</v>
      </c>
      <c r="Q11">
        <v>1</v>
      </c>
      <c r="R11">
        <v>0</v>
      </c>
    </row>
    <row r="12" spans="1:18">
      <c r="A12" s="1" t="s">
        <v>28</v>
      </c>
      <c r="B12" s="3">
        <f>8451*13.7508</f>
        <v>116208.0108</v>
      </c>
      <c r="C12" s="3">
        <f>-7636*13.7508</f>
        <v>-105001.1088</v>
      </c>
      <c r="D12" s="3">
        <f t="shared" si="2"/>
        <v>11206.902</v>
      </c>
      <c r="E12" s="3">
        <f>815*13.7508</f>
        <v>11206.902</v>
      </c>
      <c r="F12" s="3">
        <f>519*13.7508</f>
        <v>7136.6652</v>
      </c>
      <c r="G12" s="3">
        <f>380*13.7508</f>
        <v>5225.304</v>
      </c>
      <c r="H12">
        <f>5063*1000000</f>
        <v>5063000000</v>
      </c>
      <c r="I12" s="3">
        <f>1571057-J12</f>
        <v>1467365</v>
      </c>
      <c r="J12" s="3">
        <f>7092+10836+18775+979+16936+12054+27494+9526</f>
        <v>103692</v>
      </c>
      <c r="K12" s="3">
        <f>1458885-L12</f>
        <v>797827</v>
      </c>
      <c r="L12" s="3">
        <f>287792+29916+4909+2739+16658+3030+18219+243189+38186+16420</f>
        <v>661058</v>
      </c>
      <c r="M12" s="3">
        <f>6498*13.7508</f>
        <v>89352.6984</v>
      </c>
      <c r="N12" s="3">
        <f>-7893*13.7508</f>
        <v>-108535.0644</v>
      </c>
      <c r="O12" s="3">
        <f>386*13.7508</f>
        <v>5307.8088</v>
      </c>
      <c r="P12" s="3">
        <f t="shared" si="1"/>
        <v>-13874.5572</v>
      </c>
      <c r="Q12">
        <v>0</v>
      </c>
      <c r="R12">
        <v>1</v>
      </c>
    </row>
    <row r="13" spans="1:18">
      <c r="A13" s="1" t="s">
        <v>29</v>
      </c>
      <c r="B13" s="3">
        <f>19918*14.2075</f>
        <v>282984.985</v>
      </c>
      <c r="C13" s="3">
        <f>-18204*14.2075</f>
        <v>-258633.33</v>
      </c>
      <c r="D13" s="3">
        <f t="shared" si="2"/>
        <v>24351.655</v>
      </c>
      <c r="E13" s="3">
        <f>1714*14.2075</f>
        <v>24351.655</v>
      </c>
      <c r="F13" s="3">
        <f>1093*14.2075</f>
        <v>15528.7975</v>
      </c>
      <c r="G13" s="3">
        <f>836*14.2075</f>
        <v>11877.47</v>
      </c>
      <c r="H13">
        <f>5222*1000000</f>
        <v>5222000000</v>
      </c>
      <c r="I13" s="3">
        <f>(128575*14.2075)-J13</f>
        <v>1690550.425</v>
      </c>
      <c r="J13" s="3">
        <v>136178.8875</v>
      </c>
      <c r="K13" s="3">
        <f>(119812*14.2075)-L13</f>
        <v>932509.2625</v>
      </c>
      <c r="L13" s="3">
        <f>(22495+3041+542+311+1393+283+25052+1060)*14.2075</f>
        <v>769719.7275</v>
      </c>
      <c r="M13" s="3">
        <f>6302*14.2075</f>
        <v>89535.665</v>
      </c>
      <c r="N13" s="3">
        <v>-80940.1275</v>
      </c>
      <c r="O13" s="3">
        <f>-280*14.2075</f>
        <v>-3978.1</v>
      </c>
      <c r="P13" s="3">
        <f t="shared" si="1"/>
        <v>4617.43749999999</v>
      </c>
      <c r="Q13">
        <v>1</v>
      </c>
      <c r="R13">
        <v>0</v>
      </c>
    </row>
    <row r="14" spans="1:18">
      <c r="A14" s="1" t="s">
        <v>30</v>
      </c>
      <c r="B14" s="3">
        <f>10502*14.4774</f>
        <v>152041.6548</v>
      </c>
      <c r="C14" s="3">
        <f>-9604*14.4774</f>
        <v>-139040.9496</v>
      </c>
      <c r="D14" s="3">
        <f t="shared" si="2"/>
        <v>13000.7052</v>
      </c>
      <c r="E14" s="3">
        <f>898*14.4774</f>
        <v>13000.7052</v>
      </c>
      <c r="F14" s="3">
        <f>611*14.4774</f>
        <v>8845.6914</v>
      </c>
      <c r="G14" s="3">
        <v>6992.5842</v>
      </c>
      <c r="H14">
        <f>5407*1000000</f>
        <v>5407000000</v>
      </c>
      <c r="I14" s="3">
        <f>(135476*14.4774)-J14</f>
        <v>1816349.0814</v>
      </c>
      <c r="J14" s="3">
        <f>(574+792+1908+103+734+1347+573+3114+870)*14.4774</f>
        <v>144991.161</v>
      </c>
      <c r="K14" s="3">
        <f>(126535*14.4774)-L14</f>
        <v>1027808.5356</v>
      </c>
      <c r="L14" s="3">
        <f>(22846+3589+519+406+1443+220+25547+971)*14.4774</f>
        <v>804089.2734</v>
      </c>
      <c r="M14" s="3">
        <f>1837*14.4774</f>
        <v>26594.9838</v>
      </c>
      <c r="N14" s="3">
        <f>-2029*14.4774</f>
        <v>-29374.6446</v>
      </c>
      <c r="O14" s="3">
        <f>111*14.4774</f>
        <v>1606.9914</v>
      </c>
      <c r="P14" s="3">
        <f t="shared" si="1"/>
        <v>-1172.6694</v>
      </c>
      <c r="Q14">
        <v>0</v>
      </c>
      <c r="R14">
        <v>1</v>
      </c>
    </row>
    <row r="15" spans="1:18">
      <c r="A15" s="1" t="s">
        <v>31</v>
      </c>
      <c r="B15" s="3">
        <f>16864*15.5479</f>
        <v>262199.7856</v>
      </c>
      <c r="C15" s="3">
        <f>-15196*15.5479</f>
        <v>-236265.8884</v>
      </c>
      <c r="D15" s="3">
        <f t="shared" si="2"/>
        <v>25933.8972</v>
      </c>
      <c r="E15" s="3">
        <f>1668*15.5479</f>
        <v>25933.8972</v>
      </c>
      <c r="F15" s="3">
        <f>1246*15.5479</f>
        <v>19372.6834</v>
      </c>
      <c r="G15" s="3">
        <f>972*15.5479</f>
        <v>15112.5588</v>
      </c>
      <c r="H15">
        <f>5411*1000000</f>
        <v>5411000000</v>
      </c>
      <c r="I15" s="3">
        <f>(142734*15.5479)-J15</f>
        <v>664315.1233</v>
      </c>
      <c r="J15" s="3">
        <f>(683+2253+1394+213+90220+83+165+1527+3469)*15.5479</f>
        <v>1554898.8353</v>
      </c>
      <c r="K15" s="3">
        <f>(133137*15.5479)-L15</f>
        <v>1412448.9755</v>
      </c>
      <c r="L15" s="3">
        <f>(3547+2353+462+499+1413+320+165+31817+1716)*15.5479</f>
        <v>657551.7868</v>
      </c>
      <c r="M15" s="3">
        <f>4400*15.5479</f>
        <v>68410.76</v>
      </c>
      <c r="N15" s="3">
        <f>-4347*15.5479</f>
        <v>-67586.7213</v>
      </c>
      <c r="O15" s="3">
        <f>-141*15.5479</f>
        <v>-2192.2539</v>
      </c>
      <c r="P15" s="3">
        <f t="shared" si="1"/>
        <v>-1368.21520000001</v>
      </c>
      <c r="Q15">
        <v>1</v>
      </c>
      <c r="R15">
        <v>0</v>
      </c>
    </row>
    <row r="16" spans="1:18">
      <c r="A16" s="1" t="s">
        <v>32</v>
      </c>
      <c r="B16" s="3">
        <f>1739*14.8588</f>
        <v>25839.4532</v>
      </c>
      <c r="C16" s="3">
        <f>-904*14.8588</f>
        <v>-13432.3552</v>
      </c>
      <c r="D16" s="3">
        <f t="shared" si="2"/>
        <v>12407.098</v>
      </c>
      <c r="E16" s="3">
        <f>835*14.8588</f>
        <v>12407.098</v>
      </c>
      <c r="F16" s="3">
        <f>685*14.8588</f>
        <v>10178.278</v>
      </c>
      <c r="G16" s="3">
        <f>549*14.8588</f>
        <v>8157.4812</v>
      </c>
      <c r="H16">
        <f>5245*1000000</f>
        <v>5245000000</v>
      </c>
      <c r="I16" s="3">
        <f>(137049*14.8588)-J16</f>
        <v>599151.3924</v>
      </c>
      <c r="J16" s="3">
        <f>(610+764+2728+1411+898+83789+47+201+3149+3129)*14.8588</f>
        <v>1437232.2888</v>
      </c>
      <c r="K16" s="3">
        <f>(127695*14.8588)-L16</f>
        <v>1295390.184</v>
      </c>
      <c r="L16" s="3">
        <f>(2674+429+521+1389+206+201+32033+3062)*14.8588</f>
        <v>602004.282</v>
      </c>
      <c r="M16" s="3">
        <f>2485*14.8588</f>
        <v>36924.118</v>
      </c>
      <c r="N16" s="3">
        <f>-1405*14.8588</f>
        <v>-20876.614</v>
      </c>
      <c r="O16" s="3">
        <f>-560*14.8588</f>
        <v>-8320.928</v>
      </c>
      <c r="P16" s="3">
        <f t="shared" si="1"/>
        <v>7726.576</v>
      </c>
      <c r="Q16">
        <v>0</v>
      </c>
      <c r="R16">
        <v>1</v>
      </c>
    </row>
    <row r="17" spans="1:18">
      <c r="A17" s="1" t="s">
        <v>33</v>
      </c>
      <c r="B17" s="3">
        <f>47*14.6941</f>
        <v>690.6227</v>
      </c>
      <c r="C17" s="3">
        <f>496*14.6941</f>
        <v>7288.2736</v>
      </c>
      <c r="D17" s="3">
        <f t="shared" si="2"/>
        <v>7978.8963</v>
      </c>
      <c r="E17" s="3">
        <f>595*14.6941</f>
        <v>8742.9895</v>
      </c>
      <c r="F17" s="3">
        <f>683*14.6941</f>
        <v>10036.0703</v>
      </c>
      <c r="G17" s="3">
        <f>441*14.6941</f>
        <v>6480.0981</v>
      </c>
      <c r="H17">
        <f>5230*1000000</f>
        <v>5230000000</v>
      </c>
      <c r="I17" s="3">
        <f>(145347*14.6941)-J17</f>
        <v>692885.5914</v>
      </c>
      <c r="J17" s="3">
        <f>(734+1478+3199+1148+115+164+83522+118+220+4633+2862)*14.6941</f>
        <v>1442857.7613</v>
      </c>
      <c r="K17" s="3">
        <f>(135770*14.6941)-L17</f>
        <v>1282839.0123</v>
      </c>
      <c r="L17" s="3">
        <f>(344+2591+477+598+1452+219+220+38171+4395)*14.6941</f>
        <v>712178.9447</v>
      </c>
      <c r="M17" s="3">
        <f>1544*14.6941</f>
        <v>22687.6904</v>
      </c>
      <c r="N17" s="3">
        <f>-260*14.6941</f>
        <v>-3820.466</v>
      </c>
      <c r="O17" s="3">
        <f>-637*14.6941</f>
        <v>-9360.1417</v>
      </c>
      <c r="P17" s="3">
        <f t="shared" si="1"/>
        <v>9507.0827</v>
      </c>
      <c r="Q17">
        <v>1</v>
      </c>
      <c r="R17">
        <v>0</v>
      </c>
    </row>
    <row r="18" spans="1:18">
      <c r="A18" s="1" t="s">
        <v>34</v>
      </c>
      <c r="B18" s="3">
        <f>6555*13.3268</f>
        <v>87357.174</v>
      </c>
      <c r="C18" s="3">
        <f>-6350*13.3268</f>
        <v>-84625.18</v>
      </c>
      <c r="D18" s="3">
        <f t="shared" si="2"/>
        <v>2731.99399999999</v>
      </c>
      <c r="E18" s="3">
        <f>160*13.3268</f>
        <v>2132.288</v>
      </c>
      <c r="F18" s="3">
        <f>27*13.3268</f>
        <v>359.8236</v>
      </c>
      <c r="G18" s="3">
        <f>-70*13.3268</f>
        <v>-932.876</v>
      </c>
      <c r="H18">
        <f>5232*1000000</f>
        <v>5232000000</v>
      </c>
      <c r="I18" s="3">
        <f>(145515*13.3268)-J18</f>
        <v>651907.0756</v>
      </c>
      <c r="J18" s="3">
        <f>(856+1434+2933+1162+130+137+84493+149+146+2486+2672)*13.3268</f>
        <v>1287342.2264</v>
      </c>
      <c r="K18" s="3">
        <f>(135795*13.3268)-L18</f>
        <v>1162936.5484</v>
      </c>
      <c r="L18" s="3">
        <f>(403+2610+409+604+1466+195+146+40590+2109)*13.3268</f>
        <v>646776.2576</v>
      </c>
      <c r="M18" s="3">
        <f>-424*13.3268</f>
        <v>-5650.5632</v>
      </c>
      <c r="N18" s="3">
        <f>359*13.3268</f>
        <v>4784.3212</v>
      </c>
      <c r="O18" s="3">
        <f>84*13.3268</f>
        <v>1119.4512</v>
      </c>
      <c r="P18" s="3">
        <f t="shared" si="1"/>
        <v>253.2092</v>
      </c>
      <c r="Q18">
        <v>0</v>
      </c>
      <c r="R18">
        <v>1</v>
      </c>
    </row>
    <row r="19" spans="1:18">
      <c r="A19" s="1" t="s">
        <v>35</v>
      </c>
      <c r="B19" s="3">
        <f>21848*11.1329</f>
        <v>243231.5992</v>
      </c>
      <c r="C19" s="3">
        <f>-21553*11.1329</f>
        <v>-239947.3937</v>
      </c>
      <c r="D19" s="3">
        <f t="shared" si="2"/>
        <v>3284.20550000001</v>
      </c>
      <c r="E19" s="3">
        <f>247*11.1329</f>
        <v>2749.8263</v>
      </c>
      <c r="F19" s="3">
        <f>-118*11.1329</f>
        <v>-1313.6822</v>
      </c>
      <c r="G19" s="3">
        <f>-340*11.1329</f>
        <v>-3785.186</v>
      </c>
      <c r="H19">
        <f>5229*1000000</f>
        <v>5229000000</v>
      </c>
      <c r="I19" s="3">
        <f>(163806*11.1329)-J19</f>
        <v>569525.7653</v>
      </c>
      <c r="J19" s="3">
        <f>(570+3138+1296+120+146+98461+169+170+3051+2546+2982)*11.1329</f>
        <v>1254110.0521</v>
      </c>
      <c r="K19" s="3">
        <f>(153095*11.1329)-L19</f>
        <v>1081950.8865</v>
      </c>
      <c r="L19" s="3">
        <f>(372+2906+263+654+905+210+4305+170+44135+1990)*11.1329</f>
        <v>622440.439</v>
      </c>
      <c r="M19" s="3">
        <f>1218*11.1329</f>
        <v>13559.8722</v>
      </c>
      <c r="N19" s="3">
        <f>-2816*11.1329</f>
        <v>-31350.2464</v>
      </c>
      <c r="O19" s="3">
        <f>499*11.1329</f>
        <v>5555.3171</v>
      </c>
      <c r="P19" s="3">
        <f t="shared" si="1"/>
        <v>-12235.0571</v>
      </c>
      <c r="Q19">
        <v>1</v>
      </c>
      <c r="R19">
        <v>0</v>
      </c>
    </row>
    <row r="20" spans="1:18">
      <c r="A20" s="1" t="s">
        <v>36</v>
      </c>
      <c r="B20" s="3">
        <f>7199*11.4328</f>
        <v>82304.7272</v>
      </c>
      <c r="C20" s="3">
        <f>-6736*11.4328</f>
        <v>-77011.3408</v>
      </c>
      <c r="D20" s="3">
        <f t="shared" si="2"/>
        <v>5293.3864</v>
      </c>
      <c r="E20" s="3">
        <f>443*11.4328</f>
        <v>5064.7304</v>
      </c>
      <c r="F20" s="3">
        <f>380*11.4328</f>
        <v>4344.464</v>
      </c>
      <c r="G20" s="3">
        <f>265*11.4328</f>
        <v>3029.692</v>
      </c>
      <c r="H20">
        <f>5342*1000000</f>
        <v>5342000000</v>
      </c>
      <c r="I20" s="3">
        <f>(170908*11.4328)-J20</f>
        <v>607470.3952</v>
      </c>
      <c r="J20" s="3">
        <f>(985+668+3096+1325+125+41+102270+166+159+3739+1933+3267)*11.4328</f>
        <v>1346486.5872</v>
      </c>
      <c r="K20" s="3">
        <f>(159652*11.4328)-L20</f>
        <v>1151900.3312</v>
      </c>
      <c r="L20" s="3">
        <f>(389+2860+226+661+930+198+4899+159+47116+1460)*11.4328</f>
        <v>673369.0544</v>
      </c>
      <c r="M20" s="3">
        <f>2584*11.4328</f>
        <v>29542.3552</v>
      </c>
      <c r="N20" s="3">
        <f>-3280*11.4328</f>
        <v>-37499.584</v>
      </c>
      <c r="O20" s="3">
        <f>319*11.4328</f>
        <v>3647.0632</v>
      </c>
      <c r="P20" s="3">
        <f t="shared" si="1"/>
        <v>-4310.1656</v>
      </c>
      <c r="Q20">
        <v>0</v>
      </c>
      <c r="R20">
        <v>1</v>
      </c>
    </row>
    <row r="21" spans="1:18">
      <c r="A21" s="1" t="s">
        <v>37</v>
      </c>
      <c r="B21" s="3">
        <f>21574*11.1029</f>
        <v>239533.9646</v>
      </c>
      <c r="C21" s="3">
        <f>-20414*11.1029</f>
        <v>-226654.6006</v>
      </c>
      <c r="D21" s="3">
        <f t="shared" si="2"/>
        <v>12879.364</v>
      </c>
      <c r="E21" s="3">
        <f>1145*11.1029</f>
        <v>12712.8205</v>
      </c>
      <c r="F21" s="3">
        <f>-24*11.1029</f>
        <v>-266.4696</v>
      </c>
      <c r="G21" s="3">
        <f>-282*11.1029</f>
        <v>-3131.0178</v>
      </c>
      <c r="H21">
        <f>5359*1000000</f>
        <v>5359000000</v>
      </c>
      <c r="I21" s="3">
        <f>(193552*11.1029)-J21</f>
        <v>803305.9179</v>
      </c>
      <c r="J21" s="3">
        <f>(1079+416+1534+982+122+2+106153+156+190+3932+2503+4132)*11.1029</f>
        <v>1345682.5829</v>
      </c>
      <c r="K21" s="3">
        <f>(182078*11.1029)-L21</f>
        <v>1277433.0566</v>
      </c>
      <c r="L21" s="3">
        <f>(397+3584+260+730+858+238+5661+190+53236+1870)*11.1029</f>
        <v>744160.7696</v>
      </c>
      <c r="M21" s="3">
        <f>3563*11.1029</f>
        <v>39559.6327</v>
      </c>
      <c r="N21" s="3">
        <f>-2433*11.1029</f>
        <v>-27013.3557</v>
      </c>
      <c r="O21" s="3">
        <f>-9*11.1029</f>
        <v>-99.9261</v>
      </c>
      <c r="P21" s="3">
        <f t="shared" si="1"/>
        <v>12446.3509</v>
      </c>
      <c r="Q21">
        <v>1</v>
      </c>
      <c r="R21">
        <v>0</v>
      </c>
    </row>
    <row r="22" spans="1:18">
      <c r="A22" s="1" t="s">
        <v>38</v>
      </c>
      <c r="B22" s="3">
        <f>6446*11.7405</f>
        <v>75679.263</v>
      </c>
      <c r="C22" s="3">
        <f>-5743*11.7405</f>
        <v>-67425.6915</v>
      </c>
      <c r="D22" s="3">
        <f t="shared" si="2"/>
        <v>8253.57150000001</v>
      </c>
      <c r="E22" s="3">
        <f>707*11.7405</f>
        <v>8300.5335</v>
      </c>
      <c r="F22" s="3">
        <f>632*11.7405</f>
        <v>7419.996</v>
      </c>
      <c r="G22" s="3">
        <f>489*11.7405</f>
        <v>5741.1045</v>
      </c>
      <c r="H22">
        <f>5397*1000000</f>
        <v>5397000000</v>
      </c>
      <c r="I22" s="3">
        <f>(178910*11.7405)-J22</f>
        <v>673599.447</v>
      </c>
      <c r="J22" s="3">
        <f>(1073+396+1565+1114+115+106428+151+254+4144+1770+4526)*11.7405</f>
        <v>1426893.408</v>
      </c>
      <c r="K22" s="3">
        <f>(167379*11.7405)-L22</f>
        <v>1196662.203</v>
      </c>
      <c r="L22" s="3">
        <f>(386+4711+230+773+830+244+5106+254+51564+1355)*11.7405</f>
        <v>768450.9465</v>
      </c>
      <c r="M22" s="3">
        <f>2071*11.7405</f>
        <v>24314.5755</v>
      </c>
      <c r="N22" s="3">
        <f>-2665*11.7405</f>
        <v>-31288.4325</v>
      </c>
      <c r="O22" s="3">
        <f>173*11.7405</f>
        <v>2031.1065</v>
      </c>
      <c r="P22" s="3">
        <f t="shared" si="1"/>
        <v>-4942.7505</v>
      </c>
      <c r="Q22">
        <v>0</v>
      </c>
      <c r="R22">
        <v>1</v>
      </c>
    </row>
    <row r="23" spans="1:18">
      <c r="A23" s="1" t="s">
        <v>39</v>
      </c>
      <c r="B23" s="3">
        <f>9784*11.8185</f>
        <v>115632.204</v>
      </c>
      <c r="C23" s="3">
        <f>-9051*11.8185</f>
        <v>-106969.2435</v>
      </c>
      <c r="D23" s="3">
        <f t="shared" si="2"/>
        <v>8662.9605</v>
      </c>
      <c r="E23" s="3">
        <f>994*11.8185</f>
        <v>11747.589</v>
      </c>
      <c r="F23" s="3">
        <f>967*11.8185</f>
        <v>11428.4895</v>
      </c>
      <c r="G23" s="3">
        <f>667*11.8185</f>
        <v>7882.9395</v>
      </c>
      <c r="H23">
        <f>5435*1000000</f>
        <v>5435000000</v>
      </c>
      <c r="I23" s="3">
        <f>(162385*11.8185)-J23</f>
        <v>807912.66</v>
      </c>
      <c r="J23" s="3">
        <f>(951+339+1351+989+81253+138+237+3348+1795+3624)*11.8185</f>
        <v>1111234.4625</v>
      </c>
      <c r="K23" s="3">
        <f>(151527*11.8185)-L23</f>
        <v>1186849.2255</v>
      </c>
      <c r="L23" s="3">
        <f>(325+1893+269+701+504+199+4243+237+40978+1755)*11.8185</f>
        <v>603972.624</v>
      </c>
      <c r="M23" s="3">
        <f>549*11.8185</f>
        <v>6488.3565</v>
      </c>
      <c r="N23" s="3">
        <f>-466*11.8185</f>
        <v>-5507.421</v>
      </c>
      <c r="O23" s="3">
        <f>-412*11.8185</f>
        <v>-4869.222</v>
      </c>
      <c r="P23" s="3">
        <f t="shared" si="1"/>
        <v>-3888.2865</v>
      </c>
      <c r="Q23">
        <v>1</v>
      </c>
      <c r="R23">
        <v>0</v>
      </c>
    </row>
    <row r="24" spans="1:18">
      <c r="A24" s="1" t="s">
        <v>40</v>
      </c>
      <c r="B24" s="3">
        <f>8442*12.725</f>
        <v>107424.45</v>
      </c>
      <c r="C24" s="3">
        <f>-7739*12.725</f>
        <v>-98478.775</v>
      </c>
      <c r="D24" s="3">
        <f t="shared" si="2"/>
        <v>8945.675</v>
      </c>
      <c r="E24" s="3">
        <f>733*12.725</f>
        <v>9327.425</v>
      </c>
      <c r="F24" s="3">
        <f>1087*12.725</f>
        <v>13832.075</v>
      </c>
      <c r="G24" s="3">
        <f>931*12.725</f>
        <v>11846.975</v>
      </c>
      <c r="H24">
        <f>5231*1000000</f>
        <v>5231000000</v>
      </c>
      <c r="I24" s="3">
        <f>(145156*12.725)-J24</f>
        <v>610227.375</v>
      </c>
      <c r="J24" s="3">
        <f>(964+313+1324+1204+83285+183+200+3431+2209+4088)*12.725</f>
        <v>1236882.725</v>
      </c>
      <c r="K24" s="3">
        <f>(134781*12.725)-L24</f>
        <v>1046643.975</v>
      </c>
      <c r="L24" s="3">
        <f>(343+2571+272+694+457+226+4433+200+41471+1863)*12.725</f>
        <v>668444.25</v>
      </c>
      <c r="M24" s="3">
        <f>440*12.725</f>
        <v>5599</v>
      </c>
      <c r="N24" s="3">
        <f>1119*12.725</f>
        <v>14239.275</v>
      </c>
      <c r="O24" s="3">
        <f>-1373*12.725</f>
        <v>-17471.425</v>
      </c>
      <c r="P24" s="3">
        <f t="shared" si="1"/>
        <v>2366.85</v>
      </c>
      <c r="Q24">
        <v>0</v>
      </c>
      <c r="R24">
        <v>1</v>
      </c>
    </row>
    <row r="25" spans="1:18">
      <c r="A25" s="1" t="s">
        <v>41</v>
      </c>
      <c r="B25" s="3">
        <f>19793*13.7199</f>
        <v>271557.9807</v>
      </c>
      <c r="C25" s="3">
        <f>-18366*13.7199</f>
        <v>-251979.6834</v>
      </c>
      <c r="D25" s="3">
        <f t="shared" si="2"/>
        <v>19578.2973</v>
      </c>
      <c r="E25" s="3">
        <f>1395*13.7199</f>
        <v>19139.2605</v>
      </c>
      <c r="F25" s="3">
        <f>1487*13.7199</f>
        <v>20401.4913</v>
      </c>
      <c r="G25" s="3">
        <f>1173*13.7199</f>
        <v>16093.4427</v>
      </c>
      <c r="H25">
        <f>5029*1000000</f>
        <v>5029000000</v>
      </c>
      <c r="I25" s="3">
        <f>(143497*13.7199)-J25</f>
        <v>610864.8276</v>
      </c>
      <c r="J25" s="3">
        <f>(921+340+1288+1406+86381+103+2890+1781+3863)*13.7199</f>
        <v>1357899.6627</v>
      </c>
      <c r="K25" s="3">
        <f>(133699*13.7199)-L25</f>
        <v>1142058.1959</v>
      </c>
      <c r="L25" s="3">
        <f>(346+2783+263+689+400+287+4789+39499+1402)*13.7199</f>
        <v>692278.7142</v>
      </c>
      <c r="M25" s="3">
        <f>2390*13.7199</f>
        <v>32790.561</v>
      </c>
      <c r="N25" s="3">
        <f>156*13.7199</f>
        <v>2140.3044</v>
      </c>
      <c r="O25" s="3">
        <f>-2417*13.7199</f>
        <v>-33160.9983</v>
      </c>
      <c r="P25" s="3">
        <f t="shared" si="1"/>
        <v>1769.8671</v>
      </c>
      <c r="Q25">
        <v>1</v>
      </c>
      <c r="R25">
        <v>0</v>
      </c>
    </row>
    <row r="26" spans="1:18">
      <c r="A26" s="1" t="s">
        <v>42</v>
      </c>
      <c r="B26" s="3">
        <f>9641*15.2152</f>
        <v>146689.7432</v>
      </c>
      <c r="C26" s="3">
        <f>-8845*15.2152</f>
        <v>-134578.444</v>
      </c>
      <c r="D26" s="3">
        <f t="shared" si="2"/>
        <v>12111.2992</v>
      </c>
      <c r="E26" s="3">
        <f>805*15.2152</f>
        <v>12248.236</v>
      </c>
      <c r="F26" s="3">
        <f>547*15.2152</f>
        <v>8322.7144</v>
      </c>
      <c r="G26" s="3">
        <f>414*15.2152</f>
        <v>6299.0928</v>
      </c>
      <c r="H26">
        <f>4835*1000000</f>
        <v>4835000000</v>
      </c>
      <c r="I26" s="3">
        <f>(145732*15.2152)-J26</f>
        <v>656322.8672</v>
      </c>
      <c r="J26" s="3">
        <f>(760+334+1264+1629+89093+109+2955+1417+5035)*15.2152</f>
        <v>1561018.6592</v>
      </c>
      <c r="K26" s="3">
        <f>(136099*15.2152)-L26</f>
        <v>1361532.172</v>
      </c>
      <c r="L26" s="3">
        <f>(350+252+664+435+250+5031+38009+1623)*15.2152</f>
        <v>709241.3328</v>
      </c>
      <c r="M26" s="3">
        <f>1428*15.2152</f>
        <v>21727.3056</v>
      </c>
      <c r="N26" s="3">
        <f>-682*15.2152</f>
        <v>-10376.7664</v>
      </c>
      <c r="O26" s="3">
        <f>-629*15.2152</f>
        <v>-9570.3608</v>
      </c>
      <c r="P26" s="3">
        <f t="shared" si="1"/>
        <v>1780.1784</v>
      </c>
      <c r="Q26">
        <v>0</v>
      </c>
      <c r="R26">
        <v>1</v>
      </c>
    </row>
    <row r="27" spans="1:18">
      <c r="A27" s="1" t="s">
        <v>43</v>
      </c>
      <c r="B27" s="3">
        <f>19810*18.1604</f>
        <v>359757.524</v>
      </c>
      <c r="C27" s="3">
        <f>-18295*18.1604</f>
        <v>-332244.518</v>
      </c>
      <c r="D27" s="3">
        <f t="shared" si="2"/>
        <v>27513.006</v>
      </c>
      <c r="E27" s="3">
        <f>1532*18.1604</f>
        <v>27821.7328</v>
      </c>
      <c r="F27" s="3">
        <f>983*18.1604</f>
        <v>17851.6732</v>
      </c>
      <c r="G27" s="3">
        <f>705*18.1604</f>
        <v>12803.082</v>
      </c>
      <c r="H27">
        <f>4836*1000000</f>
        <v>4836000000</v>
      </c>
      <c r="I27" s="3">
        <f>(140331*18.1604)-J27</f>
        <v>657351.9988</v>
      </c>
      <c r="J27" s="3">
        <f>(759+3033+1211+1875+88417+128+2583+1259+4869)*18.1604</f>
        <v>1891115.0936</v>
      </c>
      <c r="K27" s="3">
        <f>(131294*18.1604)-L27</f>
        <v>1521296.708</v>
      </c>
      <c r="L27" s="3">
        <f>(332+5478+236+628+491+237+4274+34370+1478)*18.1604</f>
        <v>863054.8496</v>
      </c>
      <c r="M27" s="3">
        <f>2944*18.1604</f>
        <v>53464.2176</v>
      </c>
      <c r="N27" s="3">
        <f>-1987*18.1604</f>
        <v>-36084.7148</v>
      </c>
      <c r="O27" s="3">
        <f>-483*18.1604</f>
        <v>-8771.4732</v>
      </c>
      <c r="P27" s="3">
        <f t="shared" si="1"/>
        <v>8608.02959999999</v>
      </c>
      <c r="Q27">
        <v>1</v>
      </c>
      <c r="R27">
        <v>0</v>
      </c>
    </row>
    <row r="28" spans="1:18">
      <c r="A28" s="1" t="s">
        <v>44</v>
      </c>
      <c r="B28" s="3">
        <f>7958*17.8414</f>
        <v>141981.8612</v>
      </c>
      <c r="C28" s="3">
        <f>-7394*17.8414</f>
        <v>-131919.3116</v>
      </c>
      <c r="D28" s="3">
        <f t="shared" si="2"/>
        <v>10062.5496</v>
      </c>
      <c r="E28" s="3">
        <f>564*17.8414</f>
        <v>10062.5496</v>
      </c>
      <c r="F28" s="3">
        <f>346*17.8414</f>
        <v>6173.1244</v>
      </c>
      <c r="G28" s="3">
        <f>213*17.8414</f>
        <v>3800.2182</v>
      </c>
      <c r="H28">
        <f>4840*1000000</f>
        <v>4840000000</v>
      </c>
      <c r="I28" s="3">
        <f>(141791*17.8414)-J28</f>
        <v>774477.3326</v>
      </c>
      <c r="J28" s="3">
        <f>(767+247+909+1987+86198+101+2780+1104+4289)*17.8414</f>
        <v>1755272.6148</v>
      </c>
      <c r="K28" s="3">
        <f>(132920*17.8414)-L28</f>
        <v>1518981.1132</v>
      </c>
      <c r="L28" s="3">
        <f>(319+6456+198+367+424+205+4099+34540+1174)*17.8414</f>
        <v>852497.7748</v>
      </c>
      <c r="M28" s="3">
        <f>825*17.8414</f>
        <v>14719.155</v>
      </c>
      <c r="N28" s="3">
        <f>-915*17.8414</f>
        <v>-16324.881</v>
      </c>
      <c r="O28" s="3">
        <f>-181*17.8414</f>
        <v>-3229.2934</v>
      </c>
      <c r="P28" s="3">
        <f t="shared" si="1"/>
        <v>-4835.0194</v>
      </c>
      <c r="Q28">
        <v>0</v>
      </c>
      <c r="R28">
        <v>1</v>
      </c>
    </row>
    <row r="29" spans="1:18">
      <c r="A29" s="1" t="s">
        <v>45</v>
      </c>
      <c r="B29" s="3">
        <f>15478*18.0872</f>
        <v>279953.6816</v>
      </c>
      <c r="C29" s="3">
        <f>-14138*18.0872</f>
        <v>-255716.8336</v>
      </c>
      <c r="D29" s="3">
        <f t="shared" ref="D29:D34" si="3">B29+C29</f>
        <v>24236.848</v>
      </c>
      <c r="E29" s="3">
        <f>1364*18.0872</f>
        <v>24670.9408</v>
      </c>
      <c r="F29" s="3">
        <f>852*18.0872</f>
        <v>15410.2944</v>
      </c>
      <c r="G29" s="3">
        <f>582*18.0872</f>
        <v>10526.7504</v>
      </c>
      <c r="H29">
        <f>4845*1000000</f>
        <v>4845000000</v>
      </c>
      <c r="I29" s="3">
        <f>(142516*18.0872)-J29</f>
        <v>760675.2832</v>
      </c>
      <c r="J29" s="3">
        <f>(829+283+862+2314+87547+92+2362+1227+4944)*18.0872</f>
        <v>1817040.112</v>
      </c>
      <c r="K29" s="3">
        <f>(132971*18.0872)-L29</f>
        <v>1464412.0608</v>
      </c>
      <c r="L29" s="3">
        <f>(5986+3044+284+330+454+189+4276+36243+1201)*18.0872</f>
        <v>940661.0104</v>
      </c>
      <c r="M29" s="3">
        <f>3759*18.0872</f>
        <v>67989.7848</v>
      </c>
      <c r="N29" s="3">
        <f>-3356*18.0872</f>
        <v>-60700.6432</v>
      </c>
      <c r="O29" s="3">
        <f>-52*18.0872</f>
        <v>-940.5344</v>
      </c>
      <c r="P29" s="3">
        <f t="shared" ref="P29:P34" si="4">SUM(M29:O29)</f>
        <v>6348.60719999999</v>
      </c>
      <c r="Q29">
        <v>1</v>
      </c>
      <c r="R29">
        <v>0</v>
      </c>
    </row>
    <row r="30" spans="1:18">
      <c r="A30" s="1" t="s">
        <v>46</v>
      </c>
      <c r="B30" s="3">
        <f>8032*19.7493</f>
        <v>158626.3776</v>
      </c>
      <c r="C30" s="3">
        <f>-7388*19.7493</f>
        <v>-145907.8284</v>
      </c>
      <c r="D30" s="3">
        <f t="shared" si="3"/>
        <v>12718.5492</v>
      </c>
      <c r="E30" s="3">
        <f>683*19.7493</f>
        <v>13488.7719</v>
      </c>
      <c r="F30" s="3">
        <f>419*19.7493</f>
        <v>8274.9567</v>
      </c>
      <c r="G30" s="3">
        <f>260*19.7493</f>
        <v>5134.818</v>
      </c>
      <c r="H30">
        <f>4855*1000000</f>
        <v>4855000000</v>
      </c>
      <c r="I30" s="3">
        <f>(142141*19.7493)-J30</f>
        <v>822104.1111</v>
      </c>
      <c r="J30" s="3">
        <f>(808+247+804+2394+87033+95+2938+1161+5034)*19.7493</f>
        <v>1985081.1402</v>
      </c>
      <c r="K30" s="3">
        <f>(132606*19.7493)-L30</f>
        <v>1647684.099</v>
      </c>
      <c r="L30" s="3">
        <f>(5678+228+291+476+169+5173+36000+1161)*19.7493</f>
        <v>971191.5768</v>
      </c>
      <c r="M30" s="3">
        <f>2431*19.7493</f>
        <v>48010.5483</v>
      </c>
      <c r="N30" s="3">
        <f>-2508*19.7493</f>
        <v>-49531.2444</v>
      </c>
      <c r="O30" s="3">
        <f>431*19.7493</f>
        <v>8511.9483</v>
      </c>
      <c r="P30" s="3">
        <f t="shared" si="4"/>
        <v>6991.2522</v>
      </c>
      <c r="Q30">
        <v>0</v>
      </c>
      <c r="R30">
        <v>1</v>
      </c>
    </row>
    <row r="31" spans="1:18">
      <c r="A31" s="1" t="s">
        <v>47</v>
      </c>
      <c r="B31" s="3">
        <f>13695*22.2054</f>
        <v>304102.953</v>
      </c>
      <c r="C31" s="3">
        <f>-12407*22.2054</f>
        <v>-275502.3978</v>
      </c>
      <c r="D31" s="3">
        <f t="shared" si="3"/>
        <v>28600.5552</v>
      </c>
      <c r="E31" s="3">
        <f>1319*22.2054</f>
        <v>29288.9226</v>
      </c>
      <c r="F31" s="3">
        <f>924*22.2054</f>
        <v>20517.7896</v>
      </c>
      <c r="G31" s="3">
        <f>614*22.2054</f>
        <v>13634.1156</v>
      </c>
      <c r="H31">
        <f>4813*1000000</f>
        <v>4813000000</v>
      </c>
      <c r="I31" s="3">
        <f>(133548*22.2054)-J31</f>
        <v>817402.9794</v>
      </c>
      <c r="J31" s="3">
        <f>(716+284+784+2661+82601+88+2007+3076+4520)*22.2054</f>
        <v>2148083.7798</v>
      </c>
      <c r="K31" s="3">
        <f>(124614*22.2054)-L31</f>
        <v>1763841.5382</v>
      </c>
      <c r="L31" s="3">
        <f>(4661+199+274+417+186+3787+32328+3317+12)*22.2054</f>
        <v>1003262.1774</v>
      </c>
      <c r="M31" s="3">
        <f>5690*22.2054</f>
        <v>126348.726</v>
      </c>
      <c r="N31" s="3">
        <f>-5757*22.2054</f>
        <v>-127836.4878</v>
      </c>
      <c r="O31" s="3">
        <f>283*22.2054</f>
        <v>6284.1282</v>
      </c>
      <c r="P31" s="3">
        <f t="shared" si="4"/>
        <v>4796.36640000001</v>
      </c>
      <c r="Q31">
        <v>1</v>
      </c>
      <c r="R31">
        <v>0</v>
      </c>
    </row>
    <row r="32" spans="1:18">
      <c r="A32" s="1" t="s">
        <v>48</v>
      </c>
      <c r="B32" s="3">
        <f>7648*17.1352</f>
        <v>131050.0096</v>
      </c>
      <c r="C32" s="3">
        <f>-7053*17.1352</f>
        <v>-120854.5656</v>
      </c>
      <c r="D32" s="3">
        <f t="shared" si="3"/>
        <v>10195.444</v>
      </c>
      <c r="E32" s="3">
        <f>608*17.1352</f>
        <v>10418.2016</v>
      </c>
      <c r="F32" s="3">
        <f>425*17.1352</f>
        <v>7282.46</v>
      </c>
      <c r="G32" s="3">
        <f>284*17.1352</f>
        <v>4866.3968</v>
      </c>
      <c r="H32">
        <f>4773*1000000</f>
        <v>4773000000</v>
      </c>
      <c r="I32" s="3">
        <f>(152053*17.1352)-J32</f>
        <v>840824.264</v>
      </c>
      <c r="J32" s="3">
        <f>(866+311+729+3058+88996+136+3368+1541+3978)*17.1352</f>
        <v>1764634.3016</v>
      </c>
      <c r="K32" s="3">
        <f>(142166*17.1352)-L32</f>
        <v>1520440.5664</v>
      </c>
      <c r="L32" s="3">
        <f>(6585+158+254+408+207+5631+38607+1584)*17.1352</f>
        <v>915602.2768</v>
      </c>
      <c r="M32" s="3">
        <f>2315*17.1352</f>
        <v>39667.988</v>
      </c>
      <c r="N32" s="3">
        <f>-3072*17.1352</f>
        <v>-52639.3344</v>
      </c>
      <c r="O32" s="3">
        <f>-77*17.1352</f>
        <v>-1319.4104</v>
      </c>
      <c r="P32" s="3">
        <f t="shared" si="4"/>
        <v>-14290.7568</v>
      </c>
      <c r="Q32">
        <v>0</v>
      </c>
      <c r="R32">
        <v>1</v>
      </c>
    </row>
    <row r="33" spans="1:18">
      <c r="A33" s="1" t="s">
        <v>49</v>
      </c>
      <c r="B33" s="3">
        <f>18696*16.0619</f>
        <v>300293.2824</v>
      </c>
      <c r="C33" s="3">
        <f>-17485*16.0619</f>
        <v>-280842.3215</v>
      </c>
      <c r="D33" s="3">
        <f t="shared" si="3"/>
        <v>19450.9609</v>
      </c>
      <c r="E33" s="3">
        <f>1216*16.0619</f>
        <v>19531.2704</v>
      </c>
      <c r="F33" s="3">
        <f>845*16.0619</f>
        <v>13572.3055</v>
      </c>
      <c r="G33" s="3">
        <f>570*16.0619</f>
        <v>9155.283</v>
      </c>
      <c r="H33">
        <f>4773*1000000</f>
        <v>4773000000</v>
      </c>
      <c r="I33" s="3">
        <f>(171568*16.0619)-J33</f>
        <v>920025.632</v>
      </c>
      <c r="J33" s="3">
        <f>(1111+96+756+3115+100533+74+2416+1340+4847)*16.0619</f>
        <v>1835682.4272</v>
      </c>
      <c r="K33" s="3">
        <f>(160400*16.0619)-L33</f>
        <v>1603025.8057</v>
      </c>
      <c r="L33" s="3">
        <f>(7981+160+290+440+144+5112+45309+1161)*16.0619</f>
        <v>973302.9543</v>
      </c>
      <c r="M33" s="3">
        <f>4784*16.0619</f>
        <v>76840.1296</v>
      </c>
      <c r="N33" s="3">
        <f>-4621*16.0619</f>
        <v>-74222.0399</v>
      </c>
      <c r="O33" s="3">
        <f>-318*16.0619</f>
        <v>-5107.6842</v>
      </c>
      <c r="P33" s="3">
        <f t="shared" si="4"/>
        <v>-2489.5945</v>
      </c>
      <c r="Q33">
        <v>1</v>
      </c>
      <c r="R33">
        <v>0</v>
      </c>
    </row>
    <row r="34" spans="1:18">
      <c r="A34" s="1" t="s">
        <v>50</v>
      </c>
      <c r="B34" s="3">
        <f>10822*17.2798</f>
        <v>187001.9956</v>
      </c>
      <c r="C34" s="3">
        <f>-9934*17.2798</f>
        <v>-171657.5332</v>
      </c>
      <c r="D34" s="3">
        <f t="shared" si="3"/>
        <v>15344.4624</v>
      </c>
      <c r="E34" s="3">
        <f>940*17.2798</f>
        <v>16243.012</v>
      </c>
      <c r="F34" s="3">
        <f>679*17.2798</f>
        <v>11732.9842</v>
      </c>
      <c r="G34" s="3">
        <f>531*17.2798</f>
        <v>9175.5738</v>
      </c>
      <c r="H34">
        <f>4771*1000000</f>
        <v>4771000000</v>
      </c>
      <c r="I34" s="3">
        <f>(172087*17.2798)-J34</f>
        <v>847487.791</v>
      </c>
      <c r="J34" s="3">
        <f>(1159+70+749+3376+107960+56+3050+1447+5175)*17.2798</f>
        <v>2126141.1516</v>
      </c>
      <c r="K34" s="3">
        <f>(161395*17.2798)-L34</f>
        <v>1689584.2844</v>
      </c>
      <c r="L34" s="3">
        <f>(10787+157+291+470+160+5013+45250+1489)*17.2798</f>
        <v>1099289.0366</v>
      </c>
      <c r="M34" s="3">
        <f>2651*17.2798</f>
        <v>45808.7498</v>
      </c>
      <c r="N34" s="3">
        <f>-2026*17.2798</f>
        <v>-35008.8748</v>
      </c>
      <c r="O34" s="3">
        <f>-377*17.2798</f>
        <v>-6514.4846</v>
      </c>
      <c r="P34" s="3">
        <f t="shared" si="4"/>
        <v>4285.3904</v>
      </c>
      <c r="Q34">
        <v>0</v>
      </c>
      <c r="R34">
        <v>1</v>
      </c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2018-01-08T16:16:00Z</dcterms:created>
  <dcterms:modified xsi:type="dcterms:W3CDTF">2018-01-11T19:09:44Z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