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185" windowHeight="85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<sst xmlns="http://schemas.openxmlformats.org/spreadsheetml/2006/main" count="50">
  <si>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</si>
  <si>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</si>
  <si>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</si>
  <si>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</si>
  <si>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</si>
  <si>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</si>
  <si>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</si>
  <si>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</si>
  <si>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</si>
  <si>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</si>
  <si>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</si>
  <si>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</si>
  <si>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</si>
  <si>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</si>
  <si>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</si>
  <si>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</si>
  <si>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</si>
  <si>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</si>
  <si>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14-08-2002</t>
  </si>
  <si>
    <t>06-03-2003</t>
  </si>
  <si>
    <t>14-08-2003</t>
  </si>
  <si>
    <t>11-03-2004</t>
  </si>
  <si>
    <t>19-08-2004</t>
  </si>
  <si>
    <t>10-03-2005</t>
  </si>
  <si>
    <t>20-08-2005</t>
  </si>
  <si>
    <t>09-03-2006</t>
  </si>
  <si>
    <t>16-08-2006</t>
  </si>
  <si>
    <t>07-03-2007</t>
  </si>
  <si>
    <t>15-08-2007</t>
  </si>
  <si>
    <t>05-03-2008</t>
  </si>
  <si>
    <t>13-08-2008</t>
  </si>
  <si>
    <t>05-03-2009</t>
  </si>
  <si>
    <t>13-08-2009</t>
  </si>
  <si>
    <t>04-03-2010</t>
  </si>
  <si>
    <t>12-08-2010</t>
  </si>
  <si>
    <t>03-03-2011</t>
  </si>
  <si>
    <t>11-08-2011</t>
  </si>
  <si>
    <t>08-03-2012</t>
  </si>
  <si>
    <t>16-08-2012</t>
  </si>
  <si>
    <t>07-03-2013</t>
  </si>
  <si>
    <t>15-08-2013</t>
  </si>
  <si>
    <t>06-03-2014</t>
  </si>
  <si>
    <t>14-08-2014</t>
  </si>
  <si>
    <t>05-03-2015</t>
  </si>
  <si>
    <t>14-08-2015</t>
  </si>
  <si>
    <t>03-03-2016</t>
  </si>
  <si>
    <t>20-08-2016</t>
  </si>
  <si>
    <t>02-03-2017</t>
  </si>
  <si>
    <t>17-08-2017</t>
  </si>
  <si>
    <t>08-03-2018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</si>
</sst>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topLeftCell="A10" workbookViewId="0">
      <selection activeCell="Q34" sqref="Q34"/>
    </sheetView>
  </sheetViews>
  <sheetFormatPr defaultColWidth="9" defaultRowHeight="15"/>
  <cols>
    <col min="1" max="1" width="11.1142857142857" customWidth="1"/>
    <col min="2" max="2" width="14.1142857142857"/>
    <col min="3" max="3" width="12.2190476190476" customWidth="1"/>
    <col min="4" max="4" width="11.447619047619" customWidth="1"/>
    <col min="5" max="5" width="15.2190476190476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f>14377+5287</f>
        <v>19664</v>
      </c>
      <c r="C2" s="3">
        <f>-1049-9560</f>
        <v>-10609</v>
      </c>
      <c r="D2" s="3">
        <f>B2+C2</f>
        <v>9055</v>
      </c>
      <c r="E2">
        <v>3242</v>
      </c>
      <c r="F2">
        <v>621</v>
      </c>
      <c r="G2">
        <v>2402</v>
      </c>
      <c r="H2">
        <f>1327*1000000</f>
        <v>1327000000</v>
      </c>
      <c r="I2">
        <f>416421-J2</f>
        <v>300635</v>
      </c>
      <c r="J2">
        <f>60854+51456+3476</f>
        <v>115786</v>
      </c>
      <c r="K2">
        <f>384358-L2</f>
        <v>12232</v>
      </c>
      <c r="L2">
        <f>259786+36819+75521</f>
        <v>372126</v>
      </c>
      <c r="M2">
        <v>20317</v>
      </c>
      <c r="N2">
        <v>-1963</v>
      </c>
      <c r="O2">
        <v>-192</v>
      </c>
      <c r="P2">
        <f t="shared" ref="P2:P32" si="0">SUM(M2:O2)</f>
        <v>18162</v>
      </c>
      <c r="Q2">
        <v>0</v>
      </c>
      <c r="R2">
        <v>1</v>
      </c>
    </row>
    <row r="3" spans="1:18">
      <c r="A3" s="2" t="s">
        <v>19</v>
      </c>
      <c r="B3" s="3">
        <f>31230+11435</f>
        <v>42665</v>
      </c>
      <c r="C3" s="3">
        <f>-20697-1955</f>
        <v>-22652</v>
      </c>
      <c r="D3" s="3">
        <f t="shared" ref="D3:D11" si="1">B3+C3</f>
        <v>20013</v>
      </c>
      <c r="E3">
        <v>1369</v>
      </c>
      <c r="F3">
        <v>996</v>
      </c>
      <c r="G3">
        <v>5263</v>
      </c>
      <c r="H3">
        <f>1328*1000000</f>
        <v>1328000000</v>
      </c>
      <c r="I3">
        <f>389698-J3</f>
        <v>297008</v>
      </c>
      <c r="J3">
        <f>45356+43580+3754</f>
        <v>92690</v>
      </c>
      <c r="K3">
        <f>357638-L3</f>
        <v>10733</v>
      </c>
      <c r="L3">
        <f>239715+33490+73700</f>
        <v>346905</v>
      </c>
      <c r="M3">
        <f>15589-3650</f>
        <v>11939</v>
      </c>
      <c r="N3">
        <v>-5379</v>
      </c>
      <c r="O3">
        <v>-1082</v>
      </c>
      <c r="P3">
        <f t="shared" si="0"/>
        <v>5478</v>
      </c>
      <c r="Q3">
        <v>1</v>
      </c>
      <c r="R3">
        <v>0</v>
      </c>
    </row>
    <row r="4" spans="1:18">
      <c r="A4" s="2" t="s">
        <v>20</v>
      </c>
      <c r="B4" s="3">
        <f>18763+6085</f>
        <v>24848</v>
      </c>
      <c r="C4" s="3">
        <f>-12922-1124</f>
        <v>-14046</v>
      </c>
      <c r="D4" s="3">
        <f t="shared" si="1"/>
        <v>10802</v>
      </c>
      <c r="E4">
        <v>4259</v>
      </c>
      <c r="F4">
        <v>4291</v>
      </c>
      <c r="G4">
        <v>2926</v>
      </c>
      <c r="H4">
        <f>1332*1000000</f>
        <v>1332000000</v>
      </c>
      <c r="I4">
        <f>518600-J4</f>
        <v>311741</v>
      </c>
      <c r="J4">
        <f>45637+95492+36240+25859+3631</f>
        <v>206859</v>
      </c>
      <c r="K4">
        <f>486485-L4</f>
        <v>11532</v>
      </c>
      <c r="L4">
        <f>95159+13380+257125+35485+73804</f>
        <v>474953</v>
      </c>
      <c r="M4">
        <v>2961</v>
      </c>
      <c r="N4">
        <v>-2800</v>
      </c>
      <c r="O4">
        <v>-1186</v>
      </c>
      <c r="P4">
        <f t="shared" si="0"/>
        <v>-1025</v>
      </c>
      <c r="Q4">
        <v>0</v>
      </c>
      <c r="R4">
        <v>1</v>
      </c>
    </row>
    <row r="5" spans="1:18">
      <c r="A5" s="4" t="s">
        <v>21</v>
      </c>
      <c r="B5" s="3">
        <v>52227.77</v>
      </c>
      <c r="C5" s="3">
        <v>-29523.1454396056</v>
      </c>
      <c r="D5" s="3">
        <f t="shared" si="1"/>
        <v>22704.6245603944</v>
      </c>
      <c r="E5">
        <v>8771</v>
      </c>
      <c r="F5">
        <v>6071</v>
      </c>
      <c r="G5">
        <v>6346</v>
      </c>
      <c r="H5">
        <f>1344*1000000</f>
        <v>1344000000</v>
      </c>
      <c r="I5">
        <f>540390-J5</f>
        <v>336583</v>
      </c>
      <c r="J5">
        <f>22081+22018+104723+31811+19487+3687</f>
        <v>203807</v>
      </c>
      <c r="K5">
        <f>505302-L5</f>
        <v>11000</v>
      </c>
      <c r="L5">
        <f>98634+18162+272677+20989+83840</f>
        <v>494302</v>
      </c>
      <c r="M5">
        <f>16986-11374</f>
        <v>5612</v>
      </c>
      <c r="N5">
        <v>-5863</v>
      </c>
      <c r="O5">
        <v>-1759</v>
      </c>
      <c r="P5">
        <f t="shared" si="0"/>
        <v>-2010</v>
      </c>
      <c r="Q5">
        <v>1</v>
      </c>
      <c r="R5">
        <v>0</v>
      </c>
    </row>
    <row r="6" spans="1:18">
      <c r="A6" s="4" t="s">
        <v>22</v>
      </c>
      <c r="B6" s="3">
        <v>27368.3888236675</v>
      </c>
      <c r="C6" s="3">
        <v>-15470.7175393285</v>
      </c>
      <c r="D6" s="3">
        <f t="shared" si="1"/>
        <v>11897.671284339</v>
      </c>
      <c r="E6">
        <v>4691</v>
      </c>
      <c r="F6">
        <v>3275</v>
      </c>
      <c r="G6">
        <v>3360</v>
      </c>
      <c r="H6">
        <f>1342*1000000</f>
        <v>1342000000</v>
      </c>
      <c r="I6">
        <f>533080-J6</f>
        <v>351719</v>
      </c>
      <c r="J6">
        <f>52326+76199+31880+17251+3705</f>
        <v>181361</v>
      </c>
      <c r="K6">
        <f>496511-L6</f>
        <v>11051</v>
      </c>
      <c r="L6">
        <f>70672+12751+294063+22777+85197</f>
        <v>485460</v>
      </c>
      <c r="M6">
        <f>8698+3093</f>
        <v>11791</v>
      </c>
      <c r="N6">
        <v>-2763</v>
      </c>
      <c r="O6">
        <v>-1576</v>
      </c>
      <c r="P6">
        <f t="shared" si="0"/>
        <v>7452</v>
      </c>
      <c r="Q6">
        <v>0</v>
      </c>
      <c r="R6">
        <v>1</v>
      </c>
    </row>
    <row r="7" spans="1:18">
      <c r="A7" s="4" t="s">
        <v>23</v>
      </c>
      <c r="B7" s="3">
        <f>35206+15048</f>
        <v>50254</v>
      </c>
      <c r="C7" s="3">
        <f>-23755-1048</f>
        <v>-24803</v>
      </c>
      <c r="D7" s="3">
        <f t="shared" si="1"/>
        <v>25451</v>
      </c>
      <c r="E7">
        <v>10209</v>
      </c>
      <c r="F7">
        <v>7342</v>
      </c>
      <c r="G7">
        <v>7648</v>
      </c>
      <c r="H7">
        <f>1322*1000000</f>
        <v>1322000000</v>
      </c>
      <c r="I7">
        <f>615577-J7</f>
        <v>382532</v>
      </c>
      <c r="J7">
        <f>31384+21040+124235+32130+19640+4616</f>
        <v>233045</v>
      </c>
      <c r="K7">
        <f>577013-L7</f>
        <v>12557</v>
      </c>
      <c r="L7">
        <f>116214+14410+316516+19267+98049</f>
        <v>564456</v>
      </c>
      <c r="M7">
        <f>15990+906</f>
        <v>16896</v>
      </c>
      <c r="N7">
        <v>1014</v>
      </c>
      <c r="O7">
        <v>-4037</v>
      </c>
      <c r="P7">
        <f t="shared" si="0"/>
        <v>13873</v>
      </c>
      <c r="Q7">
        <v>1</v>
      </c>
      <c r="R7">
        <v>0</v>
      </c>
    </row>
    <row r="8" spans="1:18">
      <c r="A8" s="4" t="s">
        <v>24</v>
      </c>
      <c r="B8" s="3">
        <f>18315+7943</f>
        <v>26258</v>
      </c>
      <c r="C8" s="3">
        <f>-12127-638</f>
        <v>-12765</v>
      </c>
      <c r="D8" s="3">
        <f t="shared" si="1"/>
        <v>13493</v>
      </c>
      <c r="E8">
        <v>6901</v>
      </c>
      <c r="F8">
        <v>4374</v>
      </c>
      <c r="G8">
        <v>3941</v>
      </c>
      <c r="H8">
        <f>1204*1000000</f>
        <v>1204000000</v>
      </c>
      <c r="I8">
        <f>698907-J8</f>
        <v>471487</v>
      </c>
      <c r="J8">
        <f>60994+28060+103434+33550+1382</f>
        <v>227420</v>
      </c>
      <c r="K8">
        <f>661265-L8</f>
        <v>11055</v>
      </c>
      <c r="L8">
        <f>103322+28992+366495+5332+21892+124177</f>
        <v>650210</v>
      </c>
      <c r="M8">
        <f>8516+21308</f>
        <v>29824</v>
      </c>
      <c r="N8">
        <v>-4237</v>
      </c>
      <c r="O8">
        <v>-1548</v>
      </c>
      <c r="P8">
        <f t="shared" si="0"/>
        <v>24039</v>
      </c>
      <c r="Q8">
        <v>0</v>
      </c>
      <c r="R8">
        <v>1</v>
      </c>
    </row>
    <row r="9" spans="1:18">
      <c r="A9" s="2" t="s">
        <v>25</v>
      </c>
      <c r="B9">
        <f>38697+16718</f>
        <v>55415</v>
      </c>
      <c r="C9" s="3">
        <f>-25710-1207</f>
        <v>-26917</v>
      </c>
      <c r="D9" s="3">
        <f t="shared" si="1"/>
        <v>28498</v>
      </c>
      <c r="E9">
        <v>14582</v>
      </c>
      <c r="F9">
        <v>9297</v>
      </c>
      <c r="G9">
        <v>9013</v>
      </c>
      <c r="H9">
        <f>1353382*1000</f>
        <v>1353382000</v>
      </c>
      <c r="I9">
        <f>755678-J9</f>
        <v>512509</v>
      </c>
      <c r="J9">
        <f>70852+30313+100188+38446+990+2380</f>
        <v>243169</v>
      </c>
      <c r="K9">
        <f>715714-L9</f>
        <v>33936</v>
      </c>
      <c r="L9">
        <f>98826+21462+412462+6926+1267+140835</f>
        <v>681778</v>
      </c>
      <c r="M9">
        <f>19020+27895</f>
        <v>46915</v>
      </c>
      <c r="N9">
        <v>-5377</v>
      </c>
      <c r="O9">
        <v>-1907</v>
      </c>
      <c r="P9">
        <f t="shared" si="0"/>
        <v>39631</v>
      </c>
      <c r="Q9">
        <v>1</v>
      </c>
      <c r="R9">
        <v>0</v>
      </c>
    </row>
    <row r="10" spans="1:18">
      <c r="A10" s="2" t="s">
        <v>26</v>
      </c>
      <c r="B10">
        <f>22094+9048</f>
        <v>31142</v>
      </c>
      <c r="C10">
        <f>-14630-1300</f>
        <v>-15930</v>
      </c>
      <c r="D10" s="3">
        <f t="shared" si="1"/>
        <v>15212</v>
      </c>
      <c r="E10">
        <v>8733</v>
      </c>
      <c r="F10">
        <v>6019</v>
      </c>
      <c r="G10">
        <v>4653</v>
      </c>
      <c r="H10">
        <f>1379172*1000</f>
        <v>1379172000</v>
      </c>
      <c r="I10">
        <f>931311-J10</f>
        <v>629669</v>
      </c>
      <c r="J10">
        <f>84139+30381+120021+66083+1018</f>
        <v>301642</v>
      </c>
      <c r="K10">
        <f>882520-L10</f>
        <v>62475</v>
      </c>
      <c r="L10">
        <f>120494+43538+498994+6737+150282</f>
        <v>820045</v>
      </c>
      <c r="M10">
        <f>10189+3581</f>
        <v>13770</v>
      </c>
      <c r="N10">
        <v>-2702</v>
      </c>
      <c r="O10">
        <v>1744</v>
      </c>
      <c r="P10">
        <f t="shared" si="0"/>
        <v>12812</v>
      </c>
      <c r="Q10">
        <v>0</v>
      </c>
      <c r="R10">
        <v>1</v>
      </c>
    </row>
    <row r="11" spans="1:18">
      <c r="A11" s="2" t="s">
        <v>27</v>
      </c>
      <c r="B11">
        <f>50855+19712</f>
        <v>70567</v>
      </c>
      <c r="C11">
        <f>-34201-2733</f>
        <v>-36934</v>
      </c>
      <c r="D11" s="3">
        <f t="shared" si="1"/>
        <v>33633</v>
      </c>
      <c r="E11">
        <v>18943</v>
      </c>
      <c r="F11">
        <v>12510</v>
      </c>
      <c r="G11">
        <v>10188</v>
      </c>
      <c r="H11">
        <f>1380416*1000</f>
        <v>1380416000</v>
      </c>
      <c r="I11">
        <f>968991-J11</f>
        <v>682218</v>
      </c>
      <c r="J11">
        <f>74154+29175+100832+81569+1043</f>
        <v>286773</v>
      </c>
      <c r="K11">
        <f>913747-L11</f>
        <v>51893</v>
      </c>
      <c r="L11">
        <f>103122+36790+545164+7880+168898</f>
        <v>861854</v>
      </c>
      <c r="M11">
        <f>23763-9601</f>
        <v>14162</v>
      </c>
      <c r="N11">
        <v>-13511</v>
      </c>
      <c r="O11">
        <v>2187</v>
      </c>
      <c r="P11">
        <f t="shared" si="0"/>
        <v>2838</v>
      </c>
      <c r="Q11">
        <v>1</v>
      </c>
      <c r="R11">
        <v>0</v>
      </c>
    </row>
    <row r="12" spans="1:18">
      <c r="A12" s="2" t="s">
        <v>28</v>
      </c>
      <c r="B12" s="3">
        <v>41040.1170563699</v>
      </c>
      <c r="C12" s="3">
        <v>-20255.4627163836</v>
      </c>
      <c r="D12" s="3">
        <v>20784.6543399863</v>
      </c>
      <c r="E12" s="3">
        <v>10630.3193952601</v>
      </c>
      <c r="F12">
        <v>7645</v>
      </c>
      <c r="G12">
        <v>5933</v>
      </c>
      <c r="H12">
        <f>1386926*1000</f>
        <v>1386926000</v>
      </c>
      <c r="I12">
        <f>1087909-J12</f>
        <v>885062</v>
      </c>
      <c r="J12">
        <f>18164+101231+70562+12890</f>
        <v>202847</v>
      </c>
      <c r="K12">
        <f>1028139-L12</f>
        <v>68498</v>
      </c>
      <c r="L12">
        <f>102857+37562+636405+182817</f>
        <v>959641</v>
      </c>
      <c r="M12">
        <f>16775-8896</f>
        <v>7879</v>
      </c>
      <c r="N12">
        <v>-7279</v>
      </c>
      <c r="O12">
        <v>-2616</v>
      </c>
      <c r="P12">
        <f t="shared" si="0"/>
        <v>-2016</v>
      </c>
      <c r="Q12">
        <v>0</v>
      </c>
      <c r="R12">
        <v>1</v>
      </c>
    </row>
    <row r="13" spans="1:18">
      <c r="A13" s="2" t="s">
        <v>29</v>
      </c>
      <c r="B13" s="3">
        <v>97130</v>
      </c>
      <c r="C13" s="3">
        <v>-50836.7851828759</v>
      </c>
      <c r="D13" s="3">
        <v>46293.2148171241</v>
      </c>
      <c r="E13">
        <v>23258</v>
      </c>
      <c r="F13">
        <v>16572</v>
      </c>
      <c r="G13">
        <v>12721</v>
      </c>
      <c r="H13">
        <f>1388217*1000</f>
        <v>1388217000</v>
      </c>
      <c r="I13">
        <f>1182075-J13</f>
        <v>687893</v>
      </c>
      <c r="J13">
        <f>20618+331596+141968</f>
        <v>494182</v>
      </c>
      <c r="K13">
        <f>1113639-L13</f>
        <v>656268</v>
      </c>
      <c r="L13">
        <f>70543+200691+186137</f>
        <v>457371</v>
      </c>
      <c r="M13">
        <f>32694-14956</f>
        <v>17738</v>
      </c>
      <c r="N13">
        <v>-14001</v>
      </c>
      <c r="O13">
        <v>-1115</v>
      </c>
      <c r="P13">
        <f t="shared" si="0"/>
        <v>2622</v>
      </c>
      <c r="Q13">
        <v>1</v>
      </c>
      <c r="R13">
        <v>0</v>
      </c>
    </row>
    <row r="14" spans="1:18">
      <c r="A14" s="2" t="s">
        <v>30</v>
      </c>
      <c r="B14">
        <v>42302</v>
      </c>
      <c r="C14" s="3">
        <v>-22140.4065356328</v>
      </c>
      <c r="D14" s="3">
        <f t="shared" ref="D14:D32" si="2">B14+C14</f>
        <v>20161.5934643672</v>
      </c>
      <c r="E14">
        <v>12449</v>
      </c>
      <c r="F14">
        <v>9183</v>
      </c>
      <c r="G14">
        <v>7241</v>
      </c>
      <c r="H14">
        <f>1486991*1000</f>
        <v>1486991000</v>
      </c>
      <c r="I14">
        <f>1354447-J14</f>
        <v>780254</v>
      </c>
      <c r="J14">
        <f>23296+361574+189323</f>
        <v>574193</v>
      </c>
      <c r="K14">
        <f>1257384-L14</f>
        <v>22486</v>
      </c>
      <c r="L14">
        <f>779740+274665+180493</f>
        <v>1234898</v>
      </c>
      <c r="M14">
        <f>15592-24177</f>
        <v>-8585</v>
      </c>
      <c r="N14">
        <v>-2212</v>
      </c>
      <c r="O14">
        <v>12791</v>
      </c>
      <c r="P14">
        <f t="shared" si="0"/>
        <v>1994</v>
      </c>
      <c r="Q14">
        <v>0</v>
      </c>
      <c r="R14">
        <v>1</v>
      </c>
    </row>
    <row r="15" spans="1:18">
      <c r="A15" s="2" t="s">
        <v>31</v>
      </c>
      <c r="B15">
        <f>101425+29448</f>
        <v>130873</v>
      </c>
      <c r="C15">
        <f>-69507-2845-11342</f>
        <v>-83694</v>
      </c>
      <c r="D15" s="3">
        <f t="shared" si="2"/>
        <v>47179</v>
      </c>
      <c r="E15">
        <v>22573</v>
      </c>
      <c r="F15">
        <v>16749</v>
      </c>
      <c r="G15">
        <v>13932</v>
      </c>
      <c r="H15">
        <v>1447886288</v>
      </c>
      <c r="I15">
        <f>1503653-J15</f>
        <v>1123651</v>
      </c>
      <c r="J15">
        <f>25697+267761+85227+190+1127</f>
        <v>380002</v>
      </c>
      <c r="K15">
        <f>1404152-L15</f>
        <v>69109</v>
      </c>
      <c r="L15">
        <f>262146+48155+843815+2673+6185+172069</f>
        <v>1335043</v>
      </c>
      <c r="M15">
        <v>-942</v>
      </c>
      <c r="N15">
        <v>-10885</v>
      </c>
      <c r="O15">
        <v>7550</v>
      </c>
      <c r="P15">
        <f t="shared" si="0"/>
        <v>-4277</v>
      </c>
      <c r="Q15">
        <v>1</v>
      </c>
      <c r="R15">
        <v>0</v>
      </c>
    </row>
    <row r="16" spans="1:18">
      <c r="A16" s="2" t="s">
        <v>32</v>
      </c>
      <c r="B16">
        <v>41091</v>
      </c>
      <c r="C16" s="3">
        <v>-26277.9194639078</v>
      </c>
      <c r="D16" s="3">
        <f t="shared" si="2"/>
        <v>14813.0805360922</v>
      </c>
      <c r="E16">
        <v>7210</v>
      </c>
      <c r="F16">
        <v>5039</v>
      </c>
      <c r="G16">
        <v>5111</v>
      </c>
      <c r="H16">
        <f>1487924*1000</f>
        <v>1487924000</v>
      </c>
      <c r="I16">
        <f>1326646-J16</f>
        <v>754356</v>
      </c>
      <c r="J16">
        <f>22731+337536+212023</f>
        <v>572290</v>
      </c>
      <c r="K16">
        <f>1231201-L16</f>
        <v>23761</v>
      </c>
      <c r="L16">
        <f>769052+269655+168733</f>
        <v>1207440</v>
      </c>
      <c r="M16">
        <f>15888-15676</f>
        <v>212</v>
      </c>
      <c r="N16">
        <v>-1182</v>
      </c>
      <c r="O16">
        <v>557</v>
      </c>
      <c r="P16">
        <f t="shared" si="0"/>
        <v>-413</v>
      </c>
      <c r="Q16">
        <v>0</v>
      </c>
      <c r="R16">
        <v>1</v>
      </c>
    </row>
    <row r="17" spans="1:18">
      <c r="A17" s="2" t="s">
        <v>33</v>
      </c>
      <c r="B17">
        <v>106286</v>
      </c>
      <c r="C17" s="3">
        <v>-55628.9359615684</v>
      </c>
      <c r="D17" s="3">
        <f t="shared" si="2"/>
        <v>50657.0640384316</v>
      </c>
      <c r="E17">
        <v>18395</v>
      </c>
      <c r="F17">
        <v>11996</v>
      </c>
      <c r="G17">
        <v>11054</v>
      </c>
      <c r="H17">
        <f>1511038*1000</f>
        <v>1511038000</v>
      </c>
      <c r="I17">
        <f>1339800-J17</f>
        <v>771635</v>
      </c>
      <c r="J17">
        <f>24983+356518+186664</f>
        <v>568165</v>
      </c>
      <c r="K17">
        <f>1240431-L17</f>
        <v>26656</v>
      </c>
      <c r="L17">
        <f>768548+261683+183544</f>
        <v>1213775</v>
      </c>
      <c r="M17">
        <v>6295</v>
      </c>
      <c r="N17">
        <v>-7372</v>
      </c>
      <c r="O17">
        <v>2887</v>
      </c>
      <c r="P17">
        <f t="shared" si="0"/>
        <v>1810</v>
      </c>
      <c r="Q17">
        <v>1</v>
      </c>
      <c r="R17">
        <v>0</v>
      </c>
    </row>
    <row r="18" spans="1:18">
      <c r="A18" s="2" t="s">
        <v>34</v>
      </c>
      <c r="B18" s="3">
        <v>44250</v>
      </c>
      <c r="C18" s="3">
        <v>-21839.7092768735</v>
      </c>
      <c r="D18" s="3">
        <f t="shared" si="2"/>
        <v>22410.2907231265</v>
      </c>
      <c r="E18">
        <v>9757</v>
      </c>
      <c r="F18">
        <v>6914</v>
      </c>
      <c r="G18">
        <v>5897</v>
      </c>
      <c r="H18">
        <f>1539165*1000</f>
        <v>1539165000</v>
      </c>
      <c r="I18">
        <f>1315044-J18</f>
        <v>769503</v>
      </c>
      <c r="J18">
        <f>25687+371700+148154</f>
        <v>545541</v>
      </c>
      <c r="K18">
        <f>1211038-L18</f>
        <v>26727</v>
      </c>
      <c r="L18">
        <f>773128+229590+181593</f>
        <v>1184311</v>
      </c>
      <c r="M18">
        <v>9338</v>
      </c>
      <c r="N18">
        <v>-6001</v>
      </c>
      <c r="O18">
        <v>-2775</v>
      </c>
      <c r="P18">
        <f t="shared" si="0"/>
        <v>562</v>
      </c>
      <c r="Q18">
        <v>0</v>
      </c>
      <c r="R18">
        <v>1</v>
      </c>
    </row>
    <row r="19" spans="1:18">
      <c r="A19" s="2" t="s">
        <v>35</v>
      </c>
      <c r="B19">
        <v>109895</v>
      </c>
      <c r="C19" s="3">
        <v>-54238.9796832093</v>
      </c>
      <c r="D19" s="3">
        <f t="shared" si="2"/>
        <v>55656.0203167907</v>
      </c>
      <c r="E19">
        <v>18992</v>
      </c>
      <c r="F19">
        <v>13007</v>
      </c>
      <c r="G19">
        <v>10774</v>
      </c>
      <c r="H19">
        <f>1548001*1000</f>
        <v>1548001000</v>
      </c>
      <c r="I19">
        <f>1336308-J19</f>
        <v>768066</v>
      </c>
      <c r="J19">
        <f>28675+370364+169203</f>
        <v>568242</v>
      </c>
      <c r="K19">
        <f>1233110-L19</f>
        <v>23138</v>
      </c>
      <c r="L19">
        <f>789500+222594+197878</f>
        <v>1209972</v>
      </c>
      <c r="M19">
        <v>27164</v>
      </c>
      <c r="N19">
        <v>-13912</v>
      </c>
      <c r="O19">
        <v>-7810</v>
      </c>
      <c r="P19">
        <f t="shared" si="0"/>
        <v>5442</v>
      </c>
      <c r="Q19">
        <v>1</v>
      </c>
      <c r="R19">
        <v>0</v>
      </c>
    </row>
    <row r="20" spans="1:18">
      <c r="A20" s="2" t="s">
        <v>36</v>
      </c>
      <c r="B20">
        <v>49573</v>
      </c>
      <c r="C20" s="3">
        <v>-24466.8905758746</v>
      </c>
      <c r="D20" s="3">
        <f t="shared" si="2"/>
        <v>25106.1094241254</v>
      </c>
      <c r="E20">
        <v>11542</v>
      </c>
      <c r="F20">
        <v>7823</v>
      </c>
      <c r="G20">
        <v>6580</v>
      </c>
      <c r="H20">
        <f>1557675*1000</f>
        <v>1557675000</v>
      </c>
      <c r="I20">
        <f>1374470-J20</f>
        <v>809729</v>
      </c>
      <c r="J20">
        <f>30816+395729+138196</f>
        <v>564741</v>
      </c>
      <c r="K20">
        <f>1267337-L20</f>
        <v>23473</v>
      </c>
      <c r="L20">
        <f>846556+197564+199744</f>
        <v>1243864</v>
      </c>
      <c r="M20">
        <v>10905</v>
      </c>
      <c r="N20">
        <v>-4128</v>
      </c>
      <c r="O20">
        <v>-4555</v>
      </c>
      <c r="P20">
        <f t="shared" si="0"/>
        <v>2222</v>
      </c>
      <c r="Q20">
        <v>0</v>
      </c>
      <c r="R20">
        <v>1</v>
      </c>
    </row>
    <row r="21" spans="1:18">
      <c r="A21" s="2" t="s">
        <v>37</v>
      </c>
      <c r="B21">
        <v>107387</v>
      </c>
      <c r="C21" s="3">
        <v>-60703.3886831938</v>
      </c>
      <c r="D21" s="3">
        <f t="shared" si="2"/>
        <v>46683.6113168062</v>
      </c>
      <c r="E21">
        <v>22017</v>
      </c>
      <c r="F21">
        <v>15784</v>
      </c>
      <c r="G21">
        <v>13400</v>
      </c>
      <c r="H21">
        <f>1557415*1000</f>
        <v>1557415000</v>
      </c>
      <c r="I21">
        <f>1492829-J21</f>
        <v>900472</v>
      </c>
      <c r="J21">
        <f>31907+385881+174569</f>
        <v>592357</v>
      </c>
      <c r="K21">
        <f>1375296-L21</f>
        <v>52693</v>
      </c>
      <c r="L21">
        <f>876777+237261+208565</f>
        <v>1322603</v>
      </c>
      <c r="M21">
        <v>24605</v>
      </c>
      <c r="N21">
        <v>-10138</v>
      </c>
      <c r="O21">
        <v>-8388</v>
      </c>
      <c r="P21">
        <f t="shared" si="0"/>
        <v>6079</v>
      </c>
      <c r="Q21">
        <v>1</v>
      </c>
      <c r="R21">
        <v>0</v>
      </c>
    </row>
    <row r="22" spans="1:18">
      <c r="A22" s="2" t="s">
        <v>38</v>
      </c>
      <c r="B22">
        <v>63452</v>
      </c>
      <c r="C22" s="3">
        <v>-30820.8514662095</v>
      </c>
      <c r="D22" s="3">
        <f t="shared" si="2"/>
        <v>32631.1485337905</v>
      </c>
      <c r="E22">
        <v>11963</v>
      </c>
      <c r="F22">
        <v>8549</v>
      </c>
      <c r="G22">
        <v>7166</v>
      </c>
      <c r="H22">
        <f>1568121*1000</f>
        <v>1568121000</v>
      </c>
      <c r="I22">
        <f>1542360-J22</f>
        <v>914013</v>
      </c>
      <c r="J22">
        <f>32413+424166+171768</f>
        <v>628347</v>
      </c>
      <c r="K22">
        <f>1422444-L22</f>
        <v>57167</v>
      </c>
      <c r="L22">
        <f>906481+241544+217252</f>
        <v>1365277</v>
      </c>
      <c r="M22">
        <v>4268</v>
      </c>
      <c r="N22">
        <v>-197</v>
      </c>
      <c r="O22">
        <v>-2370</v>
      </c>
      <c r="P22">
        <f t="shared" si="0"/>
        <v>1701</v>
      </c>
      <c r="Q22">
        <v>0</v>
      </c>
      <c r="R22">
        <v>1</v>
      </c>
    </row>
    <row r="23" spans="1:18">
      <c r="A23" s="2" t="s">
        <v>39</v>
      </c>
      <c r="B23">
        <v>68707</v>
      </c>
      <c r="C23" s="3">
        <v>-38838.4788312943</v>
      </c>
      <c r="D23" s="3">
        <f t="shared" si="2"/>
        <v>29868.5211687057</v>
      </c>
      <c r="E23">
        <v>19151</v>
      </c>
      <c r="F23">
        <v>15632</v>
      </c>
      <c r="G23">
        <v>15010</v>
      </c>
      <c r="H23">
        <f>1573835*1000</f>
        <v>1573835000</v>
      </c>
      <c r="I23">
        <f>1544220-J23</f>
        <v>883930</v>
      </c>
      <c r="J23">
        <f>61985+444217+154088</f>
        <v>660290</v>
      </c>
      <c r="K23">
        <f>1414047-L23</f>
        <v>31548</v>
      </c>
      <c r="L23">
        <f>918533+227282+236684</f>
        <v>1382499</v>
      </c>
      <c r="M23">
        <v>42954</v>
      </c>
      <c r="N23">
        <v>-14514</v>
      </c>
      <c r="O23">
        <v>-3820</v>
      </c>
      <c r="P23">
        <f t="shared" si="0"/>
        <v>24620</v>
      </c>
      <c r="Q23">
        <v>1</v>
      </c>
      <c r="R23">
        <v>0</v>
      </c>
    </row>
    <row r="24" spans="1:18">
      <c r="A24" s="2" t="s">
        <v>40</v>
      </c>
      <c r="B24">
        <v>67376</v>
      </c>
      <c r="C24" s="3">
        <v>-33253.610220082</v>
      </c>
      <c r="D24" s="3">
        <f t="shared" si="2"/>
        <v>34122.389779918</v>
      </c>
      <c r="E24">
        <v>13389</v>
      </c>
      <c r="F24">
        <v>9664</v>
      </c>
      <c r="G24">
        <v>8046</v>
      </c>
      <c r="H24">
        <f>1594734*1000</f>
        <v>1594734000</v>
      </c>
      <c r="I24">
        <f>1698718-J24</f>
        <v>987582</v>
      </c>
      <c r="J24">
        <f>56041+479609+175486</f>
        <v>711136</v>
      </c>
      <c r="K24">
        <f>1554595-L24</f>
        <v>30956</v>
      </c>
      <c r="L24">
        <f>996124+286101+241414</f>
        <v>1523639</v>
      </c>
      <c r="M24">
        <v>-6455</v>
      </c>
      <c r="N24">
        <v>-602</v>
      </c>
      <c r="O24">
        <v>-3285</v>
      </c>
      <c r="P24">
        <f t="shared" si="0"/>
        <v>-10342</v>
      </c>
      <c r="Q24">
        <v>0</v>
      </c>
      <c r="R24">
        <v>1</v>
      </c>
    </row>
    <row r="25" spans="1:18">
      <c r="A25" s="2" t="s">
        <v>41</v>
      </c>
      <c r="B25">
        <v>158646</v>
      </c>
      <c r="C25" s="3">
        <v>-78300.1698969236</v>
      </c>
      <c r="D25" s="3">
        <f t="shared" si="2"/>
        <v>80345.8301030764</v>
      </c>
      <c r="E25">
        <v>29770</v>
      </c>
      <c r="F25">
        <v>20006</v>
      </c>
      <c r="G25">
        <v>16986</v>
      </c>
      <c r="H25">
        <f>1598161*1000</f>
        <v>1598161000</v>
      </c>
      <c r="I25">
        <f>1690929-J25</f>
        <v>1089966</v>
      </c>
      <c r="J25">
        <f>53310+457018+90635</f>
        <v>600963</v>
      </c>
      <c r="K25">
        <f>1538281-L25</f>
        <v>159020</v>
      </c>
      <c r="L25">
        <f>921738+193579+263944</f>
        <v>1379261</v>
      </c>
      <c r="M25">
        <v>24020</v>
      </c>
      <c r="N25">
        <v>-17345</v>
      </c>
      <c r="O25">
        <v>-9238</v>
      </c>
      <c r="P25">
        <f t="shared" si="0"/>
        <v>-2563</v>
      </c>
      <c r="Q25">
        <v>1</v>
      </c>
      <c r="R25">
        <v>0</v>
      </c>
    </row>
    <row r="26" spans="1:18">
      <c r="A26" s="2" t="s">
        <v>42</v>
      </c>
      <c r="B26">
        <v>81857</v>
      </c>
      <c r="C26" s="3">
        <v>-46271.86984868</v>
      </c>
      <c r="D26" s="3">
        <f t="shared" si="2"/>
        <v>35585.13015132</v>
      </c>
      <c r="E26">
        <v>15848</v>
      </c>
      <c r="F26">
        <v>10259</v>
      </c>
      <c r="G26">
        <v>8230</v>
      </c>
      <c r="H26">
        <f>1621109*1000</f>
        <v>1621109000</v>
      </c>
      <c r="I26">
        <f>1768277-J26</f>
        <v>1140506</v>
      </c>
      <c r="J26">
        <f>46786+498449+82536</f>
        <v>627771</v>
      </c>
      <c r="K26">
        <f>1611167-L26</f>
        <v>158792</v>
      </c>
      <c r="L26">
        <f>976348+197129+278898</f>
        <v>1452375</v>
      </c>
      <c r="M26">
        <v>-863</v>
      </c>
      <c r="N26">
        <v>-4693</v>
      </c>
      <c r="O26">
        <v>-8691</v>
      </c>
      <c r="P26">
        <f t="shared" si="0"/>
        <v>-14247</v>
      </c>
      <c r="Q26">
        <v>0</v>
      </c>
      <c r="R26">
        <v>1</v>
      </c>
    </row>
    <row r="27" spans="1:18">
      <c r="A27" s="2" t="s">
        <v>43</v>
      </c>
      <c r="B27">
        <v>84240</v>
      </c>
      <c r="C27" s="3">
        <v>-47618.9246619446</v>
      </c>
      <c r="D27" s="3">
        <f t="shared" si="2"/>
        <v>36621.0753380554</v>
      </c>
      <c r="E27">
        <v>28189</v>
      </c>
      <c r="F27">
        <v>18145</v>
      </c>
      <c r="G27">
        <v>17323</v>
      </c>
      <c r="H27">
        <f>1617008*1000</f>
        <v>1617008000</v>
      </c>
      <c r="I27">
        <f>1902845-J27</f>
        <v>1216860</v>
      </c>
      <c r="J27">
        <f>64302+537146+84537</f>
        <v>685985</v>
      </c>
      <c r="K27">
        <f>1741211-L27</f>
        <v>207590</v>
      </c>
      <c r="L27">
        <f>1047212+198893+287516</f>
        <v>1533621</v>
      </c>
      <c r="M27">
        <v>29654</v>
      </c>
      <c r="N27">
        <v>-8298</v>
      </c>
      <c r="O27">
        <v>-10262</v>
      </c>
      <c r="P27">
        <f t="shared" si="0"/>
        <v>11094</v>
      </c>
      <c r="Q27">
        <v>1</v>
      </c>
      <c r="R27">
        <v>0</v>
      </c>
    </row>
    <row r="28" spans="1:18">
      <c r="A28" s="2" t="s">
        <v>44</v>
      </c>
      <c r="B28">
        <v>43248</v>
      </c>
      <c r="C28" s="3">
        <v>-27657.3327729937</v>
      </c>
      <c r="D28" s="3">
        <f t="shared" si="2"/>
        <v>15590.6672270063</v>
      </c>
      <c r="E28">
        <v>13449</v>
      </c>
      <c r="F28">
        <v>13260</v>
      </c>
      <c r="G28">
        <v>10529</v>
      </c>
      <c r="H28">
        <f>1623184*1000</f>
        <v>1623184000</v>
      </c>
      <c r="I28">
        <f>1856820-J28</f>
        <v>1187121</v>
      </c>
      <c r="J28">
        <f>63066+58931+83650+464052</f>
        <v>669699</v>
      </c>
      <c r="K28">
        <f>1690091-L28</f>
        <v>133187</v>
      </c>
      <c r="L28">
        <f>1132127+66749+62675+295353</f>
        <v>1556904</v>
      </c>
      <c r="M28">
        <v>15841</v>
      </c>
      <c r="N28">
        <v>-28435</v>
      </c>
      <c r="O28">
        <v>-5956</v>
      </c>
      <c r="P28">
        <f t="shared" si="0"/>
        <v>-18550</v>
      </c>
      <c r="Q28">
        <v>0</v>
      </c>
      <c r="R28">
        <v>1</v>
      </c>
    </row>
    <row r="29" spans="1:18">
      <c r="A29" s="2" t="s">
        <v>45</v>
      </c>
      <c r="B29">
        <v>91115</v>
      </c>
      <c r="C29" s="3">
        <v>-44970.0590002786</v>
      </c>
      <c r="D29" s="3">
        <f t="shared" si="2"/>
        <v>46144.9409997214</v>
      </c>
      <c r="E29">
        <v>30310</v>
      </c>
      <c r="F29">
        <v>23458</v>
      </c>
      <c r="G29">
        <v>22022</v>
      </c>
      <c r="H29">
        <f>1611522*1000</f>
        <v>1611522000</v>
      </c>
      <c r="I29">
        <f>1979349-J29</f>
        <v>1219691</v>
      </c>
      <c r="J29">
        <f>75112+111089+86219+486704+534</f>
        <v>759658</v>
      </c>
      <c r="K29">
        <f>1800441-L29</f>
        <v>32235</v>
      </c>
      <c r="L29">
        <f>133958+43304+4304+1186514+298232+101894</f>
        <v>1768206</v>
      </c>
      <c r="M29">
        <v>35504</v>
      </c>
      <c r="N29">
        <v>-31828</v>
      </c>
      <c r="O29">
        <v>-11509</v>
      </c>
      <c r="P29">
        <f t="shared" si="0"/>
        <v>-7833</v>
      </c>
      <c r="Q29">
        <v>1</v>
      </c>
      <c r="R29">
        <v>0</v>
      </c>
    </row>
    <row r="30" spans="1:18">
      <c r="A30" s="2" t="s">
        <v>46</v>
      </c>
      <c r="B30">
        <v>61558</v>
      </c>
      <c r="C30" s="3">
        <v>-34797.3143915003</v>
      </c>
      <c r="D30" s="3">
        <f t="shared" si="2"/>
        <v>26760.6856084997</v>
      </c>
      <c r="E30">
        <v>18970</v>
      </c>
      <c r="F30">
        <v>13055</v>
      </c>
      <c r="G30">
        <v>10861</v>
      </c>
      <c r="H30">
        <f>1618260*1000</f>
        <v>1618260000</v>
      </c>
      <c r="I30">
        <f>1947772-J30</f>
        <v>1272568</v>
      </c>
      <c r="J30">
        <f>734+79942+122839+470968+721</f>
        <v>675204</v>
      </c>
      <c r="K30">
        <f>1771515-L30</f>
        <v>29296</v>
      </c>
      <c r="L30">
        <f>90951+46848+7134+1197155+305065+95066</f>
        <v>1742219</v>
      </c>
      <c r="M30">
        <v>10839</v>
      </c>
      <c r="N30">
        <v>1969</v>
      </c>
      <c r="O30">
        <v>-5736</v>
      </c>
      <c r="P30">
        <f t="shared" si="0"/>
        <v>7072</v>
      </c>
      <c r="Q30">
        <v>0</v>
      </c>
      <c r="R30">
        <v>1</v>
      </c>
    </row>
    <row r="31" spans="1:18">
      <c r="A31" s="2" t="s">
        <v>47</v>
      </c>
      <c r="B31">
        <v>121222</v>
      </c>
      <c r="C31" s="3">
        <v>-68523.9943657437</v>
      </c>
      <c r="D31" s="3">
        <f t="shared" si="2"/>
        <v>52698.0056342563</v>
      </c>
      <c r="E31">
        <v>38080</v>
      </c>
      <c r="F31">
        <v>25794</v>
      </c>
      <c r="G31">
        <v>23009</v>
      </c>
      <c r="H31">
        <f>1619444*1000</f>
        <v>1619444000</v>
      </c>
      <c r="I31">
        <f>1954290-J31</f>
        <v>1194577</v>
      </c>
      <c r="J31">
        <f>77474+68620+129845+483774</f>
        <v>759713</v>
      </c>
      <c r="K31">
        <f>1774931-L31</f>
        <v>26792</v>
      </c>
      <c r="L31">
        <f>75083+47867+5522+1213621+307230+98816</f>
        <v>1748139</v>
      </c>
      <c r="M31">
        <v>40255</v>
      </c>
      <c r="N31">
        <v>-13377</v>
      </c>
      <c r="O31">
        <v>-12030</v>
      </c>
      <c r="P31">
        <f t="shared" si="0"/>
        <v>14848</v>
      </c>
      <c r="Q31">
        <v>1</v>
      </c>
      <c r="R31">
        <v>0</v>
      </c>
    </row>
    <row r="32" spans="1:18">
      <c r="A32" s="2" t="s">
        <v>48</v>
      </c>
      <c r="B32">
        <v>61433</v>
      </c>
      <c r="C32" s="3">
        <v>-34726.6547810689</v>
      </c>
      <c r="D32" s="3">
        <f t="shared" si="2"/>
        <v>26706.3452189311</v>
      </c>
      <c r="E32">
        <v>19687</v>
      </c>
      <c r="F32">
        <v>14633</v>
      </c>
      <c r="G32">
        <v>12340</v>
      </c>
      <c r="H32">
        <f>1622574*1000</f>
        <v>1622574000</v>
      </c>
      <c r="I32">
        <f>1952519-J32</f>
        <v>1243822</v>
      </c>
      <c r="J32">
        <f>7094+53690+126565+519084+2264</f>
        <v>708697</v>
      </c>
      <c r="K32">
        <f>1768702-L32</f>
        <v>24954</v>
      </c>
      <c r="L32">
        <f>59861+45758+7970+1212115+309200+108844</f>
        <v>1743748</v>
      </c>
      <c r="M32">
        <v>17401</v>
      </c>
      <c r="N32">
        <v>-10382</v>
      </c>
      <c r="O32">
        <v>-5944</v>
      </c>
      <c r="P32">
        <f t="shared" si="0"/>
        <v>1075</v>
      </c>
      <c r="Q32">
        <v>0</v>
      </c>
      <c r="R32">
        <v>1</v>
      </c>
    </row>
    <row r="33" spans="1:18">
      <c r="A33" s="2" t="s">
        <v>49</v>
      </c>
      <c r="B33">
        <v>127556</v>
      </c>
      <c r="C33">
        <f>-57512-17800</f>
        <v>-75312</v>
      </c>
      <c r="D33" s="3">
        <f>B33+C33</f>
        <v>52244</v>
      </c>
      <c r="E33">
        <f>42834</f>
        <v>42834</v>
      </c>
      <c r="F33">
        <v>30715</v>
      </c>
      <c r="G33">
        <v>26235</v>
      </c>
      <c r="H33">
        <f>1621921*1000</f>
        <v>1621921000</v>
      </c>
      <c r="I33">
        <f>2027928-J33</f>
        <v>1175316</v>
      </c>
      <c r="J33">
        <f>75310+75610+160894+7484+533314</f>
        <v>852612</v>
      </c>
      <c r="K33">
        <f>1837911-L33</f>
        <v>347207</v>
      </c>
      <c r="L33">
        <f>76896+62855+8614+1243911+98428</f>
        <v>1490704</v>
      </c>
      <c r="M33">
        <v>24137</v>
      </c>
      <c r="N33">
        <v>-8415</v>
      </c>
      <c r="O33">
        <v>-12674</v>
      </c>
      <c r="P33">
        <f>SUM(M33:O33)</f>
        <v>3048</v>
      </c>
      <c r="Q33">
        <v>1</v>
      </c>
      <c r="R33">
        <v>0</v>
      </c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2018-01-02T11:40:00Z</dcterms:created>
  <dcterms:modified xsi:type="dcterms:W3CDTF">2018-03-13T07:24:04Z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