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185" windowHeight="85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<sst xmlns="http://schemas.openxmlformats.org/spreadsheetml/2006/main" count="52">
  <si>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</si>
  <si>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</si>
  <si>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</si>
  <si>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</si>
  <si>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</si>
  <si>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</si>
  <si>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</si>
  <si>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</si>
  <si>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</si>
  <si>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</si>
  <si>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</si>
  <si>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</si>
  <si>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</si>
  <si>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</si>
  <si>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</si>
  <si>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</si>
  <si>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</si>
  <si>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</si>
  <si>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05-09-2001</t>
  </si>
  <si>
    <t>07-03-2002</t>
  </si>
  <si>
    <t>05-09-2002</t>
  </si>
  <si>
    <t>06-03-2003</t>
  </si>
  <si>
    <t>04-09-2003</t>
  </si>
  <si>
    <t>04-03-2004</t>
  </si>
  <si>
    <t>02-09-2004</t>
  </si>
  <si>
    <t>03-03-2005</t>
  </si>
  <si>
    <t>08-09-2005</t>
  </si>
  <si>
    <t>09-03-2006</t>
  </si>
  <si>
    <t>07-09-2006</t>
  </si>
  <si>
    <t>08-03-2007</t>
  </si>
  <si>
    <t>06-09-2007</t>
  </si>
  <si>
    <t>06-03-2008</t>
  </si>
  <si>
    <t>04-09-2008</t>
  </si>
  <si>
    <t>05-03-2009</t>
  </si>
  <si>
    <t>03-09-2009</t>
  </si>
  <si>
    <t>11-03-2010</t>
  </si>
  <si>
    <t>09-09-2010</t>
  </si>
  <si>
    <t>10-03-2011</t>
  </si>
  <si>
    <t>08-09-2011</t>
  </si>
  <si>
    <t>08-03-2012</t>
  </si>
  <si>
    <t>06-09-2012</t>
  </si>
  <si>
    <t>07-03-2013</t>
  </si>
  <si>
    <t>05-09-2013</t>
  </si>
  <si>
    <t>06-03-2014</t>
  </si>
  <si>
    <t>04-09-2014</t>
  </si>
  <si>
    <t>05-03-2015</t>
  </si>
  <si>
    <t>03-09-2015</t>
  </si>
  <si>
    <t>10-03-2016</t>
  </si>
  <si>
    <t>08-09-2016</t>
  </si>
  <si>
    <t>09-03-2017</t>
  </si>
  <si>
    <t>07-09-2017</t>
  </si>
  <si>
    <t>08-03-2018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</si>
</sst>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  <numFmt numFmtId="180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/>
    <xf numFmtId="176" fontId="0" fillId="0" borderId="0" xfId="0" applyNumberFormat="1"/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5"/>
  <sheetViews>
    <sheetView tabSelected="1" workbookViewId="0">
      <selection activeCell="Q36" sqref="Q36"/>
    </sheetView>
  </sheetViews>
  <sheetFormatPr defaultColWidth="9" defaultRowHeight="15"/>
  <cols>
    <col min="1" max="1" width="11.447619047619"/>
    <col min="2" max="2" width="12.8857142857143"/>
    <col min="3" max="3" width="12.2190476190476" customWidth="1"/>
    <col min="4" max="4" width="11.447619047619" customWidth="1"/>
    <col min="5" max="5" width="15.2190476190476" customWidth="1"/>
    <col min="7" max="7" width="16.7809523809524" customWidth="1"/>
    <col min="8" max="8" width="13.7809523809524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19347.9514824798</v>
      </c>
      <c r="C2" s="3">
        <v>-5670.78167115903</v>
      </c>
      <c r="D2" s="3">
        <f t="shared" ref="D2:D14" si="0">B2+C2</f>
        <v>13677.1698113208</v>
      </c>
      <c r="E2">
        <v>1004</v>
      </c>
      <c r="F2">
        <v>730</v>
      </c>
      <c r="G2">
        <v>1877</v>
      </c>
      <c r="H2">
        <f>2670*1000000</f>
        <v>2670000000</v>
      </c>
      <c r="I2">
        <f>31186-J2</f>
        <v>27336</v>
      </c>
      <c r="J2">
        <v>3850</v>
      </c>
      <c r="K2">
        <f>((145248+137723)/2)+5059</f>
        <v>146544.5</v>
      </c>
      <c r="L2">
        <f>297+20706</f>
        <v>21003</v>
      </c>
      <c r="M2">
        <v>-9623</v>
      </c>
      <c r="N2">
        <v>7401</v>
      </c>
      <c r="O2">
        <v>132</v>
      </c>
      <c r="P2">
        <f t="shared" ref="P2:P34" si="1">SUM(M2:O2)</f>
        <v>-2090</v>
      </c>
      <c r="Q2">
        <v>0</v>
      </c>
      <c r="R2">
        <v>1</v>
      </c>
    </row>
    <row r="3" spans="1:18">
      <c r="A3" s="4" t="s">
        <v>19</v>
      </c>
      <c r="B3">
        <v>47148</v>
      </c>
      <c r="C3">
        <f>-1553-4785-3252-368</f>
        <v>-9958</v>
      </c>
      <c r="D3" s="3">
        <f t="shared" si="0"/>
        <v>37190</v>
      </c>
      <c r="E3">
        <v>2011</v>
      </c>
      <c r="F3">
        <v>1643</v>
      </c>
      <c r="G3">
        <v>4009</v>
      </c>
      <c r="H3">
        <f>2653*1000000</f>
        <v>2653000000</v>
      </c>
      <c r="I3">
        <f>200206-J3</f>
        <v>55841</v>
      </c>
      <c r="J3">
        <f>28561+1718+146+16746+97194</f>
        <v>144365</v>
      </c>
      <c r="K3">
        <f>145248+4936+3376-L3</f>
        <v>130648</v>
      </c>
      <c r="L3">
        <f>22566+346</f>
        <v>22912</v>
      </c>
      <c r="M3">
        <v>16230</v>
      </c>
      <c r="N3">
        <v>-13919</v>
      </c>
      <c r="O3">
        <v>-169</v>
      </c>
      <c r="P3">
        <f t="shared" si="1"/>
        <v>2142</v>
      </c>
      <c r="Q3">
        <v>1</v>
      </c>
      <c r="R3">
        <v>0</v>
      </c>
    </row>
    <row r="4" spans="1:18">
      <c r="A4" s="4" t="s">
        <v>20</v>
      </c>
      <c r="B4">
        <v>19666</v>
      </c>
      <c r="C4">
        <f>-905-2879-2025-45</f>
        <v>-5854</v>
      </c>
      <c r="D4" s="3">
        <f t="shared" si="0"/>
        <v>13812</v>
      </c>
      <c r="E4">
        <v>806</v>
      </c>
      <c r="F4">
        <v>743</v>
      </c>
      <c r="G4">
        <v>-270</v>
      </c>
      <c r="H4">
        <f>2639*1000000</f>
        <v>2639000000</v>
      </c>
      <c r="I4" s="3">
        <v>53249.5755122224</v>
      </c>
      <c r="J4" s="3">
        <v>137665.424487778</v>
      </c>
      <c r="K4">
        <v>130648</v>
      </c>
      <c r="L4">
        <v>22912</v>
      </c>
      <c r="M4">
        <v>-9623</v>
      </c>
      <c r="N4">
        <v>7401</v>
      </c>
      <c r="O4">
        <v>132</v>
      </c>
      <c r="P4">
        <f t="shared" si="1"/>
        <v>-2090</v>
      </c>
      <c r="Q4">
        <v>0</v>
      </c>
      <c r="R4">
        <v>1</v>
      </c>
    </row>
    <row r="5" spans="1:18">
      <c r="A5" s="4" t="s">
        <v>21</v>
      </c>
      <c r="B5">
        <v>42098</v>
      </c>
      <c r="C5">
        <f>-1856-6162-4357</f>
        <v>-12375</v>
      </c>
      <c r="D5" s="3">
        <f t="shared" si="0"/>
        <v>29723</v>
      </c>
      <c r="E5">
        <v>2149</v>
      </c>
      <c r="F5">
        <v>1482</v>
      </c>
      <c r="G5">
        <f>+-600</f>
        <v>-600</v>
      </c>
      <c r="H5">
        <f>2631*1000000</f>
        <v>2631000000</v>
      </c>
      <c r="I5">
        <f>183557-J5</f>
        <v>58059</v>
      </c>
      <c r="J5">
        <f>78368+15482+237+2072+29339</f>
        <v>125498</v>
      </c>
      <c r="K5">
        <v>129329</v>
      </c>
      <c r="L5">
        <v>22310</v>
      </c>
      <c r="M5">
        <v>3192</v>
      </c>
      <c r="N5">
        <v>-1130</v>
      </c>
      <c r="O5">
        <v>354</v>
      </c>
      <c r="P5">
        <f t="shared" si="1"/>
        <v>2416</v>
      </c>
      <c r="Q5">
        <v>1</v>
      </c>
      <c r="R5">
        <v>0</v>
      </c>
    </row>
    <row r="6" spans="1:18">
      <c r="A6" s="4" t="s">
        <v>22</v>
      </c>
      <c r="B6">
        <v>23134</v>
      </c>
      <c r="C6">
        <f>-959-3354-2138</f>
        <v>-6451</v>
      </c>
      <c r="D6" s="3">
        <f t="shared" si="0"/>
        <v>16683</v>
      </c>
      <c r="E6">
        <v>1222</v>
      </c>
      <c r="F6">
        <v>756</v>
      </c>
      <c r="G6">
        <v>943</v>
      </c>
      <c r="H6">
        <f>2634*1000000</f>
        <v>2634000000</v>
      </c>
      <c r="I6">
        <f>289+353+1840+146721+189+1945</f>
        <v>151337</v>
      </c>
      <c r="J6">
        <f>21179+12217</f>
        <v>33396</v>
      </c>
      <c r="K6">
        <f>126050+4951+37+4580</f>
        <v>135618</v>
      </c>
      <c r="L6">
        <v>27282</v>
      </c>
      <c r="M6">
        <v>1177</v>
      </c>
      <c r="N6">
        <v>-332</v>
      </c>
      <c r="O6">
        <v>-381</v>
      </c>
      <c r="P6">
        <f t="shared" si="1"/>
        <v>464</v>
      </c>
      <c r="Q6">
        <v>0</v>
      </c>
      <c r="R6">
        <v>1</v>
      </c>
    </row>
    <row r="7" spans="1:18">
      <c r="A7" s="4" t="s">
        <v>23</v>
      </c>
      <c r="B7">
        <v>48883</v>
      </c>
      <c r="C7">
        <f>-1892-6877-4796</f>
        <v>-13565</v>
      </c>
      <c r="D7" s="3">
        <f t="shared" si="0"/>
        <v>35318</v>
      </c>
      <c r="E7">
        <v>2405</v>
      </c>
      <c r="F7">
        <v>1402</v>
      </c>
      <c r="G7">
        <v>1883</v>
      </c>
      <c r="H7">
        <f>2634.5*1000000</f>
        <v>2634500000</v>
      </c>
      <c r="I7">
        <f>196056-J7</f>
        <v>73085</v>
      </c>
      <c r="J7">
        <f>70519+15483+257+2302+34410</f>
        <v>122971</v>
      </c>
      <c r="K7">
        <f>134441+4200</f>
        <v>138641</v>
      </c>
      <c r="L7">
        <f>289+5156+28352</f>
        <v>33797</v>
      </c>
      <c r="M7">
        <v>748</v>
      </c>
      <c r="N7">
        <v>-495</v>
      </c>
      <c r="O7">
        <v>-1170</v>
      </c>
      <c r="P7">
        <f t="shared" si="1"/>
        <v>-917</v>
      </c>
      <c r="Q7">
        <v>1</v>
      </c>
      <c r="R7">
        <v>0</v>
      </c>
    </row>
    <row r="8" spans="1:18">
      <c r="A8" s="4" t="s">
        <v>24</v>
      </c>
      <c r="B8">
        <v>32412</v>
      </c>
      <c r="C8" s="3">
        <v>-9038.20402870234</v>
      </c>
      <c r="D8" s="3">
        <f t="shared" si="0"/>
        <v>23373.7959712977</v>
      </c>
      <c r="E8">
        <v>1694</v>
      </c>
      <c r="F8">
        <v>925</v>
      </c>
      <c r="G8">
        <v>1463</v>
      </c>
      <c r="H8">
        <f>2657.2*1000000</f>
        <v>2657200000</v>
      </c>
      <c r="I8">
        <f>203+386+2093+168604+294+1939</f>
        <v>173519</v>
      </c>
      <c r="J8">
        <f>18549+10202</f>
        <v>28751</v>
      </c>
      <c r="K8">
        <v>145039</v>
      </c>
      <c r="L8">
        <f>4963+4963+21909</f>
        <v>31835</v>
      </c>
      <c r="M8">
        <f>-737-1082</f>
        <v>-1819</v>
      </c>
      <c r="N8">
        <v>-943</v>
      </c>
      <c r="O8">
        <v>1156</v>
      </c>
      <c r="P8">
        <f t="shared" si="1"/>
        <v>-1606</v>
      </c>
      <c r="Q8">
        <v>0</v>
      </c>
      <c r="R8">
        <v>1</v>
      </c>
    </row>
    <row r="9" spans="1:18">
      <c r="A9" s="4" t="s">
        <v>25</v>
      </c>
      <c r="B9">
        <v>70731</v>
      </c>
      <c r="C9">
        <f>-1961-6965-4633</f>
        <v>-13559</v>
      </c>
      <c r="D9" s="3">
        <f t="shared" si="0"/>
        <v>57172</v>
      </c>
      <c r="E9">
        <v>3520</v>
      </c>
      <c r="F9">
        <v>1968</v>
      </c>
      <c r="G9">
        <v>3283</v>
      </c>
      <c r="H9">
        <f>2731.3*1000000</f>
        <v>2731300000</v>
      </c>
      <c r="I9">
        <f>228024-J9</f>
        <v>86549</v>
      </c>
      <c r="J9">
        <f>90075+17718+342+1980+31360</f>
        <v>141475</v>
      </c>
      <c r="K9">
        <f>162226+4791</f>
        <v>167017</v>
      </c>
      <c r="L9">
        <f>1678+5198+23693</f>
        <v>30569</v>
      </c>
      <c r="M9">
        <v>62</v>
      </c>
      <c r="N9">
        <v>-1331</v>
      </c>
      <c r="O9">
        <v>453</v>
      </c>
      <c r="P9">
        <f t="shared" si="1"/>
        <v>-816</v>
      </c>
      <c r="Q9">
        <v>1</v>
      </c>
      <c r="R9">
        <v>0</v>
      </c>
    </row>
    <row r="10" spans="1:18">
      <c r="A10" s="4" t="s">
        <v>26</v>
      </c>
      <c r="B10" s="3">
        <v>30206.0733680993</v>
      </c>
      <c r="C10" s="3">
        <v>-8423.07336809926</v>
      </c>
      <c r="D10" s="3">
        <f t="shared" si="0"/>
        <v>21783</v>
      </c>
      <c r="E10">
        <v>3288</v>
      </c>
      <c r="F10">
        <v>3171</v>
      </c>
      <c r="G10">
        <v>2675</v>
      </c>
      <c r="H10">
        <f>2615.8*1000000</f>
        <v>2615800000</v>
      </c>
      <c r="I10">
        <f>241839-J10</f>
        <v>85200</v>
      </c>
      <c r="J10">
        <f>97536+21990+1864+441+34808</f>
        <v>156639</v>
      </c>
      <c r="K10">
        <f>172051+4901+4169+86</f>
        <v>181207</v>
      </c>
      <c r="L10">
        <f>1279+5632+29211</f>
        <v>36122</v>
      </c>
      <c r="M10">
        <v>2353</v>
      </c>
      <c r="N10">
        <v>-580</v>
      </c>
      <c r="O10">
        <v>-3429</v>
      </c>
      <c r="P10">
        <f t="shared" si="1"/>
        <v>-1656</v>
      </c>
      <c r="Q10">
        <v>0</v>
      </c>
      <c r="R10">
        <v>1</v>
      </c>
    </row>
    <row r="11" spans="1:18">
      <c r="A11" s="4" t="s">
        <v>27</v>
      </c>
      <c r="B11" s="3">
        <v>84638.441961001</v>
      </c>
      <c r="C11" s="3">
        <v>-21331.441961001</v>
      </c>
      <c r="D11" s="3">
        <f t="shared" si="0"/>
        <v>63307</v>
      </c>
      <c r="E11">
        <v>14086</v>
      </c>
      <c r="F11">
        <v>12091</v>
      </c>
      <c r="G11">
        <v>10927</v>
      </c>
      <c r="H11">
        <f>2529.4*1000000</f>
        <v>2529400000</v>
      </c>
      <c r="I11">
        <f>276712-J11</f>
        <v>87320</v>
      </c>
      <c r="J11">
        <f>1037+120763+29132+372+2372+35716</f>
        <v>189392</v>
      </c>
      <c r="K11">
        <f>198234+2879+6030+268</f>
        <v>207411</v>
      </c>
      <c r="L11">
        <f>1623+6702+32513</f>
        <v>40838</v>
      </c>
      <c r="M11">
        <v>1938</v>
      </c>
      <c r="N11">
        <v>13069</v>
      </c>
      <c r="O11">
        <v>-6919</v>
      </c>
      <c r="P11">
        <f t="shared" si="1"/>
        <v>8088</v>
      </c>
      <c r="Q11">
        <v>1</v>
      </c>
      <c r="R11">
        <v>0</v>
      </c>
    </row>
    <row r="12" spans="1:18">
      <c r="A12" s="4" t="s">
        <v>28</v>
      </c>
      <c r="B12" s="3">
        <v>35584.2315160805</v>
      </c>
      <c r="C12" s="3">
        <v>-9037.2315160805</v>
      </c>
      <c r="D12" s="3">
        <f t="shared" si="0"/>
        <v>26547</v>
      </c>
      <c r="E12">
        <v>4853</v>
      </c>
      <c r="F12">
        <v>3627</v>
      </c>
      <c r="G12">
        <v>3220</v>
      </c>
      <c r="H12">
        <f>2262.3*1000000</f>
        <v>2262300000</v>
      </c>
      <c r="I12">
        <f>303033-J12</f>
        <v>91044</v>
      </c>
      <c r="J12">
        <f>2016+133901+30148+356+2505+43063</f>
        <v>211989</v>
      </c>
      <c r="K12">
        <f>215423+3262+8072+286</f>
        <v>227043</v>
      </c>
      <c r="L12">
        <f>1588+7537+37976</f>
        <v>47101</v>
      </c>
      <c r="M12">
        <v>8415</v>
      </c>
      <c r="N12">
        <v>-2672</v>
      </c>
      <c r="O12">
        <v>-1210</v>
      </c>
      <c r="P12">
        <f t="shared" si="1"/>
        <v>4533</v>
      </c>
      <c r="Q12">
        <v>0</v>
      </c>
      <c r="R12">
        <v>1</v>
      </c>
    </row>
    <row r="13" spans="1:18">
      <c r="A13" s="4" t="s">
        <v>29</v>
      </c>
      <c r="B13" s="3">
        <v>93776.0514131537</v>
      </c>
      <c r="C13" s="3">
        <v>-23816.0514131537</v>
      </c>
      <c r="D13" s="3">
        <f t="shared" si="0"/>
        <v>69960</v>
      </c>
      <c r="E13">
        <v>10857</v>
      </c>
      <c r="F13">
        <v>8096</v>
      </c>
      <c r="G13">
        <v>6945</v>
      </c>
      <c r="H13">
        <f>2243.1*1000000</f>
        <v>2243100000</v>
      </c>
      <c r="I13">
        <f>335482-J13</f>
        <v>106019</v>
      </c>
      <c r="J13">
        <f>3417+141456+35488+549+2288+46265</f>
        <v>229463</v>
      </c>
      <c r="K13">
        <f>237864+5760+8010+329</f>
        <v>251963</v>
      </c>
      <c r="L13">
        <f>1929+7752+40783</f>
        <v>50464</v>
      </c>
      <c r="M13">
        <v>-5436</v>
      </c>
      <c r="N13">
        <v>11704</v>
      </c>
      <c r="O13">
        <v>971</v>
      </c>
      <c r="P13">
        <f t="shared" si="1"/>
        <v>7239</v>
      </c>
      <c r="Q13">
        <v>1</v>
      </c>
      <c r="R13">
        <v>0</v>
      </c>
    </row>
    <row r="14" spans="1:18">
      <c r="A14" s="4" t="s">
        <v>30</v>
      </c>
      <c r="B14" s="3">
        <v>42196.5422882516</v>
      </c>
      <c r="C14" s="3">
        <v>-10716.5422882516</v>
      </c>
      <c r="D14" s="3">
        <f t="shared" si="0"/>
        <v>31480</v>
      </c>
      <c r="E14">
        <v>5734</v>
      </c>
      <c r="F14">
        <v>4004</v>
      </c>
      <c r="G14">
        <v>3359</v>
      </c>
      <c r="H14">
        <f>2209.8*1000000</f>
        <v>2209800000</v>
      </c>
      <c r="I14">
        <f>352244-J14</f>
        <v>101961</v>
      </c>
      <c r="J14">
        <f>1264+152217+47775+333+2248+46446</f>
        <v>250283</v>
      </c>
      <c r="K14">
        <f>248350+6238+12767+383</f>
        <v>267738</v>
      </c>
      <c r="L14">
        <f>1981+8235+42079</f>
        <v>52295</v>
      </c>
      <c r="M14">
        <v>1017</v>
      </c>
      <c r="N14">
        <v>14653</v>
      </c>
      <c r="O14">
        <v>-1355</v>
      </c>
      <c r="P14">
        <f t="shared" si="1"/>
        <v>14315</v>
      </c>
      <c r="Q14">
        <v>0</v>
      </c>
      <c r="R14">
        <v>1</v>
      </c>
    </row>
    <row r="15" spans="1:18">
      <c r="A15" s="4" t="s">
        <v>31</v>
      </c>
      <c r="B15" s="3">
        <v>70377.6129702147</v>
      </c>
      <c r="C15" s="3">
        <v>-17873.6129702147</v>
      </c>
      <c r="D15">
        <v>52504</v>
      </c>
      <c r="E15">
        <v>9093</v>
      </c>
      <c r="F15">
        <v>6379</v>
      </c>
      <c r="G15">
        <v>5494</v>
      </c>
      <c r="H15">
        <f>2273.2*1000000</f>
        <v>2273200000</v>
      </c>
      <c r="I15">
        <f>340265-J15</f>
        <v>108261</v>
      </c>
      <c r="J15">
        <f>1759+149038+39678+475+2263+38791</f>
        <v>232004</v>
      </c>
      <c r="K15">
        <f>244660+6594+12278+336+1606</f>
        <v>265474</v>
      </c>
      <c r="L15">
        <f>1354+7719+34164</f>
        <v>43237</v>
      </c>
      <c r="M15">
        <v>30</v>
      </c>
      <c r="N15">
        <v>9859</v>
      </c>
      <c r="O15">
        <v>-3227</v>
      </c>
      <c r="P15">
        <f t="shared" si="1"/>
        <v>6662</v>
      </c>
      <c r="Q15">
        <v>1</v>
      </c>
      <c r="R15">
        <v>0</v>
      </c>
    </row>
    <row r="16" spans="1:18">
      <c r="A16" s="4" t="s">
        <v>32</v>
      </c>
      <c r="B16" s="3">
        <v>8809.26543578111</v>
      </c>
      <c r="C16" s="3">
        <v>-2237.26543578111</v>
      </c>
      <c r="D16">
        <v>6572</v>
      </c>
      <c r="E16">
        <v>2679</v>
      </c>
      <c r="F16">
        <v>1991</v>
      </c>
      <c r="G16">
        <v>1852</v>
      </c>
      <c r="H16">
        <f>2068.1*1000000</f>
        <v>2068100000</v>
      </c>
      <c r="I16">
        <f>336592-J16</f>
        <v>97122</v>
      </c>
      <c r="J16">
        <f>1632+142369+48145+2782+44542</f>
        <v>239470</v>
      </c>
      <c r="K16">
        <f>237518+6740+11680+422</f>
        <v>256360</v>
      </c>
      <c r="L16">
        <f>907+1781+8404+38990</f>
        <v>50082</v>
      </c>
      <c r="M16">
        <v>5746</v>
      </c>
      <c r="N16">
        <v>4679</v>
      </c>
      <c r="O16">
        <v>-1881</v>
      </c>
      <c r="P16">
        <f t="shared" si="1"/>
        <v>8544</v>
      </c>
      <c r="Q16">
        <v>0</v>
      </c>
      <c r="R16">
        <v>1</v>
      </c>
    </row>
    <row r="17" spans="1:18">
      <c r="A17" s="4" t="s">
        <v>33</v>
      </c>
      <c r="B17" s="3">
        <v>26406.3495260024</v>
      </c>
      <c r="C17" s="3">
        <v>-6706.34952600241</v>
      </c>
      <c r="D17">
        <v>19700</v>
      </c>
      <c r="E17">
        <v>3890</v>
      </c>
      <c r="F17">
        <v>2937</v>
      </c>
      <c r="G17">
        <v>2494</v>
      </c>
      <c r="H17">
        <f>2094*1000000</f>
        <v>2094000000</v>
      </c>
      <c r="I17">
        <f>317908-J17</f>
        <v>109263</v>
      </c>
      <c r="J17">
        <f>1317+120284+45108+712+2250+38974</f>
        <v>208645</v>
      </c>
      <c r="K17">
        <f>229268+6763+9822+447</f>
        <v>246300</v>
      </c>
      <c r="L17">
        <f>440+8229+32692</f>
        <v>41361</v>
      </c>
      <c r="M17">
        <v>6810</v>
      </c>
      <c r="N17">
        <v>-404</v>
      </c>
      <c r="O17">
        <v>-2570</v>
      </c>
      <c r="P17">
        <f t="shared" si="1"/>
        <v>3836</v>
      </c>
      <c r="Q17">
        <v>1</v>
      </c>
      <c r="R17">
        <v>0</v>
      </c>
    </row>
    <row r="18" spans="1:18">
      <c r="A18" s="4" t="s">
        <v>34</v>
      </c>
      <c r="B18" s="3">
        <v>21251.0794611798</v>
      </c>
      <c r="C18" s="3">
        <v>-5397.07946117981</v>
      </c>
      <c r="D18">
        <v>15854</v>
      </c>
      <c r="E18">
        <v>2859</v>
      </c>
      <c r="F18">
        <v>1454</v>
      </c>
      <c r="G18">
        <v>1303</v>
      </c>
      <c r="H18">
        <f>2015.1*1000000</f>
        <v>2015100000</v>
      </c>
      <c r="I18">
        <f>308024-J18</f>
        <v>104203</v>
      </c>
      <c r="J18">
        <f>1314+119926+44363+572+2665+34981</f>
        <v>203821</v>
      </c>
      <c r="K18">
        <f>225111+6471+9273+475</f>
        <v>241330</v>
      </c>
      <c r="L18">
        <f>303+8700+28258</f>
        <v>37261</v>
      </c>
      <c r="M18">
        <v>357</v>
      </c>
      <c r="N18">
        <v>-2411</v>
      </c>
      <c r="O18">
        <v>-147</v>
      </c>
      <c r="P18">
        <f t="shared" si="1"/>
        <v>-2201</v>
      </c>
      <c r="Q18">
        <v>0</v>
      </c>
      <c r="R18">
        <v>1</v>
      </c>
    </row>
    <row r="19" spans="1:18">
      <c r="A19" s="4" t="s">
        <v>35</v>
      </c>
      <c r="B19" s="3">
        <v>81324.8544209184</v>
      </c>
      <c r="C19" s="3">
        <v>-20653.8544209184</v>
      </c>
      <c r="D19">
        <v>60671</v>
      </c>
      <c r="E19">
        <v>7869</v>
      </c>
      <c r="F19">
        <v>5081</v>
      </c>
      <c r="G19">
        <v>4088</v>
      </c>
      <c r="H19">
        <f>2053.1*1000000</f>
        <v>2053100000</v>
      </c>
      <c r="I19">
        <f>334829-J19</f>
        <v>109083</v>
      </c>
      <c r="J19">
        <f>1964+141570+43392+515+2064+36241</f>
        <v>225746</v>
      </c>
      <c r="K19">
        <f>245997+6916+10534+535</f>
        <v>263982</v>
      </c>
      <c r="L19">
        <f>763+8304+29108</f>
        <v>38175</v>
      </c>
      <c r="M19">
        <v>3993</v>
      </c>
      <c r="N19">
        <v>-4288</v>
      </c>
      <c r="O19">
        <v>519</v>
      </c>
      <c r="P19">
        <f t="shared" si="1"/>
        <v>224</v>
      </c>
      <c r="Q19">
        <v>1</v>
      </c>
      <c r="R19">
        <v>0</v>
      </c>
    </row>
    <row r="20" spans="1:18">
      <c r="A20" s="4" t="s">
        <v>36</v>
      </c>
      <c r="B20" s="3">
        <v>27758.8371743139</v>
      </c>
      <c r="C20" s="3">
        <v>-7049.8371743139</v>
      </c>
      <c r="D20">
        <v>20709</v>
      </c>
      <c r="E20">
        <v>3488</v>
      </c>
      <c r="F20">
        <v>2250</v>
      </c>
      <c r="G20">
        <v>1894</v>
      </c>
      <c r="H20">
        <f>2033.4*1000000</f>
        <v>2033400000</v>
      </c>
      <c r="I20">
        <f>332703-J20</f>
        <v>54791</v>
      </c>
      <c r="J20">
        <f>3250+134972+54787+48786+631+1780+33706</f>
        <v>277912</v>
      </c>
      <c r="K20">
        <f>245693+6574+10241+598</f>
        <v>263106</v>
      </c>
      <c r="L20">
        <f>683+7760+29976</f>
        <v>38419</v>
      </c>
      <c r="M20">
        <v>1386</v>
      </c>
      <c r="N20">
        <v>-2385</v>
      </c>
      <c r="O20">
        <v>-1308</v>
      </c>
      <c r="P20">
        <f t="shared" si="1"/>
        <v>-2307</v>
      </c>
      <c r="Q20">
        <v>0</v>
      </c>
      <c r="R20">
        <v>1</v>
      </c>
    </row>
    <row r="21" spans="1:18">
      <c r="A21" s="4" t="s">
        <v>37</v>
      </c>
      <c r="B21" s="3">
        <v>90190.4176577194</v>
      </c>
      <c r="C21" s="3">
        <v>-22905.4176577194</v>
      </c>
      <c r="D21">
        <v>67285</v>
      </c>
      <c r="E21">
        <v>9252</v>
      </c>
      <c r="F21">
        <v>6515</v>
      </c>
      <c r="G21">
        <v>5115</v>
      </c>
      <c r="H21">
        <f>2045.3*1000000</f>
        <v>2045300000</v>
      </c>
      <c r="I21">
        <f>361191-J21</f>
        <v>114832</v>
      </c>
      <c r="J21">
        <f>3626+151190+48980+932+1560+40071</f>
        <v>246359</v>
      </c>
      <c r="K21">
        <f>265695+6766+11655+577</f>
        <v>284693</v>
      </c>
      <c r="L21">
        <f>1178+7945+32989</f>
        <v>42112</v>
      </c>
      <c r="M21">
        <v>904</v>
      </c>
      <c r="N21">
        <v>313</v>
      </c>
      <c r="O21">
        <v>-1037</v>
      </c>
      <c r="P21">
        <f t="shared" si="1"/>
        <v>180</v>
      </c>
      <c r="Q21">
        <v>1</v>
      </c>
      <c r="R21">
        <v>0</v>
      </c>
    </row>
    <row r="22" spans="1:18">
      <c r="A22" s="4" t="s">
        <v>38</v>
      </c>
      <c r="B22" s="3">
        <v>33325.6173561153</v>
      </c>
      <c r="C22" s="3">
        <v>-8463.61735611532</v>
      </c>
      <c r="D22">
        <v>24862</v>
      </c>
      <c r="E22">
        <v>4011</v>
      </c>
      <c r="F22">
        <v>2750</v>
      </c>
      <c r="G22">
        <v>2370</v>
      </c>
      <c r="H22">
        <f>2027*1000000</f>
        <v>2027000000</v>
      </c>
      <c r="I22">
        <f>367079-J22</f>
        <v>115438</v>
      </c>
      <c r="J22">
        <f>3914+159085+46828+855+1557+39402</f>
        <v>251641</v>
      </c>
      <c r="K22">
        <f>271039+6986+12032+595</f>
        <v>290652</v>
      </c>
      <c r="L22">
        <f>1039+8084+33693</f>
        <v>42816</v>
      </c>
      <c r="M22">
        <v>5532</v>
      </c>
      <c r="N22">
        <v>-5802</v>
      </c>
      <c r="O22">
        <v>-948</v>
      </c>
      <c r="P22">
        <f t="shared" si="1"/>
        <v>-1218</v>
      </c>
      <c r="Q22">
        <v>0</v>
      </c>
      <c r="R22">
        <v>1</v>
      </c>
    </row>
    <row r="23" spans="1:18">
      <c r="A23" s="4" t="s">
        <v>39</v>
      </c>
      <c r="B23" s="3">
        <v>72755.5248513888</v>
      </c>
      <c r="C23" s="3">
        <v>-18477.5248513888</v>
      </c>
      <c r="D23">
        <v>54278</v>
      </c>
      <c r="E23">
        <v>8490</v>
      </c>
      <c r="F23">
        <v>6065</v>
      </c>
      <c r="G23">
        <v>5601</v>
      </c>
      <c r="H23">
        <f>2019.9*1000000</f>
        <v>2019900000</v>
      </c>
      <c r="I23">
        <f>382203-J23</f>
        <v>118197</v>
      </c>
      <c r="J23">
        <f>2938+165582+51487+640+1390+1831+40138</f>
        <v>264006</v>
      </c>
      <c r="K23">
        <f>282421+6295+11592+603</f>
        <v>300911</v>
      </c>
      <c r="L23">
        <f>212+902+8682+34628</f>
        <v>44424</v>
      </c>
      <c r="M23">
        <v>18929</v>
      </c>
      <c r="N23">
        <v>-12562</v>
      </c>
      <c r="O23">
        <v>-1674</v>
      </c>
      <c r="P23">
        <f t="shared" si="1"/>
        <v>4693</v>
      </c>
      <c r="Q23">
        <v>1</v>
      </c>
      <c r="R23">
        <v>0</v>
      </c>
    </row>
    <row r="24" spans="1:18">
      <c r="A24" s="4" t="s">
        <v>40</v>
      </c>
      <c r="B24" s="3">
        <v>49110.4484230293</v>
      </c>
      <c r="C24" s="3">
        <v>-12472.4484230292</v>
      </c>
      <c r="D24">
        <v>36638</v>
      </c>
      <c r="E24">
        <v>4431</v>
      </c>
      <c r="F24">
        <v>2760</v>
      </c>
      <c r="G24">
        <v>2417</v>
      </c>
      <c r="H24">
        <f>2023.2*1000000</f>
        <v>2023200000</v>
      </c>
      <c r="I24">
        <f>405608-J24</f>
        <v>62747</v>
      </c>
      <c r="J24">
        <f>3123+175833+58667+58125+439+2010+44664</f>
        <v>342861</v>
      </c>
      <c r="K24">
        <f>298610+6356+14871+611</f>
        <v>320448</v>
      </c>
      <c r="L24">
        <f>214902+8694+39247</f>
        <v>262843</v>
      </c>
      <c r="M24">
        <v>6523</v>
      </c>
      <c r="N24">
        <v>796</v>
      </c>
      <c r="O24">
        <v>-456</v>
      </c>
      <c r="P24">
        <f t="shared" si="1"/>
        <v>6863</v>
      </c>
      <c r="Q24">
        <v>0</v>
      </c>
      <c r="R24">
        <v>1</v>
      </c>
    </row>
    <row r="25" spans="1:18">
      <c r="A25" s="4" t="s">
        <v>41</v>
      </c>
      <c r="B25" s="3">
        <v>118734.743198644</v>
      </c>
      <c r="C25" s="3">
        <v>-30154.7431986443</v>
      </c>
      <c r="D25">
        <v>88580</v>
      </c>
      <c r="E25">
        <v>9815</v>
      </c>
      <c r="F25">
        <v>6562</v>
      </c>
      <c r="G25">
        <v>5760</v>
      </c>
      <c r="H25">
        <f>2026.3*1000000</f>
        <v>2026300000</v>
      </c>
      <c r="I25">
        <f>443564-J25</f>
        <v>130025</v>
      </c>
      <c r="J25">
        <f>5412+202952+56436+450+2096+46193</f>
        <v>313539</v>
      </c>
      <c r="K25">
        <f>328584+5463+19596+688</f>
        <v>354331</v>
      </c>
      <c r="L25">
        <f>610+1333+9877+37524</f>
        <v>49344</v>
      </c>
      <c r="M25">
        <v>11002</v>
      </c>
      <c r="N25">
        <v>-4134</v>
      </c>
      <c r="O25">
        <v>-1337</v>
      </c>
      <c r="P25">
        <f t="shared" si="1"/>
        <v>5531</v>
      </c>
      <c r="Q25">
        <v>1</v>
      </c>
      <c r="R25">
        <v>0</v>
      </c>
    </row>
    <row r="26" spans="1:18">
      <c r="A26" s="4" t="s">
        <v>42</v>
      </c>
      <c r="B26" s="3">
        <v>54194.6760246601</v>
      </c>
      <c r="C26" s="3">
        <v>-13763.6760246601</v>
      </c>
      <c r="D26">
        <v>40431</v>
      </c>
      <c r="E26">
        <v>5147</v>
      </c>
      <c r="F26">
        <v>4587</v>
      </c>
      <c r="G26">
        <v>4079</v>
      </c>
      <c r="H26">
        <f>2039.2*1000000</f>
        <v>2039200000</v>
      </c>
      <c r="I26">
        <f>504771-J26</f>
        <v>153694</v>
      </c>
      <c r="J26">
        <f>8047+221102+66660+416+2366+52486</f>
        <v>351077</v>
      </c>
      <c r="K26">
        <f>348505+4833+36761+722</f>
        <v>390821</v>
      </c>
      <c r="L26">
        <f>11192+1264+9870+52023</f>
        <v>74349</v>
      </c>
      <c r="M26">
        <v>7228</v>
      </c>
      <c r="N26">
        <v>-6017</v>
      </c>
      <c r="O26">
        <v>-829</v>
      </c>
      <c r="P26">
        <f t="shared" si="1"/>
        <v>382</v>
      </c>
      <c r="Q26">
        <v>0</v>
      </c>
      <c r="R26">
        <v>1</v>
      </c>
    </row>
    <row r="27" spans="1:18">
      <c r="A27" s="4" t="s">
        <v>43</v>
      </c>
      <c r="B27" s="3">
        <v>136723.231048337</v>
      </c>
      <c r="C27" s="3">
        <v>-34723.2310483373</v>
      </c>
      <c r="D27">
        <v>102000</v>
      </c>
      <c r="E27">
        <v>11909</v>
      </c>
      <c r="F27">
        <v>9134</v>
      </c>
      <c r="G27">
        <v>9030</v>
      </c>
      <c r="H27">
        <f>2040.6*1000000</f>
        <v>2040600000</v>
      </c>
      <c r="I27">
        <f>561304-J27</f>
        <v>156352</v>
      </c>
      <c r="J27">
        <f>9780+9780+166122+131417+18114+69739</f>
        <v>404952</v>
      </c>
      <c r="K27">
        <f>382309+6129+55710+814</f>
        <v>444962</v>
      </c>
      <c r="L27">
        <f>1387+2142+11032+57165</f>
        <v>71726</v>
      </c>
      <c r="M27">
        <v>10372</v>
      </c>
      <c r="N27">
        <v>-4529</v>
      </c>
      <c r="O27">
        <v>143</v>
      </c>
      <c r="P27">
        <f t="shared" si="1"/>
        <v>5986</v>
      </c>
      <c r="Q27">
        <v>1</v>
      </c>
      <c r="R27">
        <v>0</v>
      </c>
    </row>
    <row r="28" spans="1:18">
      <c r="A28" s="4" t="s">
        <v>44</v>
      </c>
      <c r="B28" s="3">
        <v>67235.6595037706</v>
      </c>
      <c r="C28" s="3">
        <v>-17075.6595037706</v>
      </c>
      <c r="D28">
        <v>50160</v>
      </c>
      <c r="E28">
        <v>6905</v>
      </c>
      <c r="F28">
        <v>5078</v>
      </c>
      <c r="G28">
        <v>4768</v>
      </c>
      <c r="H28">
        <f>2045.6*1000000</f>
        <v>2045600000</v>
      </c>
      <c r="I28">
        <f>577057-J28</f>
        <v>160678</v>
      </c>
      <c r="J28">
        <f>10045+179384+149720+25378+51852</f>
        <v>416379</v>
      </c>
      <c r="K28">
        <f>420240+5910+44533+850</f>
        <v>471533</v>
      </c>
      <c r="L28">
        <f>1177+2516+12190+43503</f>
        <v>59386</v>
      </c>
      <c r="M28">
        <v>8334</v>
      </c>
      <c r="N28">
        <v>-4226</v>
      </c>
      <c r="O28">
        <v>-779</v>
      </c>
      <c r="P28">
        <f t="shared" si="1"/>
        <v>3329</v>
      </c>
      <c r="Q28">
        <v>0</v>
      </c>
      <c r="R28">
        <v>1</v>
      </c>
    </row>
    <row r="29" spans="1:18">
      <c r="A29" s="4" t="s">
        <v>45</v>
      </c>
      <c r="B29" s="3">
        <v>123399.418140293</v>
      </c>
      <c r="C29" s="3">
        <v>-31339.4181402935</v>
      </c>
      <c r="D29">
        <v>92060</v>
      </c>
      <c r="E29">
        <v>12243</v>
      </c>
      <c r="F29">
        <v>9795</v>
      </c>
      <c r="G29">
        <v>9393</v>
      </c>
      <c r="H29">
        <f>2046.2*1000000</f>
        <v>2046200000</v>
      </c>
      <c r="I29">
        <f>611253-J29</f>
        <v>168732</v>
      </c>
      <c r="J29">
        <f>11895+183040+161778+25209+365+1893+3964+144+54233</f>
        <v>442521</v>
      </c>
      <c r="K29">
        <f>443672+5775+925</f>
        <v>450372</v>
      </c>
      <c r="L29">
        <f>766+49625+2498+1466+12592+42699</f>
        <v>109646</v>
      </c>
      <c r="M29">
        <v>35944</v>
      </c>
      <c r="N29">
        <v>-30033</v>
      </c>
      <c r="O29">
        <v>-971</v>
      </c>
      <c r="P29">
        <f t="shared" si="1"/>
        <v>4940</v>
      </c>
      <c r="Q29">
        <v>1</v>
      </c>
      <c r="R29">
        <v>0</v>
      </c>
    </row>
    <row r="30" spans="1:18">
      <c r="A30" s="4" t="s">
        <v>46</v>
      </c>
      <c r="B30" s="3">
        <v>62227.8360606668</v>
      </c>
      <c r="C30" s="3">
        <v>-15803.8360606668</v>
      </c>
      <c r="D30">
        <v>46424</v>
      </c>
      <c r="E30">
        <v>7114</v>
      </c>
      <c r="F30">
        <v>5497</v>
      </c>
      <c r="G30">
        <v>5096</v>
      </c>
      <c r="H30">
        <f>2046.4*1000000</f>
        <v>2046400000</v>
      </c>
      <c r="I30">
        <f>636217-J30</f>
        <v>178150</v>
      </c>
      <c r="J30">
        <f>12336+185789+164548+27639+358+677+4205+62515</f>
        <v>458067</v>
      </c>
      <c r="K30">
        <f>460175+5308+947</f>
        <v>466430</v>
      </c>
      <c r="L30">
        <f>934+49063+2374+12651+52988</f>
        <v>118010</v>
      </c>
      <c r="M30">
        <v>5628</v>
      </c>
      <c r="N30">
        <v>-3127</v>
      </c>
      <c r="O30">
        <v>-909</v>
      </c>
      <c r="P30">
        <f t="shared" si="1"/>
        <v>1592</v>
      </c>
      <c r="Q30">
        <v>0</v>
      </c>
      <c r="R30">
        <v>1</v>
      </c>
    </row>
    <row r="31" spans="1:18">
      <c r="A31" s="4" t="s">
        <v>47</v>
      </c>
      <c r="B31" s="3">
        <v>114328.77005692</v>
      </c>
      <c r="C31" s="3">
        <v>-29035.77005692</v>
      </c>
      <c r="D31">
        <v>85293</v>
      </c>
      <c r="E31">
        <v>14039</v>
      </c>
      <c r="F31">
        <v>10910</v>
      </c>
      <c r="G31">
        <v>12863</v>
      </c>
      <c r="H31">
        <f>2046.3*1000000</f>
        <v>2046300000</v>
      </c>
      <c r="I31">
        <f>674508-J31</f>
        <v>196027</v>
      </c>
      <c r="J31">
        <f>15999+189214+165261+37347+368+540+4251+65501</f>
        <v>478481</v>
      </c>
      <c r="K31">
        <f>480910+5637+980</f>
        <v>487527</v>
      </c>
      <c r="L31">
        <f>2374+53641+2180+13523+55071</f>
        <v>126789</v>
      </c>
      <c r="M31">
        <v>32593</v>
      </c>
      <c r="N31">
        <v>-15911</v>
      </c>
      <c r="O31">
        <v>-1477</v>
      </c>
      <c r="P31">
        <f t="shared" si="1"/>
        <v>15205</v>
      </c>
      <c r="Q31">
        <v>1</v>
      </c>
      <c r="R31">
        <v>0</v>
      </c>
    </row>
    <row r="32" spans="1:18">
      <c r="A32" s="4" t="s">
        <v>48</v>
      </c>
      <c r="B32" s="3">
        <v>66747.7452282648</v>
      </c>
      <c r="C32" s="3">
        <v>-16951.7452282648</v>
      </c>
      <c r="D32">
        <v>49796</v>
      </c>
      <c r="E32">
        <v>6171</v>
      </c>
      <c r="F32">
        <v>4712</v>
      </c>
      <c r="G32">
        <v>2372</v>
      </c>
      <c r="H32">
        <f>2046.3*1000000</f>
        <v>2046300000</v>
      </c>
      <c r="I32">
        <f>689823-J32</f>
        <v>202423</v>
      </c>
      <c r="J32">
        <f>21639+185665+171067+34912+573+125+4686+68733</f>
        <v>487400</v>
      </c>
      <c r="K32">
        <f>490817+6278+1060</f>
        <v>498155</v>
      </c>
      <c r="L32">
        <f>1208+57422+2354+14323+59542</f>
        <v>134849</v>
      </c>
      <c r="M32">
        <v>-3231</v>
      </c>
      <c r="N32">
        <v>-2679</v>
      </c>
      <c r="O32">
        <v>25</v>
      </c>
      <c r="P32">
        <f t="shared" si="1"/>
        <v>-5885</v>
      </c>
      <c r="Q32">
        <v>0</v>
      </c>
      <c r="R32">
        <v>1</v>
      </c>
    </row>
    <row r="33" spans="1:18">
      <c r="A33" s="4" t="s">
        <v>49</v>
      </c>
      <c r="B33" s="3">
        <v>116208.044271918</v>
      </c>
      <c r="C33" s="3">
        <v>-29513.0442719177</v>
      </c>
      <c r="D33">
        <v>86695</v>
      </c>
      <c r="E33">
        <v>11969</v>
      </c>
      <c r="F33">
        <v>10578</v>
      </c>
      <c r="G33">
        <v>5139</v>
      </c>
      <c r="H33">
        <f>2046.3*1000000</f>
        <v>2046300000</v>
      </c>
      <c r="I33">
        <f>672559-J33</f>
        <v>219414</v>
      </c>
      <c r="J33">
        <f>176944+170584+38387+1880+663+5022+59665</f>
        <v>453145</v>
      </c>
      <c r="K33">
        <f>483748+6466+1153</f>
        <v>491367</v>
      </c>
      <c r="L33">
        <f>1298+55486+2069+14557+48696</f>
        <v>122106</v>
      </c>
      <c r="M33">
        <v>14428</v>
      </c>
      <c r="N33">
        <v>-15949</v>
      </c>
      <c r="O33">
        <v>165</v>
      </c>
      <c r="P33">
        <f t="shared" si="1"/>
        <v>-1356</v>
      </c>
      <c r="Q33">
        <v>1</v>
      </c>
      <c r="R33">
        <v>0</v>
      </c>
    </row>
    <row r="34" spans="1:18">
      <c r="A34" s="4" t="s">
        <v>50</v>
      </c>
      <c r="B34" s="3">
        <v>63387.30267691</v>
      </c>
      <c r="C34" s="3">
        <v>-16098.30267691</v>
      </c>
      <c r="D34">
        <v>47289</v>
      </c>
      <c r="E34">
        <v>6547</v>
      </c>
      <c r="F34">
        <v>5380</v>
      </c>
      <c r="G34">
        <v>4622</v>
      </c>
      <c r="H34">
        <f>2049.2*1000000</f>
        <v>2049200000</v>
      </c>
      <c r="I34">
        <f>689595-J34</f>
        <v>211460</v>
      </c>
      <c r="J34">
        <f>26379+182186+174607+36317+1926+423+3521+52776</f>
        <v>478135</v>
      </c>
      <c r="K34">
        <f>497168+7312+2989</f>
        <v>507469</v>
      </c>
      <c r="L34">
        <f>1366+58096+2153+18578+43727</f>
        <v>123920</v>
      </c>
      <c r="M34">
        <v>10333</v>
      </c>
      <c r="N34">
        <v>-13444</v>
      </c>
      <c r="O34">
        <v>548</v>
      </c>
      <c r="P34">
        <f t="shared" si="1"/>
        <v>-2563</v>
      </c>
      <c r="Q34">
        <v>0</v>
      </c>
      <c r="R34">
        <v>1</v>
      </c>
    </row>
    <row r="35" spans="1:18">
      <c r="A35" s="4" t="s">
        <v>51</v>
      </c>
      <c r="B35">
        <f>113976+9546+5670</f>
        <v>129192</v>
      </c>
      <c r="C35">
        <f>-72576</f>
        <v>-72576</v>
      </c>
      <c r="D35">
        <f>B35+C35</f>
        <v>56616</v>
      </c>
      <c r="E35">
        <f>14376</f>
        <v>14376</v>
      </c>
      <c r="F35">
        <v>11990</v>
      </c>
      <c r="G35">
        <v>9272</v>
      </c>
      <c r="H35">
        <f>2027.3*1000000</f>
        <v>2027300000</v>
      </c>
      <c r="I35">
        <f>733583-J35</f>
        <v>213628</v>
      </c>
      <c r="J35">
        <f>3659+26476+201095+185363+38965+2083+321+6400+55593</f>
        <v>519955</v>
      </c>
      <c r="K35">
        <f>733583-57420-6017-L35</f>
        <v>586770</v>
      </c>
      <c r="L35">
        <f>6426+4187+3217+2435+18668+48443</f>
        <v>83376</v>
      </c>
      <c r="M35">
        <v>23402</v>
      </c>
      <c r="N35">
        <v>-20267</v>
      </c>
      <c r="O35">
        <v>-215</v>
      </c>
      <c r="P35">
        <f>SUM(M35:O35)</f>
        <v>2920</v>
      </c>
      <c r="Q35">
        <v>1</v>
      </c>
      <c r="R35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2018-01-03T16:28:00Z</dcterms:created>
  <dcterms:modified xsi:type="dcterms:W3CDTF">2018-03-13T07:34:43Z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