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80" windowHeight="26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<sst xmlns="http://schemas.openxmlformats.org/spreadsheetml/2006/main" count="50">
  <si>
    <t>Date</t>
  </si>
  <si>
    <t>Revenue</t>
  </si>
  <si>
    <t>Cost of sales</t>
  </si>
  <si>
    <t>Gross profit</t>
  </si>
  <si>
    <t>Operating profit</t>
  </si>
  <si>
    <t>Net profit</t>
  </si>
  <si>
    <t>Headline earnings</t>
  </si>
  <si>
    <t>Shares in issue</t>
  </si>
  <si>
    <t>Non-current assets</t>
  </si>
  <si>
    <t>Current assets</t>
  </si>
  <si>
    <t>Non-current liabilities</t>
  </si>
  <si>
    <t>Current liabilities</t>
  </si>
  <si>
    <t>Cash from operations</t>
  </si>
  <si>
    <t>Cash from investing</t>
  </si>
  <si>
    <t>Cash from financing</t>
  </si>
  <si>
    <t>Change in cash</t>
  </si>
  <si>
    <t>Full year</t>
  </si>
  <si>
    <t>Half year</t>
  </si>
  <si>
    <t>22-02-2002</t>
  </si>
  <si>
    <t>23-08-2002</t>
  </si>
  <si>
    <t>20-02-2003</t>
  </si>
  <si>
    <t>22-08-2003</t>
  </si>
  <si>
    <t>20-08-2004</t>
  </si>
  <si>
    <t>18-02-2005</t>
  </si>
  <si>
    <t>25-08-2005</t>
  </si>
  <si>
    <t>17-08-2006</t>
  </si>
  <si>
    <t>24-08-2006</t>
  </si>
  <si>
    <t>15-02-2007</t>
  </si>
  <si>
    <t>24-08-2007</t>
  </si>
  <si>
    <t>21-02-2008</t>
  </si>
  <si>
    <t>21-08-2008</t>
  </si>
  <si>
    <t>20-02-2009</t>
  </si>
  <si>
    <t>27-08-2009</t>
  </si>
  <si>
    <t>18-02-2010</t>
  </si>
  <si>
    <t>26-08-2010</t>
  </si>
  <si>
    <t>17-02-2011</t>
  </si>
  <si>
    <t>25-08-2011</t>
  </si>
  <si>
    <t>16-02-2012</t>
  </si>
  <si>
    <t>23-08-2012</t>
  </si>
  <si>
    <t>14-02-2013</t>
  </si>
  <si>
    <t>29-08-2013</t>
  </si>
  <si>
    <t>13-02-2014</t>
  </si>
  <si>
    <t>08-08-2014</t>
  </si>
  <si>
    <t>12-02-2015</t>
  </si>
  <si>
    <t>27-08-2015</t>
  </si>
  <si>
    <t>11-02-2016</t>
  </si>
  <si>
    <t>25-08-2016</t>
  </si>
  <si>
    <t>16-02-2017</t>
  </si>
  <si>
    <t>24-08-2017</t>
  </si>
  <si>
    <t>22-02-2018</t>
  </si>
</sst>
</file>

<file path=xl/styles.xml><?xml version="1.0" encoding="utf-8"?>
<styleSheet xmlns="http://schemas.openxmlformats.org/spreadsheetml/2006/main">
  <numFmts count="5">
    <numFmt numFmtId="176" formatCode="_-&quot;£&quot;* #,##0.00_-;\-&quot;£&quot;* #,##0.00_-;_-&quot;£&quot;* &quot;-&quot;??_-;_-@_-"/>
    <numFmt numFmtId="177" formatCode="_-* #,##0.00_-;\-* #,##0.00_-;_-* &quot;-&quot;??_-;_-@_-"/>
    <numFmt numFmtId="178" formatCode="0_ "/>
    <numFmt numFmtId="179" formatCode="_-* #,##0_-;\-* #,##0_-;_-* &quot;-&quot;_-;_-@_-"/>
    <numFmt numFmtId="180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18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80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7" fillId="25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32" borderId="5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28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Alignment="1"/>
    <xf numFmtId="49" fontId="0" fillId="0" borderId="0" xfId="0" applyNumberFormat="1"/>
    <xf numFmtId="17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3"/>
  <sheetViews>
    <sheetView tabSelected="1" workbookViewId="0">
      <selection activeCell="A1" sqref="A1"/>
    </sheetView>
  </sheetViews>
  <sheetFormatPr defaultColWidth="9" defaultRowHeight="15"/>
  <cols>
    <col min="1" max="1" width="11.1142857142857" customWidth="1"/>
    <col min="2" max="2" width="9.66666666666667"/>
    <col min="3" max="3" width="12.2190476190476" customWidth="1"/>
    <col min="4" max="4" width="11.447619047619" customWidth="1"/>
    <col min="5" max="5" width="15.2190476190476" customWidth="1"/>
    <col min="6" max="6" width="9.66666666666667" customWidth="1"/>
    <col min="7" max="7" width="16.7809523809524" customWidth="1"/>
    <col min="8" max="8" width="13.7809523809524" customWidth="1"/>
    <col min="9" max="9" width="18" customWidth="1"/>
    <col min="10" max="10" width="13.6666666666667" customWidth="1"/>
    <col min="11" max="11" width="20.447619047619" customWidth="1"/>
    <col min="12" max="12" width="16" customWidth="1"/>
    <col min="13" max="13" width="20.447619047619" customWidth="1"/>
    <col min="14" max="14" width="18.552380952381" customWidth="1"/>
    <col min="15" max="15" width="18.7809523809524" customWidth="1"/>
    <col min="16" max="16" width="14.1142857142857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3">
        <v>4385.3</v>
      </c>
      <c r="C2" s="3">
        <v>-2654.2</v>
      </c>
      <c r="D2" s="3">
        <f t="shared" ref="D2:D33" si="0">B2+C2</f>
        <v>1731.1</v>
      </c>
      <c r="E2" s="3">
        <v>285.4</v>
      </c>
      <c r="F2" s="3">
        <v>51.8</v>
      </c>
      <c r="G2" s="3">
        <v>67.7</v>
      </c>
      <c r="H2">
        <f>912*1000000</f>
        <v>912000000</v>
      </c>
      <c r="I2" s="3">
        <v>1518.8</v>
      </c>
      <c r="J2" s="3">
        <v>2780.3</v>
      </c>
      <c r="K2" s="3">
        <v>319.1</v>
      </c>
      <c r="L2" s="3">
        <v>1608.8</v>
      </c>
      <c r="M2" s="3">
        <v>85.2</v>
      </c>
      <c r="N2" s="3">
        <v>-181.8</v>
      </c>
      <c r="O2" s="3">
        <v>-13</v>
      </c>
      <c r="P2" s="3">
        <f t="shared" ref="P2:P8" si="1">SUM(M2:O2)</f>
        <v>-109.6</v>
      </c>
      <c r="Q2">
        <v>0</v>
      </c>
      <c r="R2">
        <v>1</v>
      </c>
    </row>
    <row r="3" spans="1:18">
      <c r="A3" s="2" t="s">
        <v>19</v>
      </c>
      <c r="B3" s="3">
        <v>9020.7</v>
      </c>
      <c r="C3" s="3">
        <v>-5571.8</v>
      </c>
      <c r="D3" s="3">
        <f t="shared" si="0"/>
        <v>3448.9</v>
      </c>
      <c r="E3" s="3">
        <v>685.2</v>
      </c>
      <c r="F3" s="3">
        <v>395.6</v>
      </c>
      <c r="G3" s="3">
        <v>418.8</v>
      </c>
      <c r="H3">
        <f>905.7*1000000</f>
        <v>905700000</v>
      </c>
      <c r="I3" s="3">
        <v>1535.2</v>
      </c>
      <c r="J3" s="3">
        <v>2528.6</v>
      </c>
      <c r="K3" s="3">
        <v>301.1</v>
      </c>
      <c r="L3" s="3">
        <v>1386.9</v>
      </c>
      <c r="M3" s="3">
        <v>199.7</v>
      </c>
      <c r="N3" s="3">
        <v>-404.8</v>
      </c>
      <c r="O3" s="3">
        <v>-93.5</v>
      </c>
      <c r="P3" s="3">
        <f t="shared" si="1"/>
        <v>-298.6</v>
      </c>
      <c r="Q3">
        <v>1</v>
      </c>
      <c r="R3">
        <v>0</v>
      </c>
    </row>
    <row r="4" spans="1:18">
      <c r="A4" s="2" t="s">
        <v>20</v>
      </c>
      <c r="B4" s="3">
        <v>5051.3</v>
      </c>
      <c r="C4" s="3">
        <v>-3199.5</v>
      </c>
      <c r="D4" s="3">
        <f t="shared" si="0"/>
        <v>1851.8</v>
      </c>
      <c r="E4" s="3">
        <v>449.8</v>
      </c>
      <c r="F4" s="3">
        <v>286.3</v>
      </c>
      <c r="G4" s="3">
        <v>294.4</v>
      </c>
      <c r="H4">
        <f>877.6*1000000</f>
        <v>877600000</v>
      </c>
      <c r="I4" s="3">
        <v>1595.7</v>
      </c>
      <c r="J4" s="3">
        <v>2974.4</v>
      </c>
      <c r="K4" s="3">
        <v>282.1</v>
      </c>
      <c r="L4" s="3">
        <v>1913.2</v>
      </c>
      <c r="M4" s="3">
        <v>270</v>
      </c>
      <c r="N4" s="3">
        <v>-257.4</v>
      </c>
      <c r="O4" s="3">
        <v>-103.7</v>
      </c>
      <c r="P4" s="3">
        <f t="shared" si="1"/>
        <v>-91.1</v>
      </c>
      <c r="Q4">
        <v>0</v>
      </c>
      <c r="R4">
        <v>1</v>
      </c>
    </row>
    <row r="5" spans="1:18">
      <c r="A5" s="2" t="s">
        <v>21</v>
      </c>
      <c r="B5" s="3">
        <v>10094.8</v>
      </c>
      <c r="C5" s="3">
        <v>-6358.6</v>
      </c>
      <c r="D5" s="3">
        <f t="shared" si="0"/>
        <v>3736.2</v>
      </c>
      <c r="E5" s="3">
        <v>888</v>
      </c>
      <c r="F5" s="3">
        <v>549.5</v>
      </c>
      <c r="G5" s="3">
        <v>563.2</v>
      </c>
      <c r="H5">
        <f>868.5*1000000</f>
        <v>868500000</v>
      </c>
      <c r="I5" s="3">
        <v>1556.8</v>
      </c>
      <c r="J5" s="3">
        <v>3235.3</v>
      </c>
      <c r="K5" s="3">
        <v>285.1</v>
      </c>
      <c r="L5" s="3">
        <v>2073.6</v>
      </c>
      <c r="M5" s="3">
        <v>487</v>
      </c>
      <c r="N5" s="3">
        <v>-195.6</v>
      </c>
      <c r="O5" s="3">
        <v>-513.7</v>
      </c>
      <c r="P5" s="3">
        <f t="shared" si="1"/>
        <v>-222.3</v>
      </c>
      <c r="Q5">
        <v>1</v>
      </c>
      <c r="R5">
        <v>0</v>
      </c>
    </row>
    <row r="6" spans="1:18">
      <c r="A6" s="2" t="s">
        <v>22</v>
      </c>
      <c r="B6" s="3">
        <v>11281.7</v>
      </c>
      <c r="C6" s="3">
        <v>-7262.2</v>
      </c>
      <c r="D6" s="3">
        <f t="shared" si="0"/>
        <v>4019.5</v>
      </c>
      <c r="E6" s="3">
        <v>1061.8</v>
      </c>
      <c r="F6" s="3">
        <v>667.8</v>
      </c>
      <c r="G6" s="3">
        <v>677</v>
      </c>
      <c r="H6">
        <f>861.2*1000000</f>
        <v>861200000</v>
      </c>
      <c r="I6" s="3">
        <v>1757.7</v>
      </c>
      <c r="J6" s="3">
        <v>3992.3</v>
      </c>
      <c r="K6" s="3">
        <v>337.8</v>
      </c>
      <c r="L6" s="3">
        <v>2539</v>
      </c>
      <c r="M6" s="3">
        <v>-91</v>
      </c>
      <c r="N6" s="3">
        <v>-393.2</v>
      </c>
      <c r="O6" s="3">
        <v>54.5</v>
      </c>
      <c r="P6" s="3">
        <f t="shared" si="1"/>
        <v>-429.7</v>
      </c>
      <c r="Q6">
        <v>1</v>
      </c>
      <c r="R6">
        <v>0</v>
      </c>
    </row>
    <row r="7" spans="1:18">
      <c r="A7" s="2" t="s">
        <v>23</v>
      </c>
      <c r="B7" s="3">
        <v>6353.1</v>
      </c>
      <c r="C7" s="3">
        <v>-4139.4</v>
      </c>
      <c r="D7" s="3">
        <f t="shared" si="0"/>
        <v>2213.7</v>
      </c>
      <c r="E7" s="3">
        <v>637.9</v>
      </c>
      <c r="F7" s="3">
        <v>407.5</v>
      </c>
      <c r="G7" s="3">
        <v>406</v>
      </c>
      <c r="H7">
        <f>869.7*1000000</f>
        <v>869700000</v>
      </c>
      <c r="I7" s="3">
        <v>1824.7</v>
      </c>
      <c r="J7" s="3">
        <v>4715.7</v>
      </c>
      <c r="K7" s="3">
        <v>797.9</v>
      </c>
      <c r="L7" s="3">
        <v>2647.2</v>
      </c>
      <c r="M7" s="3">
        <v>-246.3</v>
      </c>
      <c r="N7" s="3">
        <v>-207.2</v>
      </c>
      <c r="O7" s="3">
        <v>546.4</v>
      </c>
      <c r="P7" s="3">
        <f t="shared" si="1"/>
        <v>92.9</v>
      </c>
      <c r="Q7">
        <v>0</v>
      </c>
      <c r="R7">
        <v>1</v>
      </c>
    </row>
    <row r="8" spans="1:18">
      <c r="A8" s="2" t="s">
        <v>24</v>
      </c>
      <c r="B8" s="3">
        <v>12988.9</v>
      </c>
      <c r="C8" s="3">
        <v>-8207.6</v>
      </c>
      <c r="D8" s="3">
        <f t="shared" si="0"/>
        <v>4781.3</v>
      </c>
      <c r="E8" s="3">
        <v>1264.2</v>
      </c>
      <c r="F8" s="3">
        <v>803.8</v>
      </c>
      <c r="G8" s="3">
        <v>781.9</v>
      </c>
      <c r="H8">
        <f>849.4*1000000</f>
        <v>849400000</v>
      </c>
      <c r="I8" s="3">
        <v>1942.7</v>
      </c>
      <c r="J8" s="3">
        <v>5094.6</v>
      </c>
      <c r="K8" s="3">
        <v>3081.4</v>
      </c>
      <c r="L8" s="3">
        <v>1839.5</v>
      </c>
      <c r="M8" s="3">
        <v>-164.6</v>
      </c>
      <c r="N8" s="3">
        <v>-312.6</v>
      </c>
      <c r="O8" s="3">
        <v>1442.8</v>
      </c>
      <c r="P8" s="3">
        <f t="shared" si="1"/>
        <v>965.6</v>
      </c>
      <c r="Q8">
        <v>1</v>
      </c>
      <c r="R8">
        <v>0</v>
      </c>
    </row>
    <row r="9" spans="1:18">
      <c r="A9" s="2" t="s">
        <v>25</v>
      </c>
      <c r="B9" s="3">
        <v>7415.3</v>
      </c>
      <c r="C9" s="3">
        <v>-4710.1</v>
      </c>
      <c r="D9" s="3">
        <f t="shared" si="0"/>
        <v>2705.2</v>
      </c>
      <c r="E9" s="3">
        <v>730</v>
      </c>
      <c r="F9" s="3">
        <v>422.3</v>
      </c>
      <c r="G9" s="3">
        <v>419.1</v>
      </c>
      <c r="H9">
        <f>789.8*1000000</f>
        <v>789800000</v>
      </c>
      <c r="I9" s="3">
        <v>2190.9</v>
      </c>
      <c r="J9" s="3">
        <v>5808.4</v>
      </c>
      <c r="K9" s="3">
        <v>3098.6</v>
      </c>
      <c r="L9" s="3">
        <v>2557.4</v>
      </c>
      <c r="M9" s="3">
        <v>-9.9</v>
      </c>
      <c r="N9" s="3">
        <v>48.3</v>
      </c>
      <c r="O9" s="3">
        <v>-254.4</v>
      </c>
      <c r="P9" s="3">
        <f t="shared" ref="P9:P33" si="2">SUM(M9:O9)</f>
        <v>-216</v>
      </c>
      <c r="Q9">
        <v>0</v>
      </c>
      <c r="R9">
        <v>1</v>
      </c>
    </row>
    <row r="10" spans="1:18">
      <c r="A10" s="2" t="s">
        <v>26</v>
      </c>
      <c r="B10" s="3">
        <v>15143</v>
      </c>
      <c r="C10" s="3">
        <v>-9340.4</v>
      </c>
      <c r="D10" s="3">
        <f t="shared" si="0"/>
        <v>5802.6</v>
      </c>
      <c r="E10" s="3">
        <v>1490.3</v>
      </c>
      <c r="F10" s="3">
        <v>837.4</v>
      </c>
      <c r="G10" s="3">
        <v>835</v>
      </c>
      <c r="H10">
        <f>795.3*1000000</f>
        <v>795300000</v>
      </c>
      <c r="I10" s="3">
        <v>2490.6</v>
      </c>
      <c r="J10" s="3">
        <v>6277.7</v>
      </c>
      <c r="K10" s="3">
        <v>2801</v>
      </c>
      <c r="L10" s="3">
        <v>3333.1</v>
      </c>
      <c r="M10" s="3">
        <v>-64.4</v>
      </c>
      <c r="N10" s="3">
        <v>-600.3</v>
      </c>
      <c r="O10" s="3">
        <v>11</v>
      </c>
      <c r="P10" s="3">
        <f t="shared" si="2"/>
        <v>-653.7</v>
      </c>
      <c r="Q10">
        <v>1</v>
      </c>
      <c r="R10">
        <v>0</v>
      </c>
    </row>
    <row r="11" spans="1:18">
      <c r="A11" s="2" t="s">
        <v>27</v>
      </c>
      <c r="B11" s="3">
        <v>8970.4</v>
      </c>
      <c r="C11" s="3">
        <v>-5522.8</v>
      </c>
      <c r="D11" s="3">
        <f t="shared" si="0"/>
        <v>3447.6</v>
      </c>
      <c r="E11" s="3">
        <v>957.6</v>
      </c>
      <c r="F11" s="3">
        <v>567.2</v>
      </c>
      <c r="G11" s="3">
        <v>517.6</v>
      </c>
      <c r="H11">
        <f>799.2*1000000</f>
        <v>799200000</v>
      </c>
      <c r="I11" s="3">
        <v>2778</v>
      </c>
      <c r="J11" s="3">
        <v>7443</v>
      </c>
      <c r="K11" s="3">
        <v>2353.3</v>
      </c>
      <c r="L11" s="3">
        <v>4927.5</v>
      </c>
      <c r="M11" s="3">
        <v>-118.1</v>
      </c>
      <c r="N11" s="3">
        <v>-332.6</v>
      </c>
      <c r="O11" s="3">
        <v>40.6</v>
      </c>
      <c r="P11" s="3">
        <f t="shared" si="2"/>
        <v>-410.1</v>
      </c>
      <c r="Q11">
        <v>0</v>
      </c>
      <c r="R11">
        <v>1</v>
      </c>
    </row>
    <row r="12" spans="1:18">
      <c r="A12" s="2" t="s">
        <v>28</v>
      </c>
      <c r="B12" s="3">
        <v>18641.9</v>
      </c>
      <c r="C12" s="3">
        <v>-11399.9</v>
      </c>
      <c r="D12" s="3">
        <f t="shared" si="0"/>
        <v>7242</v>
      </c>
      <c r="E12" s="3">
        <v>1845.5</v>
      </c>
      <c r="F12" s="3">
        <v>1086.7</v>
      </c>
      <c r="G12" s="3">
        <v>1025.3</v>
      </c>
      <c r="H12">
        <f>802.4*1000000</f>
        <v>802400000</v>
      </c>
      <c r="I12" s="3">
        <v>2951.3</v>
      </c>
      <c r="J12" s="3">
        <v>7491.2</v>
      </c>
      <c r="K12" s="3">
        <v>2906.6</v>
      </c>
      <c r="L12" s="3">
        <v>4246.5</v>
      </c>
      <c r="M12" s="3">
        <v>-88.8</v>
      </c>
      <c r="N12" s="3">
        <v>-527.2</v>
      </c>
      <c r="O12" s="3">
        <v>794.3</v>
      </c>
      <c r="P12" s="3">
        <f t="shared" si="2"/>
        <v>178.3</v>
      </c>
      <c r="Q12">
        <v>1</v>
      </c>
      <c r="R12">
        <v>0</v>
      </c>
    </row>
    <row r="13" spans="1:18">
      <c r="A13" s="2" t="s">
        <v>29</v>
      </c>
      <c r="B13" s="3">
        <v>10557.1</v>
      </c>
      <c r="C13" s="3">
        <v>-6357.6</v>
      </c>
      <c r="D13" s="3">
        <f t="shared" si="0"/>
        <v>4199.5</v>
      </c>
      <c r="E13" s="3">
        <v>985.8</v>
      </c>
      <c r="F13" s="3">
        <v>469.2</v>
      </c>
      <c r="G13" s="3">
        <v>460.5</v>
      </c>
      <c r="H13">
        <f>810*1000000</f>
        <v>810000000</v>
      </c>
      <c r="I13" s="3">
        <v>3066.3</v>
      </c>
      <c r="J13" s="3">
        <v>8373.2</v>
      </c>
      <c r="K13" s="3">
        <v>3970.7</v>
      </c>
      <c r="L13" s="3">
        <v>4050.9</v>
      </c>
      <c r="M13" s="3">
        <v>264.3</v>
      </c>
      <c r="N13" s="3">
        <v>-282.7</v>
      </c>
      <c r="O13" s="3">
        <v>1009.9</v>
      </c>
      <c r="P13" s="3">
        <f t="shared" si="2"/>
        <v>991.5</v>
      </c>
      <c r="Q13">
        <v>0</v>
      </c>
      <c r="R13">
        <v>1</v>
      </c>
    </row>
    <row r="14" spans="1:18">
      <c r="A14" s="2" t="s">
        <v>30</v>
      </c>
      <c r="B14" s="3">
        <v>21753.6</v>
      </c>
      <c r="C14" s="3">
        <v>-13076.7</v>
      </c>
      <c r="D14" s="3">
        <f t="shared" si="0"/>
        <v>8676.9</v>
      </c>
      <c r="E14" s="3">
        <v>2006.6</v>
      </c>
      <c r="F14" s="3">
        <v>951.6</v>
      </c>
      <c r="G14" s="3">
        <v>937</v>
      </c>
      <c r="H14">
        <f>809.9*1000000</f>
        <v>809900000</v>
      </c>
      <c r="I14" s="3">
        <v>2798.1</v>
      </c>
      <c r="J14" s="3">
        <v>3023.7</v>
      </c>
      <c r="K14" s="3">
        <v>2267.5</v>
      </c>
      <c r="L14" s="3">
        <v>3209.4</v>
      </c>
      <c r="M14" s="3">
        <v>431.5</v>
      </c>
      <c r="N14" s="3">
        <v>-510.4</v>
      </c>
      <c r="O14" s="3">
        <v>381.4</v>
      </c>
      <c r="P14" s="3">
        <f t="shared" si="2"/>
        <v>302.5</v>
      </c>
      <c r="Q14">
        <v>1</v>
      </c>
      <c r="R14">
        <v>0</v>
      </c>
    </row>
    <row r="15" spans="1:18">
      <c r="A15" s="2" t="s">
        <v>31</v>
      </c>
      <c r="B15" s="3">
        <v>11134.6</v>
      </c>
      <c r="C15" s="3">
        <v>-7258.9</v>
      </c>
      <c r="D15" s="3">
        <f t="shared" si="0"/>
        <v>3875.7</v>
      </c>
      <c r="E15" s="3">
        <v>1046.1</v>
      </c>
      <c r="F15" s="3">
        <v>894</v>
      </c>
      <c r="G15" s="3">
        <v>499.9</v>
      </c>
      <c r="H15">
        <f>796.6*1000000</f>
        <v>796600000</v>
      </c>
      <c r="I15" s="3">
        <v>3307.1</v>
      </c>
      <c r="J15" s="3">
        <v>5613.3</v>
      </c>
      <c r="K15" s="3">
        <v>2340.6</v>
      </c>
      <c r="L15" s="3">
        <v>3305.5</v>
      </c>
      <c r="M15" s="3">
        <v>1033.7</v>
      </c>
      <c r="N15" s="3">
        <v>2844.1</v>
      </c>
      <c r="O15" s="3">
        <v>-890.2</v>
      </c>
      <c r="P15" s="3">
        <f t="shared" si="2"/>
        <v>2987.6</v>
      </c>
      <c r="Q15">
        <v>0</v>
      </c>
      <c r="R15">
        <v>1</v>
      </c>
    </row>
    <row r="16" spans="1:18">
      <c r="A16" s="2" t="s">
        <v>32</v>
      </c>
      <c r="B16" s="3">
        <v>21922.3</v>
      </c>
      <c r="C16" s="3">
        <v>-14501.1</v>
      </c>
      <c r="D16" s="3">
        <f t="shared" si="0"/>
        <v>7421.2</v>
      </c>
      <c r="E16" s="3">
        <v>1637.5</v>
      </c>
      <c r="F16" s="3">
        <v>1259.8</v>
      </c>
      <c r="G16" s="3">
        <v>861.6</v>
      </c>
      <c r="H16">
        <f>788.3*1000000</f>
        <v>788300000</v>
      </c>
      <c r="I16" s="3">
        <v>3436.4</v>
      </c>
      <c r="J16" s="3">
        <v>4868.7</v>
      </c>
      <c r="K16" s="3">
        <v>2341.5</v>
      </c>
      <c r="L16" s="3">
        <v>2891.7</v>
      </c>
      <c r="M16" s="3">
        <v>952.1</v>
      </c>
      <c r="N16" s="3">
        <v>2624.9</v>
      </c>
      <c r="O16" s="3">
        <v>-1055.1</v>
      </c>
      <c r="P16" s="3">
        <f t="shared" si="2"/>
        <v>2521.9</v>
      </c>
      <c r="Q16">
        <v>1</v>
      </c>
      <c r="R16">
        <v>0</v>
      </c>
    </row>
    <row r="17" spans="1:18">
      <c r="A17" s="2" t="s">
        <v>33</v>
      </c>
      <c r="B17" s="3">
        <v>11696</v>
      </c>
      <c r="C17" s="3">
        <v>-7705.5</v>
      </c>
      <c r="D17" s="3">
        <f t="shared" si="0"/>
        <v>3990.5</v>
      </c>
      <c r="E17" s="3">
        <v>1000.9</v>
      </c>
      <c r="F17" s="3">
        <v>670.1</v>
      </c>
      <c r="G17" s="3">
        <v>661</v>
      </c>
      <c r="H17">
        <f>773.6*1000000</f>
        <v>773600000</v>
      </c>
      <c r="I17" s="3">
        <v>3532.2</v>
      </c>
      <c r="J17" s="3">
        <v>5301.2</v>
      </c>
      <c r="K17" s="3">
        <v>1339.9</v>
      </c>
      <c r="L17" s="3">
        <v>4325.1</v>
      </c>
      <c r="M17" s="3">
        <v>645.5</v>
      </c>
      <c r="N17" s="3">
        <v>-304.6</v>
      </c>
      <c r="O17" s="3">
        <v>-208.8</v>
      </c>
      <c r="P17" s="3">
        <f t="shared" si="2"/>
        <v>132.1</v>
      </c>
      <c r="Q17">
        <v>0</v>
      </c>
      <c r="R17">
        <v>1</v>
      </c>
    </row>
    <row r="18" spans="1:18">
      <c r="A18" s="2" t="s">
        <v>34</v>
      </c>
      <c r="B18" s="3">
        <v>23663</v>
      </c>
      <c r="C18" s="3">
        <v>-15656</v>
      </c>
      <c r="D18" s="3">
        <f t="shared" si="0"/>
        <v>8007</v>
      </c>
      <c r="E18" s="3">
        <v>1654</v>
      </c>
      <c r="F18" s="3">
        <v>1268</v>
      </c>
      <c r="G18" s="3">
        <v>1264</v>
      </c>
      <c r="H18">
        <f>768*1000000</f>
        <v>768000000</v>
      </c>
      <c r="I18" s="3">
        <v>3633</v>
      </c>
      <c r="J18" s="3">
        <v>5377</v>
      </c>
      <c r="K18" s="3">
        <v>1362</v>
      </c>
      <c r="L18" s="3">
        <v>4195</v>
      </c>
      <c r="M18" s="3">
        <v>1394</v>
      </c>
      <c r="N18" s="3">
        <v>-514</v>
      </c>
      <c r="O18" s="3">
        <v>-364</v>
      </c>
      <c r="P18" s="3">
        <f t="shared" si="2"/>
        <v>516</v>
      </c>
      <c r="Q18">
        <v>1</v>
      </c>
      <c r="R18">
        <v>0</v>
      </c>
    </row>
    <row r="19" spans="1:18">
      <c r="A19" s="2" t="s">
        <v>35</v>
      </c>
      <c r="B19" s="3">
        <v>12797</v>
      </c>
      <c r="C19" s="3">
        <v>-8327</v>
      </c>
      <c r="D19" s="3">
        <f t="shared" si="0"/>
        <v>4470</v>
      </c>
      <c r="E19" s="3">
        <v>1102</v>
      </c>
      <c r="F19" s="3">
        <v>783</v>
      </c>
      <c r="G19" s="3">
        <v>765</v>
      </c>
      <c r="H19">
        <f>759.3*1000000</f>
        <v>759300000</v>
      </c>
      <c r="I19" s="3">
        <v>3679</v>
      </c>
      <c r="J19" s="3">
        <v>5073</v>
      </c>
      <c r="K19" s="3">
        <v>1300</v>
      </c>
      <c r="L19" s="3">
        <v>3726</v>
      </c>
      <c r="M19" s="3">
        <v>800</v>
      </c>
      <c r="N19" s="3">
        <v>-285</v>
      </c>
      <c r="O19" s="3">
        <v>-1001</v>
      </c>
      <c r="P19" s="3">
        <f t="shared" si="2"/>
        <v>-486</v>
      </c>
      <c r="Q19">
        <v>0</v>
      </c>
      <c r="R19">
        <v>1</v>
      </c>
    </row>
    <row r="20" spans="1:18">
      <c r="A20" s="2" t="s">
        <v>36</v>
      </c>
      <c r="B20" s="3">
        <v>25841</v>
      </c>
      <c r="C20" s="3">
        <v>-16683</v>
      </c>
      <c r="D20" s="3">
        <f t="shared" si="0"/>
        <v>9158</v>
      </c>
      <c r="E20" s="3">
        <v>2122</v>
      </c>
      <c r="F20" s="3">
        <v>1647</v>
      </c>
      <c r="G20" s="3">
        <v>1632</v>
      </c>
      <c r="H20">
        <f>759.5*1000000</f>
        <v>759500000</v>
      </c>
      <c r="I20" s="3">
        <v>4115</v>
      </c>
      <c r="J20" s="3">
        <v>4950</v>
      </c>
      <c r="K20" s="3">
        <v>1460</v>
      </c>
      <c r="L20" s="3">
        <v>3512</v>
      </c>
      <c r="M20" s="3">
        <v>1471</v>
      </c>
      <c r="N20" s="3">
        <v>-771</v>
      </c>
      <c r="O20" s="3">
        <v>-1328</v>
      </c>
      <c r="P20" s="3">
        <f t="shared" si="2"/>
        <v>-628</v>
      </c>
      <c r="Q20">
        <v>1</v>
      </c>
      <c r="R20">
        <v>0</v>
      </c>
    </row>
    <row r="21" spans="1:18">
      <c r="A21" s="2" t="s">
        <v>37</v>
      </c>
      <c r="B21" s="3">
        <v>14214</v>
      </c>
      <c r="C21" s="3">
        <v>-9090</v>
      </c>
      <c r="D21" s="3">
        <f t="shared" si="0"/>
        <v>5124</v>
      </c>
      <c r="E21" s="3">
        <v>1408</v>
      </c>
      <c r="F21" s="3">
        <v>1049</v>
      </c>
      <c r="G21" s="3">
        <v>1014</v>
      </c>
      <c r="H21">
        <f>747.4*1000000</f>
        <v>747400000</v>
      </c>
      <c r="I21" s="3">
        <v>4333</v>
      </c>
      <c r="J21" s="3">
        <v>4885</v>
      </c>
      <c r="K21" s="3">
        <v>919</v>
      </c>
      <c r="L21" s="3">
        <v>4296</v>
      </c>
      <c r="M21" s="3">
        <v>795</v>
      </c>
      <c r="N21" s="3">
        <v>-629</v>
      </c>
      <c r="O21" s="3">
        <v>-627</v>
      </c>
      <c r="P21" s="3">
        <f t="shared" si="2"/>
        <v>-461</v>
      </c>
      <c r="Q21">
        <v>0</v>
      </c>
      <c r="R21">
        <v>1</v>
      </c>
    </row>
    <row r="22" spans="1:18">
      <c r="A22" s="2" t="s">
        <v>38</v>
      </c>
      <c r="B22" s="3">
        <v>28604</v>
      </c>
      <c r="C22" s="3">
        <v>-18419</v>
      </c>
      <c r="D22" s="3">
        <f t="shared" si="0"/>
        <v>10185</v>
      </c>
      <c r="E22" s="3">
        <v>2687</v>
      </c>
      <c r="F22" s="3">
        <v>2059</v>
      </c>
      <c r="G22" s="3">
        <v>1996</v>
      </c>
      <c r="H22">
        <f>746.6*1000000</f>
        <v>746600000</v>
      </c>
      <c r="I22" s="3">
        <v>5011</v>
      </c>
      <c r="J22" s="3">
        <v>5034</v>
      </c>
      <c r="K22" s="3">
        <v>1177</v>
      </c>
      <c r="L22" s="3">
        <v>4296</v>
      </c>
      <c r="M22" s="3">
        <v>1590</v>
      </c>
      <c r="N22" s="3">
        <v>-1101</v>
      </c>
      <c r="O22" s="3">
        <v>-675</v>
      </c>
      <c r="P22" s="3">
        <f t="shared" si="2"/>
        <v>-186</v>
      </c>
      <c r="Q22">
        <v>1</v>
      </c>
      <c r="R22">
        <v>0</v>
      </c>
    </row>
    <row r="23" spans="1:18">
      <c r="A23" s="2" t="s">
        <v>39</v>
      </c>
      <c r="B23" s="3">
        <v>16771</v>
      </c>
      <c r="C23" s="3">
        <v>-10319</v>
      </c>
      <c r="D23" s="3">
        <f t="shared" si="0"/>
        <v>6452</v>
      </c>
      <c r="E23" s="3">
        <v>1698</v>
      </c>
      <c r="F23" s="3">
        <v>1283</v>
      </c>
      <c r="G23" s="3">
        <v>1229</v>
      </c>
      <c r="H23">
        <f>748.4*1000000</f>
        <v>748400000</v>
      </c>
      <c r="I23" s="3">
        <v>6564</v>
      </c>
      <c r="J23" s="3">
        <v>4808</v>
      </c>
      <c r="K23" s="3">
        <v>1845</v>
      </c>
      <c r="L23" s="3">
        <v>4708</v>
      </c>
      <c r="M23" s="3">
        <v>722</v>
      </c>
      <c r="N23" s="3">
        <v>-1860</v>
      </c>
      <c r="O23" s="3">
        <v>137</v>
      </c>
      <c r="P23" s="3">
        <f t="shared" si="2"/>
        <v>-1001</v>
      </c>
      <c r="Q23">
        <v>0</v>
      </c>
      <c r="R23">
        <v>1</v>
      </c>
    </row>
    <row r="24" spans="1:18">
      <c r="A24" s="2" t="s">
        <v>40</v>
      </c>
      <c r="B24" s="3">
        <v>35399</v>
      </c>
      <c r="C24" s="3">
        <v>-21674</v>
      </c>
      <c r="D24" s="3">
        <f t="shared" si="0"/>
        <v>13725</v>
      </c>
      <c r="E24" s="3">
        <v>3469</v>
      </c>
      <c r="F24" s="3">
        <v>2638</v>
      </c>
      <c r="G24" s="3">
        <v>2554</v>
      </c>
      <c r="H24">
        <f>750.3*1000000</f>
        <v>750300000</v>
      </c>
      <c r="I24" s="3">
        <v>6778</v>
      </c>
      <c r="J24" s="3">
        <v>5347</v>
      </c>
      <c r="K24" s="3">
        <v>1908</v>
      </c>
      <c r="L24" s="3">
        <v>4376</v>
      </c>
      <c r="M24" s="3">
        <v>1542</v>
      </c>
      <c r="N24" s="3">
        <v>-2312</v>
      </c>
      <c r="O24" s="3">
        <v>165</v>
      </c>
      <c r="P24" s="3">
        <f t="shared" si="2"/>
        <v>-605</v>
      </c>
      <c r="Q24">
        <v>1</v>
      </c>
      <c r="R24">
        <v>0</v>
      </c>
    </row>
    <row r="25" spans="1:18">
      <c r="A25" s="2" t="s">
        <v>41</v>
      </c>
      <c r="B25" s="3">
        <v>19454</v>
      </c>
      <c r="C25" s="3">
        <v>-11828</v>
      </c>
      <c r="D25" s="3">
        <f t="shared" si="0"/>
        <v>7626</v>
      </c>
      <c r="E25" s="3">
        <v>2086</v>
      </c>
      <c r="F25" s="3">
        <v>1567</v>
      </c>
      <c r="G25" s="3">
        <v>1456</v>
      </c>
      <c r="H25">
        <f>756.8*1000000</f>
        <v>756800000</v>
      </c>
      <c r="I25" s="3">
        <v>6968</v>
      </c>
      <c r="J25" s="3">
        <v>6007</v>
      </c>
      <c r="K25" s="3">
        <v>1869</v>
      </c>
      <c r="L25" s="3">
        <v>4811</v>
      </c>
      <c r="M25" s="3">
        <v>880</v>
      </c>
      <c r="N25" s="3">
        <v>-513</v>
      </c>
      <c r="O25" s="3">
        <v>-13</v>
      </c>
      <c r="P25" s="3">
        <f t="shared" si="2"/>
        <v>354</v>
      </c>
      <c r="Q25">
        <v>0</v>
      </c>
      <c r="R25">
        <v>1</v>
      </c>
    </row>
    <row r="26" spans="1:18">
      <c r="A26" s="2" t="s">
        <v>42</v>
      </c>
      <c r="B26" s="3">
        <v>39944</v>
      </c>
      <c r="C26" s="3">
        <v>-24209</v>
      </c>
      <c r="D26" s="3">
        <f t="shared" si="0"/>
        <v>15735</v>
      </c>
      <c r="E26" s="3">
        <v>3943</v>
      </c>
      <c r="F26" s="3">
        <v>2990</v>
      </c>
      <c r="G26" s="3">
        <v>2769</v>
      </c>
      <c r="H26">
        <f>758.2*1000000</f>
        <v>758200000</v>
      </c>
      <c r="I26" s="3">
        <v>8192</v>
      </c>
      <c r="J26" s="3">
        <v>14077</v>
      </c>
      <c r="K26" s="3">
        <v>1918</v>
      </c>
      <c r="L26" s="3">
        <v>13399</v>
      </c>
      <c r="M26" s="3">
        <v>2004</v>
      </c>
      <c r="N26" s="3">
        <v>-1692</v>
      </c>
      <c r="O26" s="3">
        <v>-326</v>
      </c>
      <c r="P26" s="3">
        <f t="shared" si="2"/>
        <v>-14</v>
      </c>
      <c r="Q26">
        <v>1</v>
      </c>
      <c r="R26">
        <v>0</v>
      </c>
    </row>
    <row r="27" spans="1:18">
      <c r="A27" s="2" t="s">
        <v>43</v>
      </c>
      <c r="B27" s="3">
        <v>28460</v>
      </c>
      <c r="C27" s="3">
        <v>-16243</v>
      </c>
      <c r="D27" s="3">
        <f t="shared" si="0"/>
        <v>12217</v>
      </c>
      <c r="E27" s="3">
        <v>3014</v>
      </c>
      <c r="F27" s="3">
        <v>1647</v>
      </c>
      <c r="G27" s="3">
        <v>1670</v>
      </c>
      <c r="H27">
        <f>860.3*1000000</f>
        <v>860300000</v>
      </c>
      <c r="I27" s="3">
        <v>33086</v>
      </c>
      <c r="J27" s="3">
        <v>10852</v>
      </c>
      <c r="K27" s="3">
        <v>19599</v>
      </c>
      <c r="L27" s="3">
        <v>10312</v>
      </c>
      <c r="M27" s="3">
        <v>1428</v>
      </c>
      <c r="N27" s="3">
        <v>-24740</v>
      </c>
      <c r="O27" s="3">
        <v>24516</v>
      </c>
      <c r="P27" s="3">
        <f t="shared" si="2"/>
        <v>1204</v>
      </c>
      <c r="Q27">
        <v>0</v>
      </c>
      <c r="R27">
        <v>1</v>
      </c>
    </row>
    <row r="28" spans="1:18">
      <c r="A28" s="2" t="s">
        <v>44</v>
      </c>
      <c r="B28" s="3">
        <v>58069</v>
      </c>
      <c r="C28" s="3">
        <v>-33356</v>
      </c>
      <c r="D28" s="3">
        <f t="shared" si="0"/>
        <v>24713</v>
      </c>
      <c r="E28" s="3">
        <v>5587</v>
      </c>
      <c r="F28" s="3">
        <v>3120</v>
      </c>
      <c r="G28" s="3">
        <v>3307</v>
      </c>
      <c r="H28">
        <f>894.4*1000000</f>
        <v>894400000</v>
      </c>
      <c r="I28" s="3">
        <v>33174</v>
      </c>
      <c r="J28" s="3">
        <v>8251</v>
      </c>
      <c r="K28" s="3">
        <v>18072</v>
      </c>
      <c r="L28" s="3">
        <v>9086</v>
      </c>
      <c r="M28" s="3">
        <v>3113</v>
      </c>
      <c r="N28" s="3">
        <v>-26427</v>
      </c>
      <c r="O28" s="3">
        <v>22593</v>
      </c>
      <c r="P28" s="3">
        <f t="shared" si="2"/>
        <v>-721</v>
      </c>
      <c r="Q28">
        <v>1</v>
      </c>
      <c r="R28">
        <v>0</v>
      </c>
    </row>
    <row r="29" spans="1:18">
      <c r="A29" s="2" t="s">
        <v>45</v>
      </c>
      <c r="B29" s="3">
        <v>32939</v>
      </c>
      <c r="C29" s="3">
        <v>-18821</v>
      </c>
      <c r="D29" s="3">
        <f t="shared" si="0"/>
        <v>14118</v>
      </c>
      <c r="E29" s="3">
        <v>3832</v>
      </c>
      <c r="F29" s="3">
        <v>2429</v>
      </c>
      <c r="G29" s="3">
        <v>2420</v>
      </c>
      <c r="H29">
        <f>954.5*1000000</f>
        <v>954500000</v>
      </c>
      <c r="I29" s="3">
        <v>38356</v>
      </c>
      <c r="J29" s="3">
        <v>11723</v>
      </c>
      <c r="K29" s="3">
        <v>18738</v>
      </c>
      <c r="L29" s="3">
        <v>12293</v>
      </c>
      <c r="M29" s="3">
        <v>2095</v>
      </c>
      <c r="N29" s="3">
        <v>-141</v>
      </c>
      <c r="O29" s="3">
        <v>-147</v>
      </c>
      <c r="P29" s="3">
        <f t="shared" si="2"/>
        <v>1807</v>
      </c>
      <c r="Q29">
        <v>0</v>
      </c>
      <c r="R29">
        <v>1</v>
      </c>
    </row>
    <row r="30" spans="1:18">
      <c r="A30" s="2" t="s">
        <v>46</v>
      </c>
      <c r="B30" s="3">
        <v>66978</v>
      </c>
      <c r="C30" s="3">
        <v>-38618</v>
      </c>
      <c r="D30" s="3">
        <f t="shared" si="0"/>
        <v>28360</v>
      </c>
      <c r="E30" s="3">
        <v>6969</v>
      </c>
      <c r="F30" s="3">
        <v>4353</v>
      </c>
      <c r="G30" s="3">
        <v>4358</v>
      </c>
      <c r="H30">
        <f>956.5*1000000</f>
        <v>956500000</v>
      </c>
      <c r="I30" s="3">
        <v>37001</v>
      </c>
      <c r="J30" s="3">
        <v>10340</v>
      </c>
      <c r="K30" s="3">
        <v>18559</v>
      </c>
      <c r="L30" s="3">
        <v>10978</v>
      </c>
      <c r="M30" s="3">
        <v>3670</v>
      </c>
      <c r="N30" s="3">
        <v>-2809</v>
      </c>
      <c r="O30" s="3">
        <v>-326</v>
      </c>
      <c r="P30" s="3">
        <f t="shared" si="2"/>
        <v>535</v>
      </c>
      <c r="Q30">
        <v>1</v>
      </c>
      <c r="R30">
        <v>0</v>
      </c>
    </row>
    <row r="31" spans="1:18">
      <c r="A31" s="2" t="s">
        <v>47</v>
      </c>
      <c r="B31" s="3">
        <v>35262</v>
      </c>
      <c r="C31" s="3">
        <v>-20329</v>
      </c>
      <c r="D31" s="3">
        <f t="shared" si="0"/>
        <v>14933</v>
      </c>
      <c r="E31" s="3">
        <v>3710</v>
      </c>
      <c r="F31" s="3">
        <v>3317</v>
      </c>
      <c r="G31" s="3">
        <v>2330</v>
      </c>
      <c r="H31">
        <f>960.5*1000000</f>
        <v>960500000</v>
      </c>
      <c r="I31" s="3">
        <v>34346</v>
      </c>
      <c r="J31" s="3">
        <v>13313</v>
      </c>
      <c r="K31" s="3">
        <v>14225</v>
      </c>
      <c r="L31" s="3">
        <v>14475</v>
      </c>
      <c r="M31" s="3">
        <v>544</v>
      </c>
      <c r="N31" s="3">
        <v>1750</v>
      </c>
      <c r="O31" s="3">
        <v>-1093</v>
      </c>
      <c r="P31" s="3">
        <f t="shared" si="2"/>
        <v>1201</v>
      </c>
      <c r="Q31">
        <v>0</v>
      </c>
      <c r="R31">
        <v>1</v>
      </c>
    </row>
    <row r="32" spans="1:18">
      <c r="A32" s="2" t="s">
        <v>48</v>
      </c>
      <c r="B32" s="3">
        <v>69451</v>
      </c>
      <c r="C32" s="3">
        <v>-40739</v>
      </c>
      <c r="D32" s="3">
        <f t="shared" si="0"/>
        <v>28712</v>
      </c>
      <c r="E32" s="3">
        <v>6206</v>
      </c>
      <c r="F32" s="3">
        <v>5448</v>
      </c>
      <c r="G32" s="3">
        <v>4045</v>
      </c>
      <c r="H32">
        <f>961*1000000</f>
        <v>961000000</v>
      </c>
      <c r="I32" s="3">
        <v>34706</v>
      </c>
      <c r="J32" s="3">
        <v>10287</v>
      </c>
      <c r="K32" s="3">
        <v>15336</v>
      </c>
      <c r="L32" s="3">
        <v>10591</v>
      </c>
      <c r="M32" s="3">
        <v>1949</v>
      </c>
      <c r="N32" s="3">
        <v>422</v>
      </c>
      <c r="O32" s="3">
        <v>-2007</v>
      </c>
      <c r="P32" s="3">
        <f t="shared" si="2"/>
        <v>364</v>
      </c>
      <c r="Q32">
        <v>1</v>
      </c>
      <c r="R32">
        <v>0</v>
      </c>
    </row>
    <row r="33" spans="1:18">
      <c r="A33" s="2" t="s">
        <v>49</v>
      </c>
      <c r="B33">
        <v>36270</v>
      </c>
      <c r="C33">
        <v>-20914</v>
      </c>
      <c r="D33" s="3">
        <f t="shared" si="0"/>
        <v>15356</v>
      </c>
      <c r="E33">
        <v>3133</v>
      </c>
      <c r="F33">
        <v>-4860</v>
      </c>
      <c r="G33">
        <v>1982</v>
      </c>
      <c r="H33">
        <f>960.9*1000000</f>
        <v>960900000</v>
      </c>
      <c r="I33">
        <v>27901</v>
      </c>
      <c r="J33">
        <v>12147</v>
      </c>
      <c r="K33">
        <v>15298</v>
      </c>
      <c r="L33">
        <v>12564</v>
      </c>
      <c r="M33">
        <v>1547</v>
      </c>
      <c r="N33">
        <v>-1564</v>
      </c>
      <c r="O33">
        <v>-74</v>
      </c>
      <c r="P33" s="3">
        <f t="shared" si="2"/>
        <v>-91</v>
      </c>
      <c r="Q33">
        <v>0</v>
      </c>
      <c r="R33">
        <v>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2017-12-31T04:05:00Z</dcterms:created>
  <dcterms:modified xsi:type="dcterms:W3CDTF">2018-02-26T16:02:09Z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