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1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<sst xmlns="http://schemas.openxmlformats.org/spreadsheetml/2006/main" count="52">
  <si>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Date</t>
  </si>
  <si>
    <t>Revenue</t>
  </si>
  <si>
    <t>Cost of sales</t>
  </si>
  <si>
    <t>Gross profit</t>
  </si>
  <si>
    <t>Operating profit</t>
  </si>
  <si>
    <t>Net profit</t>
  </si>
  <si>
    <t>Headline earnings</t>
  </si>
  <si>
    <t>Shares in issue</t>
  </si>
  <si>
    <t>Non-current assets</t>
  </si>
  <si>
    <t>Current assets</t>
  </si>
  <si>
    <t>Non-current liabilities</t>
  </si>
  <si>
    <t>Current liabilities</t>
  </si>
  <si>
    <t>Cash from operations</t>
  </si>
  <si>
    <t>Cash from investing</t>
  </si>
  <si>
    <t>Cash from financing</t>
  </si>
  <si>
    <t>Change in cash</t>
  </si>
  <si>
    <t>Full year</t>
  </si>
  <si>
    <t>Half year</t>
  </si>
  <si>
    <t>03-08-2001</t>
  </si>
  <si>
    <t>03-03-2002</t>
  </si>
  <si>
    <t>30-07-2002</t>
  </si>
  <si>
    <t>13-02-2003</t>
  </si>
  <si>
    <t>29-07-2003</t>
  </si>
  <si>
    <t>24-02-2004</t>
  </si>
  <si>
    <t>08-08-2004</t>
  </si>
  <si>
    <t>23-02-2005</t>
  </si>
  <si>
    <t>05-08-2005</t>
  </si>
  <si>
    <t>21-02-2006</t>
  </si>
  <si>
    <t>08-08-2006</t>
  </si>
  <si>
    <t>22-02-2007</t>
  </si>
  <si>
    <t>07-08-2007</t>
  </si>
  <si>
    <t>28-02-2008</t>
  </si>
  <si>
    <t>07-08-2008</t>
  </si>
  <si>
    <t>26-02-2009</t>
  </si>
  <si>
    <t>05-08-2009</t>
  </si>
  <si>
    <t>26-02-2010</t>
  </si>
  <si>
    <t>03-08-2010</t>
  </si>
  <si>
    <t>01-03-2011</t>
  </si>
  <si>
    <t>02-08-2011</t>
  </si>
  <si>
    <t>01-03-2012</t>
  </si>
  <si>
    <t>02-08-2012</t>
  </si>
  <si>
    <t>26-02-2013</t>
  </si>
  <si>
    <t>07-08-2013</t>
  </si>
  <si>
    <t>25-02-2014</t>
  </si>
  <si>
    <t>06-08-2014</t>
  </si>
  <si>
    <t>24-02-2015</t>
  </si>
  <si>
    <t>05-08-2015</t>
  </si>
  <si>
    <t>02-03-2016</t>
  </si>
  <si>
    <t>02-08-2016</t>
  </si>
  <si>
    <t>28-02-2017</t>
  </si>
  <si>
    <t>03-08-2017</t>
  </si>
  <si>
    <t>03-03-2018</t>
  </si>
</sst>
</file>

<file path=xl/styles.xml><?xml version="1.0" encoding="utf-8"?>
<styleSheet xmlns="http://schemas.openxmlformats.org/spreadsheetml/2006/main">
  <numFmts count="6">
    <numFmt numFmtId="176" formatCode="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0.0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49" fontId="0" fillId="0" borderId="0" xfId="0" applyNumberFormat="1" applyFill="1"/>
    <xf numFmtId="176" fontId="0" fillId="0" borderId="0" xfId="0" applyNumberFormat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2"/>
  <sheetViews>
    <sheetView tabSelected="1" topLeftCell="B1" workbookViewId="0">
      <selection activeCell="M37" sqref="M37:O37"/>
    </sheetView>
  </sheetViews>
  <sheetFormatPr defaultColWidth="9" defaultRowHeight="15"/>
  <cols>
    <col min="1" max="1" width="11.1428571428571" customWidth="1"/>
    <col min="3" max="3" width="12.8571428571429" customWidth="1"/>
    <col min="4" max="4" width="12.1428571428571" customWidth="1"/>
    <col min="5" max="5" width="16.5714285714286" customWidth="1"/>
    <col min="6" max="6" width="10.2857142857143" customWidth="1"/>
    <col min="7" max="7" width="18.5714285714286" customWidth="1"/>
    <col min="8" max="8" width="15.1428571428571" customWidth="1"/>
    <col min="9" max="9" width="19.2857142857143" customWidth="1"/>
    <col min="10" max="10" width="14.7142857142857" customWidth="1"/>
    <col min="11" max="11" width="22.5714285714286" customWidth="1"/>
    <col min="12" max="12" width="17.8571428571429" customWidth="1"/>
    <col min="13" max="13" width="21.7142857142857" customWidth="1"/>
    <col min="14" max="15" width="20.1428571428571" customWidth="1"/>
    <col min="16" max="16" width="15.1428571428571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>
        <v>8610</v>
      </c>
      <c r="C2">
        <v>-6006</v>
      </c>
      <c r="D2">
        <f t="shared" ref="D2:D34" si="0">B2+C2</f>
        <v>2604</v>
      </c>
      <c r="E2">
        <v>1869</v>
      </c>
      <c r="F2">
        <v>-2048</v>
      </c>
      <c r="G2">
        <v>-2030</v>
      </c>
      <c r="H2">
        <f>240*1000000</f>
        <v>240000000</v>
      </c>
      <c r="I2">
        <f>173012-J2</f>
        <v>144257</v>
      </c>
      <c r="J2">
        <f>14699+7034+7022</f>
        <v>28755</v>
      </c>
      <c r="K2">
        <f>1534+157141+736+15647-L2</f>
        <v>17917</v>
      </c>
      <c r="L2">
        <v>157141</v>
      </c>
      <c r="M2">
        <v>678</v>
      </c>
      <c r="N2">
        <v>-886</v>
      </c>
      <c r="O2">
        <v>145</v>
      </c>
      <c r="P2">
        <f t="shared" ref="P2:P34" si="1">SUM(M2:O2)</f>
        <v>-63</v>
      </c>
      <c r="Q2">
        <v>0</v>
      </c>
      <c r="R2">
        <v>1</v>
      </c>
    </row>
    <row r="3" spans="1:18">
      <c r="A3" s="3" t="s">
        <v>19</v>
      </c>
      <c r="B3">
        <v>17186</v>
      </c>
      <c r="C3">
        <v>-11918</v>
      </c>
      <c r="D3">
        <f t="shared" si="0"/>
        <v>5268</v>
      </c>
      <c r="E3">
        <v>4551</v>
      </c>
      <c r="F3">
        <v>1</v>
      </c>
      <c r="G3">
        <v>-164</v>
      </c>
      <c r="H3">
        <f>240.8*1000000</f>
        <v>240800000</v>
      </c>
      <c r="I3">
        <f>197691-J3</f>
        <v>162714</v>
      </c>
      <c r="J3">
        <f>10978+11372+12627</f>
        <v>34977</v>
      </c>
      <c r="K3">
        <f>3829+177160+973+20372-L3</f>
        <v>25174</v>
      </c>
      <c r="L3">
        <v>177160</v>
      </c>
      <c r="M3">
        <v>-6492</v>
      </c>
      <c r="N3">
        <v>-3065</v>
      </c>
      <c r="O3">
        <v>2651</v>
      </c>
      <c r="P3">
        <f t="shared" si="1"/>
        <v>-6906</v>
      </c>
      <c r="Q3">
        <v>1</v>
      </c>
      <c r="R3">
        <v>0</v>
      </c>
    </row>
    <row r="4" spans="1:18">
      <c r="A4" s="2" t="s">
        <v>20</v>
      </c>
      <c r="B4">
        <v>9575</v>
      </c>
      <c r="C4">
        <v>-6718</v>
      </c>
      <c r="D4">
        <f t="shared" si="0"/>
        <v>2857</v>
      </c>
      <c r="E4">
        <v>1989</v>
      </c>
      <c r="F4">
        <v>799</v>
      </c>
      <c r="G4">
        <v>738</v>
      </c>
      <c r="H4">
        <v>241900000</v>
      </c>
      <c r="I4">
        <f>200727-J4</f>
        <v>164848</v>
      </c>
      <c r="J4">
        <f>15221+9210+11448</f>
        <v>35879</v>
      </c>
      <c r="K4">
        <f>3100+179946+1070+18112-L4</f>
        <v>22282</v>
      </c>
      <c r="L4">
        <v>179946</v>
      </c>
      <c r="M4">
        <v>3389</v>
      </c>
      <c r="N4">
        <v>-237</v>
      </c>
      <c r="O4">
        <v>-146</v>
      </c>
      <c r="P4">
        <f t="shared" si="1"/>
        <v>3006</v>
      </c>
      <c r="Q4">
        <v>0</v>
      </c>
      <c r="R4">
        <v>1</v>
      </c>
    </row>
    <row r="5" spans="1:18">
      <c r="A5" s="2" t="s">
        <v>21</v>
      </c>
      <c r="B5">
        <v>23822</v>
      </c>
      <c r="C5">
        <v>-17522</v>
      </c>
      <c r="D5">
        <f t="shared" si="0"/>
        <v>6300</v>
      </c>
      <c r="E5">
        <v>3313</v>
      </c>
      <c r="F5">
        <v>1317</v>
      </c>
      <c r="G5">
        <v>984</v>
      </c>
      <c r="H5">
        <f>253*1000000</f>
        <v>253000000</v>
      </c>
      <c r="I5">
        <f>273784-J5</f>
        <v>227543</v>
      </c>
      <c r="J5">
        <f>16607+14987+14647</f>
        <v>46241</v>
      </c>
      <c r="K5">
        <f>237063+7891+7568+1120+11966-L5</f>
        <v>28545</v>
      </c>
      <c r="L5">
        <v>237063</v>
      </c>
      <c r="M5">
        <v>802</v>
      </c>
      <c r="N5">
        <v>-6456</v>
      </c>
      <c r="O5">
        <v>8302</v>
      </c>
      <c r="P5">
        <f t="shared" si="1"/>
        <v>2648</v>
      </c>
      <c r="Q5">
        <v>1</v>
      </c>
      <c r="R5">
        <v>0</v>
      </c>
    </row>
    <row r="6" spans="1:18">
      <c r="A6" s="2" t="s">
        <v>22</v>
      </c>
      <c r="B6">
        <v>14669</v>
      </c>
      <c r="C6">
        <v>-11357</v>
      </c>
      <c r="D6">
        <f t="shared" si="0"/>
        <v>3312</v>
      </c>
      <c r="E6">
        <v>1246</v>
      </c>
      <c r="F6">
        <v>488</v>
      </c>
      <c r="G6">
        <v>258</v>
      </c>
      <c r="H6">
        <f>270.8*1000000</f>
        <v>270800000</v>
      </c>
      <c r="I6">
        <f>315703-J6</f>
        <v>268990</v>
      </c>
      <c r="J6">
        <f>9401+19542+16669+702+399</f>
        <v>46713</v>
      </c>
      <c r="K6">
        <f>280904+1249+178+7004+7447+822+10703-L6</f>
        <v>25976</v>
      </c>
      <c r="L6">
        <f>280904+178+1249</f>
        <v>282331</v>
      </c>
      <c r="M6">
        <v>-9659</v>
      </c>
      <c r="N6">
        <v>1287</v>
      </c>
      <c r="O6">
        <v>-32</v>
      </c>
      <c r="P6">
        <f t="shared" si="1"/>
        <v>-8404</v>
      </c>
      <c r="Q6">
        <v>0</v>
      </c>
      <c r="R6">
        <v>1</v>
      </c>
    </row>
    <row r="7" spans="1:18">
      <c r="A7" s="2" t="s">
        <v>23</v>
      </c>
      <c r="B7">
        <v>28141</v>
      </c>
      <c r="C7">
        <v>-21333</v>
      </c>
      <c r="D7">
        <f t="shared" si="0"/>
        <v>6808</v>
      </c>
      <c r="E7">
        <v>938</v>
      </c>
      <c r="F7">
        <v>-1334</v>
      </c>
      <c r="G7">
        <v>-1600</v>
      </c>
      <c r="H7">
        <f>271.5*1000000</f>
        <v>271500000</v>
      </c>
      <c r="I7">
        <f>321429-J7</f>
        <v>240371</v>
      </c>
      <c r="J7">
        <f>12227+10610+26244+28496+3225+256</f>
        <v>81058</v>
      </c>
      <c r="K7">
        <f>259757+28206+2148+144+5152+10086+835+12403-L7</f>
        <v>28476</v>
      </c>
      <c r="L7">
        <f>259757+28206+2148+144</f>
        <v>290255</v>
      </c>
      <c r="M7">
        <v>-13762</v>
      </c>
      <c r="N7">
        <v>2654</v>
      </c>
      <c r="O7">
        <v>3591</v>
      </c>
      <c r="P7">
        <f t="shared" si="1"/>
        <v>-7517</v>
      </c>
      <c r="Q7">
        <v>1</v>
      </c>
      <c r="R7">
        <v>0</v>
      </c>
    </row>
    <row r="8" spans="1:18">
      <c r="A8" s="3" t="s">
        <v>24</v>
      </c>
      <c r="B8">
        <v>11707</v>
      </c>
      <c r="C8">
        <v>-8122</v>
      </c>
      <c r="D8">
        <f t="shared" si="0"/>
        <v>3585</v>
      </c>
      <c r="E8">
        <v>684</v>
      </c>
      <c r="F8">
        <v>563</v>
      </c>
      <c r="G8">
        <v>380</v>
      </c>
      <c r="H8">
        <f>327.8*1000000</f>
        <v>327800000</v>
      </c>
      <c r="I8">
        <f>300353-J8</f>
        <v>233737</v>
      </c>
      <c r="J8">
        <f>11809+9549+22322+21509+1253+174</f>
        <v>66616</v>
      </c>
      <c r="K8">
        <f>19856+236618+9585+864+189+3803+7497+1009+10429-L8</f>
        <v>32323</v>
      </c>
      <c r="L8">
        <f>19856+236618+864+189</f>
        <v>257527</v>
      </c>
      <c r="M8">
        <v>-3967</v>
      </c>
      <c r="N8">
        <v>1228</v>
      </c>
      <c r="O8">
        <v>2321</v>
      </c>
      <c r="P8">
        <f t="shared" si="1"/>
        <v>-418</v>
      </c>
      <c r="Q8">
        <v>0</v>
      </c>
      <c r="R8">
        <v>1</v>
      </c>
    </row>
    <row r="9" spans="1:18">
      <c r="A9" s="2" t="s">
        <v>25</v>
      </c>
      <c r="B9">
        <v>23825</v>
      </c>
      <c r="C9">
        <v>-16258</v>
      </c>
      <c r="D9">
        <f t="shared" si="0"/>
        <v>7567</v>
      </c>
      <c r="E9">
        <v>1730</v>
      </c>
      <c r="F9">
        <v>1338</v>
      </c>
      <c r="G9">
        <v>974</v>
      </c>
      <c r="H9">
        <f>360.9*1000000</f>
        <v>360900000</v>
      </c>
      <c r="I9">
        <f>327238-J9</f>
        <v>245726</v>
      </c>
      <c r="J9">
        <f>10050+16310+26224+27560+1172+196</f>
        <v>81512</v>
      </c>
      <c r="K9">
        <f>28055+254125+10054+1125+193+3109+7482+1509+10770-L9</f>
        <v>32924</v>
      </c>
      <c r="L9">
        <f>28055+254125+1125+193</f>
        <v>283498</v>
      </c>
      <c r="M9">
        <v>-7090</v>
      </c>
      <c r="N9">
        <v>2836</v>
      </c>
      <c r="O9">
        <v>2077</v>
      </c>
      <c r="P9">
        <f t="shared" si="1"/>
        <v>-2177</v>
      </c>
      <c r="Q9">
        <v>1</v>
      </c>
      <c r="R9">
        <v>0</v>
      </c>
    </row>
    <row r="10" spans="1:18">
      <c r="A10" s="2" t="s">
        <v>26</v>
      </c>
      <c r="B10">
        <v>10818</v>
      </c>
      <c r="C10">
        <v>-6794</v>
      </c>
      <c r="D10">
        <f t="shared" si="0"/>
        <v>4024</v>
      </c>
      <c r="E10">
        <v>1980</v>
      </c>
      <c r="F10">
        <v>1603</v>
      </c>
      <c r="G10">
        <v>1404</v>
      </c>
      <c r="H10">
        <f>394.4*1000000</f>
        <v>394400000</v>
      </c>
      <c r="I10">
        <f>336158-J10</f>
        <v>246808</v>
      </c>
      <c r="J10">
        <f>14032+20776+24320+22146+200+6618+1258</f>
        <v>89350</v>
      </c>
      <c r="K10">
        <f>22633+262946+12224+246+276+1092+961+3395+7331+1396+9352-L10</f>
        <v>34659</v>
      </c>
      <c r="L10">
        <f>22633+262946+246+276+1092</f>
        <v>287193</v>
      </c>
      <c r="M10">
        <v>4347</v>
      </c>
      <c r="N10">
        <v>-127</v>
      </c>
      <c r="O10">
        <v>-238</v>
      </c>
      <c r="P10">
        <f t="shared" si="1"/>
        <v>3982</v>
      </c>
      <c r="Q10">
        <v>0</v>
      </c>
      <c r="R10">
        <v>1</v>
      </c>
    </row>
    <row r="11" spans="1:18">
      <c r="A11" s="2" t="s">
        <v>27</v>
      </c>
      <c r="B11">
        <v>23234</v>
      </c>
      <c r="C11">
        <v>-14705</v>
      </c>
      <c r="D11">
        <f t="shared" si="0"/>
        <v>8529</v>
      </c>
      <c r="E11">
        <v>5270</v>
      </c>
      <c r="F11">
        <v>4297</v>
      </c>
      <c r="G11">
        <v>4297</v>
      </c>
      <c r="H11">
        <v>397196966</v>
      </c>
      <c r="I11">
        <f>352258-J11</f>
        <v>277579</v>
      </c>
      <c r="J11">
        <f>11142+17014+16176+22658+134+6875+680</f>
        <v>74679</v>
      </c>
      <c r="K11">
        <f>17055+261311+32357+1291+466+959+1071+4166+7273+11064-L11</f>
        <v>57222</v>
      </c>
      <c r="L11">
        <f>17055+261311+466+959</f>
        <v>279791</v>
      </c>
      <c r="M11">
        <v>8176</v>
      </c>
      <c r="N11">
        <v>-927</v>
      </c>
      <c r="O11">
        <v>-410</v>
      </c>
      <c r="P11">
        <f t="shared" si="1"/>
        <v>6839</v>
      </c>
      <c r="Q11">
        <v>1</v>
      </c>
      <c r="R11">
        <v>0</v>
      </c>
    </row>
    <row r="12" spans="1:18">
      <c r="A12" s="2" t="s">
        <v>28</v>
      </c>
      <c r="B12">
        <v>12827</v>
      </c>
      <c r="C12">
        <v>-7788</v>
      </c>
      <c r="D12">
        <f t="shared" si="0"/>
        <v>5039</v>
      </c>
      <c r="E12">
        <v>3408</v>
      </c>
      <c r="F12">
        <v>2582</v>
      </c>
      <c r="G12">
        <v>2326</v>
      </c>
      <c r="H12">
        <f>402.9*1000000</f>
        <v>402900000</v>
      </c>
      <c r="I12">
        <f>384608-J12</f>
        <v>305720</v>
      </c>
      <c r="J12">
        <f>9092+27707+14364+20673+138+6700+214</f>
        <v>78888</v>
      </c>
      <c r="K12">
        <f>356570-L12</f>
        <v>59440</v>
      </c>
      <c r="L12">
        <f>15051+280633+567+879</f>
        <v>297130</v>
      </c>
      <c r="M12">
        <v>-2925</v>
      </c>
      <c r="N12">
        <v>172</v>
      </c>
      <c r="O12">
        <v>1005</v>
      </c>
      <c r="P12">
        <f t="shared" si="1"/>
        <v>-1748</v>
      </c>
      <c r="Q12">
        <v>0</v>
      </c>
      <c r="R12">
        <v>1</v>
      </c>
    </row>
    <row r="13" spans="1:18">
      <c r="A13" s="2" t="s">
        <v>29</v>
      </c>
      <c r="B13">
        <v>28521</v>
      </c>
      <c r="C13">
        <v>-17558</v>
      </c>
      <c r="D13">
        <f t="shared" si="0"/>
        <v>10963</v>
      </c>
      <c r="E13">
        <v>6841</v>
      </c>
      <c r="F13">
        <v>5061</v>
      </c>
      <c r="G13">
        <v>4533</v>
      </c>
      <c r="H13">
        <f>399.5*1000000</f>
        <v>399500000</v>
      </c>
      <c r="I13">
        <f>424912-J13</f>
        <v>341984</v>
      </c>
      <c r="J13">
        <f>12267+25756+15273+22196+161+7155+120</f>
        <v>82928</v>
      </c>
      <c r="K13">
        <f>395524-L13</f>
        <v>55852</v>
      </c>
      <c r="L13">
        <f>12904+324685+434+1649</f>
        <v>339672</v>
      </c>
      <c r="M13">
        <v>4605</v>
      </c>
      <c r="N13">
        <v>-1057</v>
      </c>
      <c r="O13">
        <v>-1131</v>
      </c>
      <c r="P13">
        <f t="shared" si="1"/>
        <v>2417</v>
      </c>
      <c r="Q13">
        <v>1</v>
      </c>
      <c r="R13">
        <v>0</v>
      </c>
    </row>
    <row r="14" spans="1:18">
      <c r="A14" s="2" t="s">
        <v>30</v>
      </c>
      <c r="B14">
        <v>19075</v>
      </c>
      <c r="C14">
        <v>-12507</v>
      </c>
      <c r="D14">
        <f t="shared" si="0"/>
        <v>6568</v>
      </c>
      <c r="E14">
        <v>3944</v>
      </c>
      <c r="F14">
        <v>3087</v>
      </c>
      <c r="G14">
        <v>2798</v>
      </c>
      <c r="H14">
        <f>396.7*1000000</f>
        <v>396700000</v>
      </c>
      <c r="I14">
        <f>460832-J14</f>
        <v>378072</v>
      </c>
      <c r="J14">
        <f>14563+24226+9446+25310+851+8308+56</f>
        <v>82760</v>
      </c>
      <c r="K14">
        <f>428358-L14</f>
        <v>57781</v>
      </c>
      <c r="L14">
        <f>11636+356640+303+1998</f>
        <v>370577</v>
      </c>
      <c r="M14">
        <v>2648</v>
      </c>
      <c r="N14">
        <v>-1572</v>
      </c>
      <c r="O14">
        <v>1917</v>
      </c>
      <c r="P14">
        <f t="shared" si="1"/>
        <v>2993</v>
      </c>
      <c r="Q14">
        <v>0</v>
      </c>
      <c r="R14">
        <v>1</v>
      </c>
    </row>
    <row r="15" spans="1:18">
      <c r="A15" s="2" t="s">
        <v>31</v>
      </c>
      <c r="B15">
        <v>42001</v>
      </c>
      <c r="C15">
        <v>-27855</v>
      </c>
      <c r="D15">
        <f t="shared" si="0"/>
        <v>14146</v>
      </c>
      <c r="E15">
        <v>8745</v>
      </c>
      <c r="F15">
        <v>6641</v>
      </c>
      <c r="G15">
        <v>6025</v>
      </c>
      <c r="H15">
        <f>398.7*1000000</f>
        <v>398700000</v>
      </c>
      <c r="I15">
        <f>488856-J15</f>
        <v>405633</v>
      </c>
      <c r="J15">
        <f>10344+25793+9047+29637+59+8318+25</f>
        <v>83223</v>
      </c>
      <c r="K15">
        <f>453731-L15</f>
        <v>55805</v>
      </c>
      <c r="L15">
        <f>11432+384541+337+1616</f>
        <v>397926</v>
      </c>
      <c r="M15">
        <v>-657</v>
      </c>
      <c r="N15">
        <v>-2063</v>
      </c>
      <c r="O15">
        <v>2122</v>
      </c>
      <c r="P15">
        <f t="shared" si="1"/>
        <v>-598</v>
      </c>
      <c r="Q15">
        <v>1</v>
      </c>
      <c r="R15">
        <v>0</v>
      </c>
    </row>
    <row r="16" spans="1:18">
      <c r="A16" s="2" t="s">
        <v>32</v>
      </c>
      <c r="B16">
        <v>26633</v>
      </c>
      <c r="C16">
        <v>-18673</v>
      </c>
      <c r="D16">
        <f t="shared" si="0"/>
        <v>7960</v>
      </c>
      <c r="E16">
        <v>4942</v>
      </c>
      <c r="F16">
        <v>3902</v>
      </c>
      <c r="G16">
        <v>3597</v>
      </c>
      <c r="H16">
        <f>403.6*1000000</f>
        <v>403600000</v>
      </c>
      <c r="I16">
        <f>549007-J16</f>
        <v>445721</v>
      </c>
      <c r="J16">
        <f>11550+29335+16759+36524+28+8994+96</f>
        <v>103286</v>
      </c>
      <c r="K16">
        <f>510909-L16</f>
        <v>56374</v>
      </c>
      <c r="L16">
        <f>17211+435209+295+1820</f>
        <v>454535</v>
      </c>
      <c r="M16">
        <v>3421</v>
      </c>
      <c r="N16">
        <v>-592</v>
      </c>
      <c r="O16">
        <v>-498</v>
      </c>
      <c r="P16">
        <f t="shared" si="1"/>
        <v>2331</v>
      </c>
      <c r="Q16">
        <v>0</v>
      </c>
      <c r="R16">
        <v>1</v>
      </c>
    </row>
    <row r="17" spans="1:18">
      <c r="A17" s="2" t="s">
        <v>33</v>
      </c>
      <c r="B17">
        <v>57986</v>
      </c>
      <c r="C17">
        <v>-41816</v>
      </c>
      <c r="D17">
        <f t="shared" si="0"/>
        <v>16170</v>
      </c>
      <c r="E17">
        <v>8718</v>
      </c>
      <c r="F17">
        <v>7004</v>
      </c>
      <c r="G17">
        <v>6410</v>
      </c>
      <c r="H17">
        <f>405.4*1000000</f>
        <v>405400000</v>
      </c>
      <c r="I17">
        <f>567023-J17</f>
        <v>466365</v>
      </c>
      <c r="J17">
        <f>8609+18589+22321+42138+346+8455+200</f>
        <v>100658</v>
      </c>
      <c r="K17">
        <f>526950-L17</f>
        <v>33988</v>
      </c>
      <c r="L17">
        <f>23737+466890+235+2100</f>
        <v>492962</v>
      </c>
      <c r="M17">
        <v>1650</v>
      </c>
      <c r="N17">
        <v>-999</v>
      </c>
      <c r="O17">
        <v>-685</v>
      </c>
      <c r="P17">
        <f t="shared" si="1"/>
        <v>-34</v>
      </c>
      <c r="Q17">
        <v>1</v>
      </c>
      <c r="R17">
        <v>0</v>
      </c>
    </row>
    <row r="18" spans="1:18">
      <c r="A18" s="2" t="s">
        <v>34</v>
      </c>
      <c r="B18">
        <v>27380</v>
      </c>
      <c r="C18">
        <v>-19495</v>
      </c>
      <c r="D18">
        <f t="shared" si="0"/>
        <v>7885</v>
      </c>
      <c r="E18">
        <v>3476</v>
      </c>
      <c r="F18">
        <v>2820</v>
      </c>
      <c r="G18">
        <v>2564</v>
      </c>
      <c r="H18">
        <f>413.9*1000000</f>
        <v>413900000</v>
      </c>
      <c r="I18">
        <f>557318-J18</f>
        <v>464484</v>
      </c>
      <c r="J18">
        <f>8065+20634+17840+35713+570+9795+217</f>
        <v>92834</v>
      </c>
      <c r="K18">
        <f>514820-L18</f>
        <v>36197</v>
      </c>
      <c r="L18">
        <f>15848+460358+224+2193</f>
        <v>478623</v>
      </c>
      <c r="M18">
        <v>1231</v>
      </c>
      <c r="N18">
        <v>-384</v>
      </c>
      <c r="O18">
        <v>-551</v>
      </c>
      <c r="P18">
        <f t="shared" si="1"/>
        <v>296</v>
      </c>
      <c r="Q18">
        <v>0</v>
      </c>
      <c r="R18">
        <v>1</v>
      </c>
    </row>
    <row r="19" spans="1:18">
      <c r="A19" s="2" t="s">
        <v>35</v>
      </c>
      <c r="B19">
        <v>50537</v>
      </c>
      <c r="C19">
        <v>-34231</v>
      </c>
      <c r="D19">
        <f t="shared" si="0"/>
        <v>16306</v>
      </c>
      <c r="E19">
        <v>6664</v>
      </c>
      <c r="F19">
        <v>5412</v>
      </c>
      <c r="G19">
        <v>4826</v>
      </c>
      <c r="H19">
        <f>423.4*1000000</f>
        <v>423400000</v>
      </c>
      <c r="I19">
        <f>570703-J19</f>
        <v>483684</v>
      </c>
      <c r="J19">
        <f>7867+18550+12710+35983+602+11025+282</f>
        <v>87019</v>
      </c>
      <c r="K19">
        <f>525719-L19</f>
        <v>42553</v>
      </c>
      <c r="L19">
        <f>11551+469355+315+1945</f>
        <v>483166</v>
      </c>
      <c r="M19">
        <v>-2006</v>
      </c>
      <c r="N19">
        <v>-3171</v>
      </c>
      <c r="O19">
        <v>4878</v>
      </c>
      <c r="P19">
        <f t="shared" si="1"/>
        <v>-299</v>
      </c>
      <c r="Q19">
        <v>1</v>
      </c>
      <c r="R19">
        <v>0</v>
      </c>
    </row>
    <row r="20" spans="1:18">
      <c r="A20" s="2" t="s">
        <v>36</v>
      </c>
      <c r="B20">
        <v>22173</v>
      </c>
      <c r="C20">
        <v>-14091</v>
      </c>
      <c r="D20">
        <f t="shared" si="0"/>
        <v>8082</v>
      </c>
      <c r="E20">
        <v>2888</v>
      </c>
      <c r="F20">
        <v>2314</v>
      </c>
      <c r="G20">
        <v>2036</v>
      </c>
      <c r="H20">
        <f>440.7*1000000</f>
        <v>440700000</v>
      </c>
      <c r="I20">
        <f>590847-J20</f>
        <v>496610</v>
      </c>
      <c r="J20">
        <f>8063+21080+12776+40294+359+11249+416</f>
        <v>94237</v>
      </c>
      <c r="K20">
        <f>545275-L20</f>
        <v>51806</v>
      </c>
      <c r="L20">
        <f>10903+480418+212+1936</f>
        <v>493469</v>
      </c>
      <c r="M20">
        <v>-3225</v>
      </c>
      <c r="N20">
        <v>-2453</v>
      </c>
      <c r="O20">
        <v>6644</v>
      </c>
      <c r="P20">
        <f t="shared" si="1"/>
        <v>966</v>
      </c>
      <c r="Q20">
        <v>0</v>
      </c>
      <c r="R20">
        <v>1</v>
      </c>
    </row>
    <row r="21" spans="1:18">
      <c r="A21" s="2" t="s">
        <v>37</v>
      </c>
      <c r="B21">
        <v>44377</v>
      </c>
      <c r="C21">
        <v>-27769</v>
      </c>
      <c r="D21">
        <f t="shared" si="0"/>
        <v>16608</v>
      </c>
      <c r="E21">
        <v>6499</v>
      </c>
      <c r="F21">
        <v>5136</v>
      </c>
      <c r="G21">
        <v>4811</v>
      </c>
      <c r="H21">
        <f>443.9*1000000</f>
        <v>443900000</v>
      </c>
      <c r="I21">
        <f>608718-J21</f>
        <v>514633</v>
      </c>
      <c r="J21">
        <f>8650+27044+13882+31824+483+11918+284</f>
        <v>94085</v>
      </c>
      <c r="K21">
        <f>560904-L21</f>
        <v>56417</v>
      </c>
      <c r="L21">
        <f>12052+490440+191+1804</f>
        <v>504487</v>
      </c>
      <c r="M21">
        <v>304</v>
      </c>
      <c r="N21">
        <v>-4438</v>
      </c>
      <c r="O21">
        <v>5504</v>
      </c>
      <c r="P21">
        <f t="shared" si="1"/>
        <v>1370</v>
      </c>
      <c r="Q21">
        <v>1</v>
      </c>
      <c r="R21">
        <v>0</v>
      </c>
    </row>
    <row r="22" spans="1:18">
      <c r="A22" s="2" t="s">
        <v>38</v>
      </c>
      <c r="B22">
        <v>21030</v>
      </c>
      <c r="C22">
        <v>-12347</v>
      </c>
      <c r="D22">
        <f t="shared" si="0"/>
        <v>8683</v>
      </c>
      <c r="E22">
        <v>3924</v>
      </c>
      <c r="F22">
        <v>2919</v>
      </c>
      <c r="G22">
        <v>2764</v>
      </c>
      <c r="H22">
        <f>451.2*1000000</f>
        <v>451200000</v>
      </c>
      <c r="I22">
        <f>609875-J22</f>
        <v>511012</v>
      </c>
      <c r="J22">
        <f>11743+29125+8284+36056+618+12808+229</f>
        <v>98863</v>
      </c>
      <c r="K22">
        <f>560147-L22</f>
        <v>55300</v>
      </c>
      <c r="L22">
        <f>8894+493974+121+1858</f>
        <v>504847</v>
      </c>
      <c r="M22">
        <v>4966</v>
      </c>
      <c r="N22">
        <v>-2147</v>
      </c>
      <c r="O22">
        <v>833</v>
      </c>
      <c r="P22">
        <f t="shared" si="1"/>
        <v>3652</v>
      </c>
      <c r="Q22">
        <v>0</v>
      </c>
      <c r="R22">
        <v>1</v>
      </c>
    </row>
    <row r="23" spans="1:18">
      <c r="A23" s="2" t="s">
        <v>39</v>
      </c>
      <c r="B23">
        <v>42880</v>
      </c>
      <c r="C23">
        <v>-24846</v>
      </c>
      <c r="D23">
        <f t="shared" si="0"/>
        <v>18034</v>
      </c>
      <c r="E23">
        <v>8677</v>
      </c>
      <c r="F23">
        <v>6503</v>
      </c>
      <c r="G23">
        <v>6879</v>
      </c>
      <c r="H23">
        <f>452.9*1000000</f>
        <v>452900000</v>
      </c>
      <c r="I23">
        <f>648127-J23</f>
        <v>540423</v>
      </c>
      <c r="J23">
        <f>13457+35986+12840+30176+698+14281+266</f>
        <v>107704</v>
      </c>
      <c r="K23">
        <f>595442-L23</f>
        <v>44138</v>
      </c>
      <c r="L23">
        <f>13853+521155+14751+200+1345</f>
        <v>551304</v>
      </c>
      <c r="M23">
        <v>8863</v>
      </c>
      <c r="N23">
        <v>-3702</v>
      </c>
      <c r="O23">
        <v>557</v>
      </c>
      <c r="P23">
        <f t="shared" si="1"/>
        <v>5718</v>
      </c>
      <c r="Q23">
        <v>1</v>
      </c>
      <c r="R23">
        <v>0</v>
      </c>
    </row>
    <row r="24" spans="1:18">
      <c r="A24" s="2" t="s">
        <v>40</v>
      </c>
      <c r="B24">
        <v>22362</v>
      </c>
      <c r="C24">
        <v>-12720</v>
      </c>
      <c r="D24">
        <f t="shared" si="0"/>
        <v>9642</v>
      </c>
      <c r="E24">
        <v>5057</v>
      </c>
      <c r="F24">
        <v>3653</v>
      </c>
      <c r="G24">
        <v>3503</v>
      </c>
      <c r="H24">
        <f>455.7*1000000</f>
        <v>455700000</v>
      </c>
      <c r="I24">
        <f>670021-J24</f>
        <v>557720</v>
      </c>
      <c r="J24">
        <f>11840+42090+14608+26693+976+15825+269</f>
        <v>112301</v>
      </c>
      <c r="K24">
        <f>615165-L24</f>
        <v>61800</v>
      </c>
      <c r="L24">
        <f>15272+536944+116+1033</f>
        <v>553365</v>
      </c>
      <c r="M24">
        <v>2049</v>
      </c>
      <c r="N24">
        <v>-2155</v>
      </c>
      <c r="O24">
        <v>-1115</v>
      </c>
      <c r="P24">
        <f t="shared" si="1"/>
        <v>-1221</v>
      </c>
      <c r="Q24">
        <v>0</v>
      </c>
      <c r="R24">
        <v>1</v>
      </c>
    </row>
    <row r="25" spans="1:18">
      <c r="A25" s="2" t="s">
        <v>41</v>
      </c>
      <c r="B25">
        <v>44730</v>
      </c>
      <c r="C25">
        <v>-25050</v>
      </c>
      <c r="D25">
        <f t="shared" si="0"/>
        <v>19680</v>
      </c>
      <c r="E25">
        <v>10686</v>
      </c>
      <c r="F25">
        <v>7812</v>
      </c>
      <c r="G25">
        <v>7476</v>
      </c>
      <c r="H25">
        <f>456.3*1000000</f>
        <v>456300000</v>
      </c>
      <c r="I25">
        <f>682979-J25</f>
        <v>567290</v>
      </c>
      <c r="J25">
        <f>14445+43457+13812+26753+246+16577+399</f>
        <v>115689</v>
      </c>
      <c r="K25">
        <f>625249-L25</f>
        <v>59943</v>
      </c>
      <c r="L25">
        <f>13454+550878+193+781</f>
        <v>565306</v>
      </c>
      <c r="M25">
        <v>8943</v>
      </c>
      <c r="N25">
        <v>-4696</v>
      </c>
      <c r="O25">
        <v>-2552</v>
      </c>
      <c r="P25">
        <f t="shared" si="1"/>
        <v>1695</v>
      </c>
      <c r="Q25">
        <v>1</v>
      </c>
      <c r="R25">
        <v>0</v>
      </c>
    </row>
    <row r="26" spans="1:18">
      <c r="A26" s="2" t="s">
        <v>42</v>
      </c>
      <c r="B26">
        <v>22400</v>
      </c>
      <c r="C26">
        <v>-12091</v>
      </c>
      <c r="D26">
        <f t="shared" si="0"/>
        <v>10309</v>
      </c>
      <c r="E26">
        <v>5460</v>
      </c>
      <c r="F26">
        <v>4047</v>
      </c>
      <c r="G26">
        <v>3910</v>
      </c>
      <c r="H26">
        <f>459.2*1000000</f>
        <v>459200000</v>
      </c>
      <c r="I26">
        <f>714330-J26</f>
        <v>595690</v>
      </c>
      <c r="J26">
        <f>16784+44906+13004+25022+455+18145+324</f>
        <v>118640</v>
      </c>
      <c r="K26">
        <f>654513-L26</f>
        <v>58219</v>
      </c>
      <c r="L26">
        <f>16777+578807+114+596</f>
        <v>596294</v>
      </c>
      <c r="M26">
        <v>8521</v>
      </c>
      <c r="N26">
        <v>-1742</v>
      </c>
      <c r="O26">
        <v>-5604</v>
      </c>
      <c r="P26">
        <f t="shared" si="1"/>
        <v>1175</v>
      </c>
      <c r="Q26">
        <v>0</v>
      </c>
      <c r="R26">
        <v>1</v>
      </c>
    </row>
    <row r="27" spans="1:18">
      <c r="A27" s="2" t="s">
        <v>43</v>
      </c>
      <c r="B27">
        <v>46087</v>
      </c>
      <c r="C27">
        <v>-24867</v>
      </c>
      <c r="D27">
        <f t="shared" si="0"/>
        <v>21220</v>
      </c>
      <c r="E27">
        <v>11946</v>
      </c>
      <c r="F27">
        <v>8957</v>
      </c>
      <c r="G27">
        <v>8637</v>
      </c>
      <c r="H27">
        <f>460.2*1000000</f>
        <v>460200000</v>
      </c>
      <c r="I27">
        <f>749594-J27</f>
        <v>620691</v>
      </c>
      <c r="J27">
        <f>20842+42451+13390+32091+565+19348+216</f>
        <v>128903</v>
      </c>
      <c r="K27">
        <f>685258-L27</f>
        <v>64636</v>
      </c>
      <c r="L27">
        <f>16580+602952+301+789</f>
        <v>620622</v>
      </c>
      <c r="M27">
        <v>12156</v>
      </c>
      <c r="N27">
        <v>-4341</v>
      </c>
      <c r="O27">
        <v>-800</v>
      </c>
      <c r="P27">
        <f t="shared" si="1"/>
        <v>7015</v>
      </c>
      <c r="Q27">
        <v>1</v>
      </c>
      <c r="R27">
        <v>0</v>
      </c>
    </row>
    <row r="28" spans="1:18">
      <c r="A28" s="2" t="s">
        <v>44</v>
      </c>
      <c r="B28">
        <v>25282</v>
      </c>
      <c r="C28">
        <v>-14019</v>
      </c>
      <c r="D28">
        <f t="shared" si="0"/>
        <v>11263</v>
      </c>
      <c r="E28">
        <v>6397</v>
      </c>
      <c r="F28">
        <v>4781</v>
      </c>
      <c r="G28">
        <v>4598</v>
      </c>
      <c r="H28">
        <f>463.4*1000000</f>
        <v>463400000</v>
      </c>
      <c r="I28">
        <f>783792-J28</f>
        <v>654677</v>
      </c>
      <c r="J28">
        <f>13687+50487+13393+30551+241+20532+224</f>
        <v>129115</v>
      </c>
      <c r="K28">
        <f>716714-L28</f>
        <v>69303</v>
      </c>
      <c r="L28">
        <f>14829+631663+106+813</f>
        <v>647411</v>
      </c>
      <c r="M28">
        <v>-4639</v>
      </c>
      <c r="N28">
        <v>-2475</v>
      </c>
      <c r="O28">
        <v>738</v>
      </c>
      <c r="P28">
        <f t="shared" si="1"/>
        <v>-6376</v>
      </c>
      <c r="Q28">
        <v>0</v>
      </c>
      <c r="R28">
        <v>1</v>
      </c>
    </row>
    <row r="29" spans="1:18">
      <c r="A29" s="2" t="s">
        <v>45</v>
      </c>
      <c r="B29">
        <v>52619</v>
      </c>
      <c r="C29">
        <v>-29658</v>
      </c>
      <c r="D29">
        <f t="shared" si="0"/>
        <v>22961</v>
      </c>
      <c r="E29">
        <v>13495</v>
      </c>
      <c r="F29">
        <v>10188</v>
      </c>
      <c r="G29">
        <v>9796</v>
      </c>
      <c r="H29">
        <f>464.4*1000000</f>
        <v>464400000</v>
      </c>
      <c r="I29">
        <f>809313-J29</f>
        <v>665361</v>
      </c>
      <c r="J29">
        <f>13339+67234+15573+27177+291+20029+309</f>
        <v>143952</v>
      </c>
      <c r="K29">
        <f>738402-L29</f>
        <v>68415</v>
      </c>
      <c r="L29">
        <f>15472+653450+134+931</f>
        <v>669987</v>
      </c>
      <c r="M29">
        <v>5818</v>
      </c>
      <c r="N29">
        <v>-9455</v>
      </c>
      <c r="O29">
        <v>-2132</v>
      </c>
      <c r="P29">
        <f t="shared" si="1"/>
        <v>-5769</v>
      </c>
      <c r="Q29">
        <v>1</v>
      </c>
      <c r="R29">
        <v>0</v>
      </c>
    </row>
    <row r="30" spans="1:18">
      <c r="A30" s="2" t="s">
        <v>46</v>
      </c>
      <c r="B30">
        <v>28513</v>
      </c>
      <c r="C30">
        <v>-16838</v>
      </c>
      <c r="D30">
        <f t="shared" si="0"/>
        <v>11675</v>
      </c>
      <c r="E30">
        <v>6917</v>
      </c>
      <c r="F30">
        <v>5533</v>
      </c>
      <c r="G30">
        <v>5328</v>
      </c>
      <c r="H30">
        <f>472.1*1000000</f>
        <v>472100000</v>
      </c>
      <c r="I30">
        <f>866624-J30</f>
        <v>699061</v>
      </c>
      <c r="J30">
        <f>28892+66083+14732+37649+451+19449+307</f>
        <v>167563</v>
      </c>
      <c r="K30">
        <f>794050-L30</f>
        <v>87483</v>
      </c>
      <c r="L30">
        <f>15016+690495+256+800</f>
        <v>706567</v>
      </c>
      <c r="M30">
        <v>8666</v>
      </c>
      <c r="N30">
        <v>647</v>
      </c>
      <c r="O30">
        <v>6764</v>
      </c>
      <c r="P30">
        <f t="shared" si="1"/>
        <v>16077</v>
      </c>
      <c r="Q30">
        <v>0</v>
      </c>
      <c r="R30">
        <v>1</v>
      </c>
    </row>
    <row r="31" spans="1:18">
      <c r="A31" s="2" t="s">
        <v>47</v>
      </c>
      <c r="B31">
        <v>55128</v>
      </c>
      <c r="C31">
        <v>-32724</v>
      </c>
      <c r="D31">
        <f t="shared" si="0"/>
        <v>22404</v>
      </c>
      <c r="E31">
        <v>11039</v>
      </c>
      <c r="F31">
        <v>8210</v>
      </c>
      <c r="G31">
        <v>8163</v>
      </c>
      <c r="H31">
        <f>(H30+H32)/2</f>
        <v>475050000</v>
      </c>
      <c r="I31">
        <f>860733-J31</f>
        <v>706204</v>
      </c>
      <c r="J31">
        <f>18151+60078+30948+42733+904+1648+67</f>
        <v>154529</v>
      </c>
      <c r="K31">
        <f>800779-L31</f>
        <v>47986</v>
      </c>
      <c r="L31">
        <f>33996+708036+9911+87+763</f>
        <v>752793</v>
      </c>
      <c r="M31">
        <v>5978</v>
      </c>
      <c r="N31">
        <v>-2070</v>
      </c>
      <c r="O31">
        <v>4884</v>
      </c>
      <c r="P31">
        <f t="shared" si="1"/>
        <v>8792</v>
      </c>
      <c r="Q31">
        <v>1</v>
      </c>
      <c r="R31">
        <v>0</v>
      </c>
    </row>
    <row r="32" spans="1:18">
      <c r="A32" s="2" t="s">
        <v>48</v>
      </c>
      <c r="B32">
        <v>33212</v>
      </c>
      <c r="C32">
        <v>-20184</v>
      </c>
      <c r="D32">
        <f t="shared" si="0"/>
        <v>13028</v>
      </c>
      <c r="E32">
        <v>8026</v>
      </c>
      <c r="F32">
        <v>5651</v>
      </c>
      <c r="G32">
        <v>5442</v>
      </c>
      <c r="H32">
        <f>478*1000000</f>
        <v>478000000</v>
      </c>
      <c r="I32">
        <f>944188-J32</f>
        <v>753263</v>
      </c>
      <c r="J32">
        <f>22232+82033+19819+51996+1253+13254+338</f>
        <v>190925</v>
      </c>
      <c r="K32">
        <f>863302-L32</f>
        <v>99987</v>
      </c>
      <c r="L32">
        <f>19587+741712+370+1646</f>
        <v>763315</v>
      </c>
      <c r="M32" s="4">
        <v>4182.66666666667</v>
      </c>
      <c r="N32" s="4">
        <v>-1190</v>
      </c>
      <c r="O32" s="4">
        <v>632.666666666667</v>
      </c>
      <c r="P32" s="4">
        <f t="shared" si="1"/>
        <v>3625.33333333333</v>
      </c>
      <c r="Q32">
        <v>0</v>
      </c>
      <c r="R32">
        <v>1</v>
      </c>
    </row>
    <row r="33" spans="1:18">
      <c r="A33" s="2" t="s">
        <v>49</v>
      </c>
      <c r="B33">
        <v>73395</v>
      </c>
      <c r="C33">
        <v>-46969</v>
      </c>
      <c r="D33">
        <f t="shared" si="0"/>
        <v>26426</v>
      </c>
      <c r="E33">
        <v>14719</v>
      </c>
      <c r="F33">
        <v>10659</v>
      </c>
      <c r="G33">
        <v>10132</v>
      </c>
      <c r="H33">
        <v>477755134</v>
      </c>
      <c r="I33">
        <f>966022-J33</f>
        <v>770985</v>
      </c>
      <c r="J33">
        <f>26384+84679+17633+51048+574+14225+494</f>
        <v>195037</v>
      </c>
      <c r="K33">
        <f>884311-L33</f>
        <v>73788</v>
      </c>
      <c r="L33">
        <f>13296+761542+34667+214+804</f>
        <v>810523</v>
      </c>
      <c r="M33">
        <v>4289</v>
      </c>
      <c r="N33">
        <v>-3004</v>
      </c>
      <c r="O33">
        <v>3536</v>
      </c>
      <c r="P33" s="4">
        <f t="shared" si="1"/>
        <v>4821</v>
      </c>
      <c r="Q33">
        <v>1</v>
      </c>
      <c r="R33">
        <v>0</v>
      </c>
    </row>
    <row r="34" spans="1:18">
      <c r="A34" s="2" t="s">
        <v>50</v>
      </c>
      <c r="B34">
        <v>37364</v>
      </c>
      <c r="C34">
        <v>-23816</v>
      </c>
      <c r="D34">
        <f t="shared" si="0"/>
        <v>13548</v>
      </c>
      <c r="E34">
        <v>8810</v>
      </c>
      <c r="F34">
        <v>5579</v>
      </c>
      <c r="G34">
        <v>5244</v>
      </c>
      <c r="H34">
        <v>479930073</v>
      </c>
      <c r="I34">
        <f>965830-J34</f>
        <v>771458</v>
      </c>
      <c r="J34">
        <f>19314+90741+18727+49306+159+15980+145</f>
        <v>194372</v>
      </c>
      <c r="K34">
        <f>881171-L34</f>
        <v>79457</v>
      </c>
      <c r="L34">
        <f>13011+762712+24728+174+1089</f>
        <v>801714</v>
      </c>
      <c r="M34" s="4">
        <v>2680.83333333333</v>
      </c>
      <c r="N34" s="4">
        <v>-2421.5</v>
      </c>
      <c r="O34" s="4">
        <v>1048</v>
      </c>
      <c r="P34" s="4">
        <f t="shared" si="1"/>
        <v>1307.33333333333</v>
      </c>
      <c r="Q34">
        <v>0</v>
      </c>
      <c r="R34">
        <v>1</v>
      </c>
    </row>
    <row r="35" spans="1:18">
      <c r="A35" s="2" t="s">
        <v>51</v>
      </c>
      <c r="B35">
        <v>75299</v>
      </c>
      <c r="C35">
        <v>-47675</v>
      </c>
      <c r="D35">
        <f>B35+C35</f>
        <v>27624</v>
      </c>
      <c r="E35">
        <v>17346</v>
      </c>
      <c r="F35">
        <v>12299</v>
      </c>
      <c r="G35">
        <v>11625</v>
      </c>
      <c r="H35">
        <v>487894673</v>
      </c>
      <c r="I35">
        <f>983314-J35</f>
        <v>758427</v>
      </c>
      <c r="J35">
        <f>16900+92775+29904+49241+211+16634+19222</f>
        <v>224887</v>
      </c>
      <c r="K35">
        <f>894775-L35</f>
        <v>73996</v>
      </c>
      <c r="L35">
        <f>23367+771584+23292+259+2277</f>
        <v>820779</v>
      </c>
      <c r="M35" s="5">
        <v>4400.26447305675</v>
      </c>
      <c r="N35" s="5">
        <v>-3081.92923223653</v>
      </c>
      <c r="O35" s="5">
        <v>3627.73028135432</v>
      </c>
      <c r="P35" s="4">
        <f>SUM(M35:O35)</f>
        <v>4946.06552217453</v>
      </c>
      <c r="Q35">
        <v>1</v>
      </c>
      <c r="R35">
        <v>0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2018-01-08T13:31:00Z</dcterms:created>
  <dcterms:modified xsi:type="dcterms:W3CDTF">2018-03-12T18:25:01Z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