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<sst xmlns="http://schemas.openxmlformats.org/spreadsheetml/2006/main" count="47">
  <si>
    <t>Date</t>
  </si>
  <si>
    <t>Revenue</t>
  </si>
  <si>
    <t>Cost of sales</t>
  </si>
  <si>
    <t>Gross profit</t>
  </si>
  <si>
    <t>Operating profit</t>
  </si>
  <si>
    <t>Net profit</t>
  </si>
  <si>
    <t>Headline earnings</t>
  </si>
  <si>
    <t>Shares in issue</t>
  </si>
  <si>
    <t>Non-current assets</t>
  </si>
  <si>
    <t>Current assets</t>
  </si>
  <si>
    <t>Non-current liabilities</t>
  </si>
  <si>
    <t>Current liabilities</t>
  </si>
  <si>
    <t>Cash from operations</t>
  </si>
  <si>
    <t>Cash from investing</t>
  </si>
  <si>
    <t>Cash from financing</t>
  </si>
  <si>
    <t>Change in cash</t>
  </si>
  <si>
    <t>Full year</t>
  </si>
  <si>
    <t>Half year</t>
  </si>
  <si>
    <t>22-06-2002</t>
  </si>
  <si>
    <t>26-11-2002</t>
  </si>
  <si>
    <t>21-06-2003</t>
  </si>
  <si>
    <t>26-11-2003</t>
  </si>
  <si>
    <t>26-06-2004</t>
  </si>
  <si>
    <t>30-11-2004</t>
  </si>
  <si>
    <t>30-11-2005</t>
  </si>
  <si>
    <t>23-06-2007</t>
  </si>
  <si>
    <t>08-11-2007</t>
  </si>
  <si>
    <t>26-06-2008</t>
  </si>
  <si>
    <t>27-11-2008</t>
  </si>
  <si>
    <t>01-07-2009</t>
  </si>
  <si>
    <t>27-11-2009</t>
  </si>
  <si>
    <t>30-06-2010</t>
  </si>
  <si>
    <t>01-12-2010</t>
  </si>
  <si>
    <t>28-06-2011</t>
  </si>
  <si>
    <t>30-11-2011</t>
  </si>
  <si>
    <t>27-06-2012</t>
  </si>
  <si>
    <t>28-11-2012</t>
  </si>
  <si>
    <t>26-06-2013</t>
  </si>
  <si>
    <t>27-11-2013</t>
  </si>
  <si>
    <t>24-06-2014</t>
  </si>
  <si>
    <t>26-11-2014</t>
  </si>
  <si>
    <t>30-06-2015</t>
  </si>
  <si>
    <t>28-11-2015</t>
  </si>
  <si>
    <t>25-06-2016</t>
  </si>
  <si>
    <t>26-11-2016</t>
  </si>
  <si>
    <t>24-06-2017</t>
  </si>
  <si>
    <t>30-11-2017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</si>
</sst>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-* #,##0_-;\-* #,##0_-;_-* &quot;-&quot;_-;_-@_-"/>
    <numFmt numFmtId="178" formatCode="_-&quot;£&quot;* #,##0_-;\-&quot;£&quot;* #,##0_-;_-&quot;£&quot;* &quot;-&quot;_-;_-@_-"/>
    <numFmt numFmtId="179" formatCode="_-&quot;£&quot;* #,##0.00_-;\-&quot;£&quot;* #,##0.00_-;_-&quot;£&quot;* &quot;-&quot;??_-;_-@_-"/>
    <numFmt numFmtId="180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7" borderId="0" applyNumberFormat="0" applyBorder="0" applyAlignment="0" applyProtection="0">
      <alignment vertical="center"/>
    </xf>
    <xf numFmtId="180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25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2" fillId="20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ont="1" applyFill="1" applyAlignment="1"/>
    <xf numFmtId="49" fontId="0" fillId="0" borderId="0" xfId="0" applyNumberFormat="1"/>
    <xf numFmtId="176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4"/>
  <sheetViews>
    <sheetView tabSelected="1" workbookViewId="0">
      <selection activeCell="A2" sqref="A2"/>
    </sheetView>
  </sheetViews>
  <sheetFormatPr defaultColWidth="9" defaultRowHeight="15"/>
  <cols>
    <col min="1" max="1" width="11.447619047619"/>
    <col min="2" max="2" width="11.8857142857143"/>
    <col min="3" max="3" width="12.2190476190476" customWidth="1"/>
    <col min="4" max="4" width="11.447619047619" customWidth="1"/>
    <col min="5" max="5" width="15.2190476190476" customWidth="1"/>
    <col min="6" max="6" width="11.8857142857143"/>
    <col min="7" max="7" width="16.7809523809524" customWidth="1"/>
    <col min="8" max="8" width="13.7809523809524" customWidth="1"/>
    <col min="9" max="9" width="18" customWidth="1"/>
    <col min="10" max="10" width="13.6666666666667" customWidth="1"/>
    <col min="11" max="11" width="20.447619047619" customWidth="1"/>
    <col min="12" max="12" width="16" customWidth="1"/>
    <col min="13" max="13" width="20.447619047619" customWidth="1"/>
    <col min="14" max="14" width="18.552380952381" customWidth="1"/>
    <col min="15" max="15" width="18.7809523809524" customWidth="1"/>
    <col min="16" max="16" width="14.1142857142857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2" t="s">
        <v>18</v>
      </c>
      <c r="B2" s="3">
        <v>9836.609</v>
      </c>
      <c r="C2" s="3">
        <v>-5786.549</v>
      </c>
      <c r="D2" s="3">
        <f>B2+C2</f>
        <v>4050.06</v>
      </c>
      <c r="E2" s="3">
        <v>-300.416</v>
      </c>
      <c r="F2" s="3">
        <v>-693.817</v>
      </c>
      <c r="G2" s="3">
        <v>1923.25</v>
      </c>
      <c r="H2" s="3">
        <f>159502877</f>
        <v>159502877</v>
      </c>
      <c r="I2" s="3">
        <v>10107.559</v>
      </c>
      <c r="J2" s="3">
        <v>6538.03</v>
      </c>
      <c r="K2" s="3">
        <v>5117.346</v>
      </c>
      <c r="L2" s="3">
        <v>5777.71</v>
      </c>
      <c r="M2" s="3">
        <v>-384.242</v>
      </c>
      <c r="N2" s="3">
        <v>-1087.955</v>
      </c>
      <c r="O2" s="3">
        <v>818.864</v>
      </c>
      <c r="P2" s="3">
        <f t="shared" ref="P2:P30" si="0">SUM(M2:O2)</f>
        <v>-653.333</v>
      </c>
      <c r="Q2">
        <v>1</v>
      </c>
      <c r="R2">
        <v>0</v>
      </c>
    </row>
    <row r="3" spans="1:18">
      <c r="A3" s="2" t="s">
        <v>19</v>
      </c>
      <c r="B3" s="3">
        <v>5445</v>
      </c>
      <c r="C3" s="3">
        <f>-(B3-D3)</f>
        <v>-4990</v>
      </c>
      <c r="D3" s="3">
        <v>455</v>
      </c>
      <c r="E3" s="3">
        <v>-246</v>
      </c>
      <c r="F3" s="3">
        <v>-450</v>
      </c>
      <c r="G3" s="3">
        <v>-142</v>
      </c>
      <c r="H3" s="3">
        <f>161895*1000</f>
        <v>161895000</v>
      </c>
      <c r="I3" s="3">
        <v>5583</v>
      </c>
      <c r="J3" s="3">
        <v>6060</v>
      </c>
      <c r="K3" s="3">
        <v>4895</v>
      </c>
      <c r="L3" s="3">
        <v>5279</v>
      </c>
      <c r="M3" s="3">
        <v>93</v>
      </c>
      <c r="N3" s="3">
        <v>-496</v>
      </c>
      <c r="O3" s="3">
        <v>-348</v>
      </c>
      <c r="P3" s="3">
        <f t="shared" si="0"/>
        <v>-751</v>
      </c>
      <c r="Q3">
        <v>0</v>
      </c>
      <c r="R3">
        <v>1</v>
      </c>
    </row>
    <row r="4" spans="1:18">
      <c r="A4" s="2" t="s">
        <v>20</v>
      </c>
      <c r="B4" s="3">
        <v>11186.719</v>
      </c>
      <c r="C4" s="3">
        <v>-6443.877</v>
      </c>
      <c r="D4" s="3">
        <f t="shared" ref="D4:D30" si="1">B4+C4</f>
        <v>4742.842</v>
      </c>
      <c r="E4" s="3">
        <v>30.269</v>
      </c>
      <c r="F4" s="3">
        <v>-122.514</v>
      </c>
      <c r="G4" s="3">
        <v>-325.761</v>
      </c>
      <c r="H4" s="3">
        <v>182616140</v>
      </c>
      <c r="I4" s="3">
        <v>6904.055</v>
      </c>
      <c r="J4" s="3">
        <v>5275.789</v>
      </c>
      <c r="K4" s="3">
        <v>3097.174</v>
      </c>
      <c r="L4" s="3">
        <v>5270.734</v>
      </c>
      <c r="M4" s="3">
        <v>1065.89</v>
      </c>
      <c r="N4" s="3">
        <v>233.736</v>
      </c>
      <c r="O4" s="3">
        <v>-636.292</v>
      </c>
      <c r="P4" s="3">
        <f t="shared" si="0"/>
        <v>663.334</v>
      </c>
      <c r="Q4">
        <v>1</v>
      </c>
      <c r="R4">
        <v>0</v>
      </c>
    </row>
    <row r="5" spans="1:18">
      <c r="A5" s="2" t="s">
        <v>21</v>
      </c>
      <c r="B5" s="3">
        <v>5593</v>
      </c>
      <c r="C5" s="3">
        <f>-(B5-D5)</f>
        <v>-4715</v>
      </c>
      <c r="D5" s="3">
        <v>878</v>
      </c>
      <c r="E5" s="3">
        <v>425</v>
      </c>
      <c r="F5" s="3">
        <v>18</v>
      </c>
      <c r="G5" s="3">
        <v>148</v>
      </c>
      <c r="H5" s="3">
        <f>260116*1000</f>
        <v>260116000</v>
      </c>
      <c r="I5" s="3">
        <v>6174</v>
      </c>
      <c r="J5" s="3">
        <v>4850</v>
      </c>
      <c r="K5" s="3">
        <v>3022</v>
      </c>
      <c r="L5" s="3">
        <v>4888</v>
      </c>
      <c r="M5" s="3">
        <v>305</v>
      </c>
      <c r="N5" s="3">
        <v>-453</v>
      </c>
      <c r="O5" s="3">
        <v>-244</v>
      </c>
      <c r="P5" s="3">
        <f t="shared" si="0"/>
        <v>-392</v>
      </c>
      <c r="Q5">
        <v>0</v>
      </c>
      <c r="R5">
        <v>1</v>
      </c>
    </row>
    <row r="6" spans="1:18">
      <c r="A6" s="2" t="s">
        <v>22</v>
      </c>
      <c r="B6" s="3">
        <v>12804.51</v>
      </c>
      <c r="C6" s="3">
        <v>-6593.527</v>
      </c>
      <c r="D6" s="3">
        <v>879</v>
      </c>
      <c r="E6" s="3">
        <v>1288.565</v>
      </c>
      <c r="F6" s="3">
        <v>499.875</v>
      </c>
      <c r="G6" s="3">
        <v>371.414</v>
      </c>
      <c r="H6" s="3">
        <v>261619233</v>
      </c>
      <c r="I6" s="3">
        <v>6314.167</v>
      </c>
      <c r="J6" s="3">
        <v>6778.343</v>
      </c>
      <c r="K6" s="3">
        <v>2872.597</v>
      </c>
      <c r="L6" s="3">
        <v>6802.409</v>
      </c>
      <c r="M6" s="3">
        <v>1636.573</v>
      </c>
      <c r="N6" s="3">
        <v>-555.05</v>
      </c>
      <c r="O6" s="3">
        <v>-554.748</v>
      </c>
      <c r="P6" s="3">
        <f t="shared" si="0"/>
        <v>526.775</v>
      </c>
      <c r="Q6">
        <v>1</v>
      </c>
      <c r="R6">
        <v>0</v>
      </c>
    </row>
    <row r="7" spans="1:18">
      <c r="A7" s="2" t="s">
        <v>23</v>
      </c>
      <c r="B7" s="3">
        <v>6707</v>
      </c>
      <c r="C7" s="3">
        <f>-(B7-D6)</f>
        <v>-5828</v>
      </c>
      <c r="D7" s="3">
        <v>1529</v>
      </c>
      <c r="E7" s="3">
        <v>1226</v>
      </c>
      <c r="F7" s="3">
        <v>1482</v>
      </c>
      <c r="G7" s="3">
        <v>1064</v>
      </c>
      <c r="H7" s="3">
        <f>294485*1000</f>
        <v>294485000</v>
      </c>
      <c r="I7" s="3">
        <v>6778</v>
      </c>
      <c r="J7" s="3">
        <v>6903</v>
      </c>
      <c r="K7" s="3">
        <v>3073</v>
      </c>
      <c r="L7" s="3">
        <v>5437</v>
      </c>
      <c r="M7" s="3">
        <v>431</v>
      </c>
      <c r="N7" s="3">
        <v>-52</v>
      </c>
      <c r="O7" s="3">
        <v>68</v>
      </c>
      <c r="P7" s="3">
        <f t="shared" si="0"/>
        <v>447</v>
      </c>
      <c r="Q7">
        <v>0</v>
      </c>
      <c r="R7">
        <v>1</v>
      </c>
    </row>
    <row r="8" spans="1:18">
      <c r="A8" s="2" t="s">
        <v>24</v>
      </c>
      <c r="B8" s="3">
        <v>7661</v>
      </c>
      <c r="C8" s="3">
        <f>-4316</f>
        <v>-4316</v>
      </c>
      <c r="D8" s="3">
        <f t="shared" si="1"/>
        <v>3345</v>
      </c>
      <c r="E8" s="3">
        <v>1476</v>
      </c>
      <c r="F8" s="3">
        <v>1128</v>
      </c>
      <c r="G8" s="3">
        <v>1066</v>
      </c>
      <c r="H8" s="3">
        <f>303265*1000</f>
        <v>303265000</v>
      </c>
      <c r="I8" s="3">
        <v>7140</v>
      </c>
      <c r="J8" s="3">
        <v>7748</v>
      </c>
      <c r="K8" s="3">
        <v>3137</v>
      </c>
      <c r="L8" s="3">
        <v>5857</v>
      </c>
      <c r="M8" s="3">
        <v>1295</v>
      </c>
      <c r="N8" s="3">
        <v>-624</v>
      </c>
      <c r="O8" s="3">
        <v>-183</v>
      </c>
      <c r="P8" s="3">
        <f t="shared" si="0"/>
        <v>488</v>
      </c>
      <c r="Q8">
        <v>0</v>
      </c>
      <c r="R8">
        <v>1</v>
      </c>
    </row>
    <row r="9" spans="1:18">
      <c r="A9" s="2" t="s">
        <v>25</v>
      </c>
      <c r="B9" s="3">
        <v>19508.081</v>
      </c>
      <c r="C9" s="3">
        <v>-10660.97</v>
      </c>
      <c r="D9" s="3">
        <f t="shared" si="1"/>
        <v>8847.111</v>
      </c>
      <c r="E9" s="3">
        <v>3630.68</v>
      </c>
      <c r="F9" s="3">
        <v>2190.824</v>
      </c>
      <c r="G9" s="3">
        <v>1998.877</v>
      </c>
      <c r="H9" s="3">
        <v>307847042</v>
      </c>
      <c r="I9" s="3">
        <v>16015.189</v>
      </c>
      <c r="J9" s="3">
        <v>16169.552</v>
      </c>
      <c r="K9" s="3">
        <v>3085.544</v>
      </c>
      <c r="L9" s="3">
        <v>7528.14</v>
      </c>
      <c r="M9" s="3">
        <v>3522.58</v>
      </c>
      <c r="N9" s="3">
        <v>-5394.149</v>
      </c>
      <c r="O9" s="3">
        <v>6407.096</v>
      </c>
      <c r="P9" s="3">
        <f t="shared" si="0"/>
        <v>4535.527</v>
      </c>
      <c r="Q9">
        <v>1</v>
      </c>
      <c r="R9">
        <v>0</v>
      </c>
    </row>
    <row r="10" spans="1:18">
      <c r="A10" s="2" t="s">
        <v>26</v>
      </c>
      <c r="B10" s="3">
        <v>10497</v>
      </c>
      <c r="C10" s="3">
        <f>-5409</f>
        <v>-5409</v>
      </c>
      <c r="D10" s="3">
        <f t="shared" si="1"/>
        <v>5088</v>
      </c>
      <c r="E10" s="3">
        <v>2265</v>
      </c>
      <c r="F10" s="3">
        <v>1944</v>
      </c>
      <c r="G10" s="3">
        <v>1454</v>
      </c>
      <c r="H10" s="3">
        <f>354111*1000</f>
        <v>354111000</v>
      </c>
      <c r="I10" s="3">
        <v>16041</v>
      </c>
      <c r="J10" s="3">
        <v>16620</v>
      </c>
      <c r="K10" s="3">
        <v>2543</v>
      </c>
      <c r="L10" s="3">
        <v>7933</v>
      </c>
      <c r="M10" s="3">
        <v>1949</v>
      </c>
      <c r="N10" s="3">
        <v>-1010</v>
      </c>
      <c r="O10" s="3">
        <v>-922</v>
      </c>
      <c r="P10" s="3">
        <f t="shared" si="0"/>
        <v>17</v>
      </c>
      <c r="Q10">
        <v>0</v>
      </c>
      <c r="R10">
        <v>1</v>
      </c>
    </row>
    <row r="11" spans="1:18">
      <c r="A11" s="2" t="s">
        <v>27</v>
      </c>
      <c r="B11" s="3">
        <v>20518</v>
      </c>
      <c r="C11" s="3">
        <f>-10778</f>
        <v>-10778</v>
      </c>
      <c r="D11" s="3">
        <f t="shared" si="1"/>
        <v>9740</v>
      </c>
      <c r="E11" s="3">
        <v>3878</v>
      </c>
      <c r="F11" s="3">
        <v>3896</v>
      </c>
      <c r="G11" s="3">
        <v>3418</v>
      </c>
      <c r="H11" s="3">
        <f>362106*1000</f>
        <v>362106000</v>
      </c>
      <c r="I11" s="3">
        <v>41822</v>
      </c>
      <c r="J11" s="3">
        <v>12940</v>
      </c>
      <c r="K11" s="3">
        <v>13053</v>
      </c>
      <c r="L11" s="3">
        <v>8935</v>
      </c>
      <c r="M11" s="3">
        <v>4411</v>
      </c>
      <c r="N11" s="3">
        <v>-18331</v>
      </c>
      <c r="O11" s="3">
        <v>8856</v>
      </c>
      <c r="P11" s="3">
        <f t="shared" si="0"/>
        <v>-5064</v>
      </c>
      <c r="Q11">
        <v>1</v>
      </c>
      <c r="R11">
        <v>0</v>
      </c>
    </row>
    <row r="12" spans="1:18">
      <c r="A12" s="2" t="s">
        <v>28</v>
      </c>
      <c r="B12" s="3">
        <v>12652</v>
      </c>
      <c r="C12" s="3">
        <f>-6703</f>
        <v>-6703</v>
      </c>
      <c r="D12" s="3">
        <f t="shared" si="1"/>
        <v>5949</v>
      </c>
      <c r="E12" s="3">
        <v>1898</v>
      </c>
      <c r="F12" s="3">
        <v>3884</v>
      </c>
      <c r="G12" s="3">
        <v>3560</v>
      </c>
      <c r="H12" s="3">
        <f>375517*1000</f>
        <v>375517000</v>
      </c>
      <c r="I12" s="3">
        <v>40194</v>
      </c>
      <c r="J12" s="3">
        <v>12601</v>
      </c>
      <c r="K12" s="3">
        <v>7904</v>
      </c>
      <c r="L12" s="3">
        <v>9057</v>
      </c>
      <c r="M12" s="3">
        <v>1449</v>
      </c>
      <c r="N12" s="3">
        <v>3313</v>
      </c>
      <c r="O12" s="3">
        <v>-6259</v>
      </c>
      <c r="P12" s="3">
        <f t="shared" si="0"/>
        <v>-1497</v>
      </c>
      <c r="Q12">
        <v>0</v>
      </c>
      <c r="R12">
        <v>1</v>
      </c>
    </row>
    <row r="13" spans="1:18">
      <c r="A13" s="2" t="s">
        <v>29</v>
      </c>
      <c r="B13" s="3">
        <v>26690</v>
      </c>
      <c r="C13" s="3">
        <f>-13531</f>
        <v>-13531</v>
      </c>
      <c r="D13" s="3">
        <f t="shared" si="1"/>
        <v>13159</v>
      </c>
      <c r="E13" s="3">
        <v>3783</v>
      </c>
      <c r="F13" s="3">
        <v>3339</v>
      </c>
      <c r="G13" s="3">
        <v>5761</v>
      </c>
      <c r="H13" s="3">
        <f>374108*1000</f>
        <v>374108000</v>
      </c>
      <c r="I13" s="3">
        <v>40873</v>
      </c>
      <c r="J13" s="3">
        <v>13001</v>
      </c>
      <c r="K13" s="3">
        <v>8991</v>
      </c>
      <c r="L13" s="3">
        <v>10088</v>
      </c>
      <c r="M13" s="3">
        <v>3913</v>
      </c>
      <c r="N13" s="3">
        <v>1217</v>
      </c>
      <c r="O13" s="3">
        <v>-6839</v>
      </c>
      <c r="P13" s="3">
        <f t="shared" si="0"/>
        <v>-1709</v>
      </c>
      <c r="Q13">
        <v>1</v>
      </c>
      <c r="R13">
        <v>0</v>
      </c>
    </row>
    <row r="14" spans="1:18">
      <c r="A14" s="2" t="s">
        <v>30</v>
      </c>
      <c r="B14" s="3">
        <v>13455</v>
      </c>
      <c r="C14" s="3">
        <f>-6893</f>
        <v>-6893</v>
      </c>
      <c r="D14" s="3">
        <f t="shared" si="1"/>
        <v>6562</v>
      </c>
      <c r="E14" s="3">
        <v>1926</v>
      </c>
      <c r="F14" s="3">
        <v>1883</v>
      </c>
      <c r="G14" s="3">
        <v>1579</v>
      </c>
      <c r="H14" s="3">
        <f>380852*1000</f>
        <v>380852000</v>
      </c>
      <c r="I14" s="3">
        <v>41198</v>
      </c>
      <c r="J14" s="3">
        <v>12684</v>
      </c>
      <c r="K14" s="3">
        <v>10364</v>
      </c>
      <c r="L14" s="3">
        <v>9780</v>
      </c>
      <c r="M14" s="3">
        <v>2254</v>
      </c>
      <c r="N14" s="3">
        <v>-3012</v>
      </c>
      <c r="O14" s="3">
        <v>992</v>
      </c>
      <c r="P14" s="3">
        <f t="shared" si="0"/>
        <v>234</v>
      </c>
      <c r="Q14">
        <v>0</v>
      </c>
      <c r="R14">
        <v>1</v>
      </c>
    </row>
    <row r="15" spans="1:18">
      <c r="A15" s="2" t="s">
        <v>31</v>
      </c>
      <c r="B15" s="3">
        <v>27998</v>
      </c>
      <c r="C15" s="3">
        <v>-14438</v>
      </c>
      <c r="D15" s="3">
        <f t="shared" si="1"/>
        <v>13560</v>
      </c>
      <c r="E15" s="3">
        <v>4041</v>
      </c>
      <c r="F15" s="3">
        <v>3952</v>
      </c>
      <c r="G15" s="3">
        <v>3257</v>
      </c>
      <c r="H15" s="3">
        <f>383820*1000</f>
        <v>383820000</v>
      </c>
      <c r="I15" s="3">
        <v>44342</v>
      </c>
      <c r="J15" s="3">
        <v>13126</v>
      </c>
      <c r="K15" s="3">
        <v>10892</v>
      </c>
      <c r="L15" s="3">
        <v>10942</v>
      </c>
      <c r="M15" s="3">
        <v>5622</v>
      </c>
      <c r="N15" s="3">
        <v>-5156</v>
      </c>
      <c r="O15" s="3">
        <v>235</v>
      </c>
      <c r="P15" s="3">
        <f t="shared" si="0"/>
        <v>701</v>
      </c>
      <c r="Q15">
        <v>1</v>
      </c>
      <c r="R15">
        <v>0</v>
      </c>
    </row>
    <row r="16" spans="1:18">
      <c r="A16" s="2" t="s">
        <v>32</v>
      </c>
      <c r="B16" s="3">
        <v>15833</v>
      </c>
      <c r="C16" s="3">
        <f>-8156</f>
        <v>-8156</v>
      </c>
      <c r="D16" s="3">
        <f t="shared" si="1"/>
        <v>7677</v>
      </c>
      <c r="E16" s="3">
        <v>2344</v>
      </c>
      <c r="F16" s="3">
        <v>3826</v>
      </c>
      <c r="G16" s="3">
        <v>3450</v>
      </c>
      <c r="H16" s="3">
        <f>387662*1000</f>
        <v>387662000</v>
      </c>
      <c r="I16" s="3">
        <v>48989</v>
      </c>
      <c r="J16" s="3">
        <v>15145</v>
      </c>
      <c r="K16" s="3">
        <v>14493</v>
      </c>
      <c r="L16" s="3">
        <v>12019</v>
      </c>
      <c r="M16" s="3">
        <v>2503</v>
      </c>
      <c r="N16" s="3">
        <v>-4172</v>
      </c>
      <c r="O16" s="3">
        <v>2232</v>
      </c>
      <c r="P16" s="3">
        <f t="shared" si="0"/>
        <v>563</v>
      </c>
      <c r="Q16">
        <v>0</v>
      </c>
      <c r="R16">
        <v>1</v>
      </c>
    </row>
    <row r="17" spans="1:18">
      <c r="A17" s="2" t="s">
        <v>33</v>
      </c>
      <c r="B17" s="3">
        <v>33085</v>
      </c>
      <c r="C17" s="3">
        <f>-17794</f>
        <v>-17794</v>
      </c>
      <c r="D17" s="3">
        <f t="shared" si="1"/>
        <v>15291</v>
      </c>
      <c r="E17" s="3">
        <v>4056</v>
      </c>
      <c r="F17" s="3">
        <v>5947</v>
      </c>
      <c r="G17" s="3">
        <v>5260</v>
      </c>
      <c r="H17" s="3">
        <f>389465*1000</f>
        <v>389465000</v>
      </c>
      <c r="I17" s="3">
        <v>53610</v>
      </c>
      <c r="J17" s="3">
        <v>16245</v>
      </c>
      <c r="K17" s="3">
        <v>14951</v>
      </c>
      <c r="L17" s="3">
        <v>11962</v>
      </c>
      <c r="M17" s="3">
        <v>5271</v>
      </c>
      <c r="N17" s="3">
        <v>-5778</v>
      </c>
      <c r="O17" s="3">
        <v>2513</v>
      </c>
      <c r="P17" s="3">
        <f t="shared" si="0"/>
        <v>2006</v>
      </c>
      <c r="Q17">
        <v>1</v>
      </c>
      <c r="R17">
        <v>0</v>
      </c>
    </row>
    <row r="18" spans="1:18">
      <c r="A18" s="2" t="s">
        <v>34</v>
      </c>
      <c r="B18" s="3">
        <v>18482</v>
      </c>
      <c r="C18" s="3">
        <f>-9623</f>
        <v>-9623</v>
      </c>
      <c r="D18" s="3">
        <f t="shared" si="1"/>
        <v>8859</v>
      </c>
      <c r="E18" s="3">
        <v>1953</v>
      </c>
      <c r="F18" s="3">
        <v>2264</v>
      </c>
      <c r="G18" s="3">
        <v>1869</v>
      </c>
      <c r="H18" s="3">
        <f>391206*1000</f>
        <v>391206000</v>
      </c>
      <c r="I18" s="3">
        <v>59842</v>
      </c>
      <c r="J18" s="3">
        <v>18638</v>
      </c>
      <c r="K18" s="3">
        <v>17467</v>
      </c>
      <c r="L18" s="3">
        <v>14488</v>
      </c>
      <c r="M18" s="3">
        <v>1912</v>
      </c>
      <c r="N18" s="3">
        <v>-501</v>
      </c>
      <c r="O18" s="3">
        <v>-2886</v>
      </c>
      <c r="P18" s="3">
        <f t="shared" si="0"/>
        <v>-1475</v>
      </c>
      <c r="Q18">
        <v>0</v>
      </c>
      <c r="R18">
        <v>1</v>
      </c>
    </row>
    <row r="19" spans="1:18">
      <c r="A19" s="2" t="s">
        <v>35</v>
      </c>
      <c r="B19" s="3">
        <v>39487</v>
      </c>
      <c r="C19" s="3">
        <f>-20863</f>
        <v>-20863</v>
      </c>
      <c r="D19" s="3">
        <f t="shared" si="1"/>
        <v>18624</v>
      </c>
      <c r="E19" s="3">
        <v>3202</v>
      </c>
      <c r="F19" s="3">
        <v>3481</v>
      </c>
      <c r="G19" s="3">
        <v>2894</v>
      </c>
      <c r="H19" s="3">
        <f>388567*1000</f>
        <v>388567000</v>
      </c>
      <c r="I19" s="3">
        <v>62037</v>
      </c>
      <c r="J19" s="3">
        <v>19241</v>
      </c>
      <c r="K19" s="3">
        <v>17845</v>
      </c>
      <c r="L19" s="3">
        <v>13857</v>
      </c>
      <c r="M19" s="3">
        <v>5394</v>
      </c>
      <c r="N19" s="3">
        <v>-2360</v>
      </c>
      <c r="O19" s="3">
        <v>-1745</v>
      </c>
      <c r="P19" s="3">
        <f t="shared" si="0"/>
        <v>1289</v>
      </c>
      <c r="Q19">
        <v>1</v>
      </c>
      <c r="R19">
        <v>0</v>
      </c>
    </row>
    <row r="20" spans="1:18">
      <c r="A20" s="2" t="s">
        <v>36</v>
      </c>
      <c r="B20" s="3">
        <v>22597</v>
      </c>
      <c r="C20" s="3">
        <f>-11808</f>
        <v>-11808</v>
      </c>
      <c r="D20" s="3">
        <f t="shared" si="1"/>
        <v>10789</v>
      </c>
      <c r="E20" s="3">
        <v>2492</v>
      </c>
      <c r="F20" s="3">
        <v>4658</v>
      </c>
      <c r="G20" s="3">
        <v>4150</v>
      </c>
      <c r="H20" s="3">
        <f>399131*1000</f>
        <v>399131000</v>
      </c>
      <c r="I20" s="3">
        <v>68172</v>
      </c>
      <c r="J20" s="3">
        <v>22546</v>
      </c>
      <c r="K20" s="3">
        <v>23312</v>
      </c>
      <c r="L20" s="3">
        <v>17287</v>
      </c>
      <c r="M20" s="3">
        <v>4092</v>
      </c>
      <c r="N20" s="3">
        <v>-2590</v>
      </c>
      <c r="O20" s="3">
        <v>-1488</v>
      </c>
      <c r="P20" s="3">
        <f t="shared" si="0"/>
        <v>14</v>
      </c>
      <c r="Q20">
        <v>0</v>
      </c>
      <c r="R20">
        <v>1</v>
      </c>
    </row>
    <row r="21" spans="1:18">
      <c r="A21" s="2" t="s">
        <v>37</v>
      </c>
      <c r="B21" s="3">
        <v>50249</v>
      </c>
      <c r="C21" s="3">
        <f>-27852</f>
        <v>-27852</v>
      </c>
      <c r="D21" s="3">
        <f t="shared" si="1"/>
        <v>22397</v>
      </c>
      <c r="E21" s="3">
        <v>3815</v>
      </c>
      <c r="F21" s="3">
        <v>6748</v>
      </c>
      <c r="G21" s="3">
        <v>6047</v>
      </c>
      <c r="H21" s="3">
        <f>394365*1000</f>
        <v>394365000</v>
      </c>
      <c r="I21" s="3">
        <v>76109</v>
      </c>
      <c r="J21" s="3">
        <v>27427</v>
      </c>
      <c r="K21" s="3">
        <v>29192</v>
      </c>
      <c r="L21" s="3">
        <v>18491</v>
      </c>
      <c r="M21" s="3">
        <v>9845</v>
      </c>
      <c r="N21" s="3">
        <v>-6213</v>
      </c>
      <c r="O21" s="3">
        <v>1280</v>
      </c>
      <c r="P21" s="3">
        <f t="shared" si="0"/>
        <v>4912</v>
      </c>
      <c r="Q21">
        <v>1</v>
      </c>
      <c r="R21">
        <v>0</v>
      </c>
    </row>
    <row r="22" spans="1:18">
      <c r="A22" s="2" t="s">
        <v>38</v>
      </c>
      <c r="B22" s="3">
        <v>28755</v>
      </c>
      <c r="C22" s="3">
        <f>-15856</f>
        <v>-15856</v>
      </c>
      <c r="D22" s="3">
        <f t="shared" si="1"/>
        <v>12899</v>
      </c>
      <c r="E22" s="3">
        <v>1621</v>
      </c>
      <c r="F22" s="3">
        <v>3423</v>
      </c>
      <c r="G22" s="3">
        <v>3112</v>
      </c>
      <c r="H22" s="3">
        <f>404898*1000</f>
        <v>404898000</v>
      </c>
      <c r="I22" s="3">
        <v>90304</v>
      </c>
      <c r="J22" s="3">
        <v>30965</v>
      </c>
      <c r="K22" s="3">
        <v>36223</v>
      </c>
      <c r="L22" s="3">
        <v>22558</v>
      </c>
      <c r="M22" s="3">
        <v>2598</v>
      </c>
      <c r="N22" s="3">
        <v>-4210</v>
      </c>
      <c r="O22" s="3">
        <v>1552</v>
      </c>
      <c r="P22" s="3">
        <f t="shared" si="0"/>
        <v>-60</v>
      </c>
      <c r="Q22">
        <v>0</v>
      </c>
      <c r="R22">
        <v>1</v>
      </c>
    </row>
    <row r="23" spans="1:18">
      <c r="A23" s="2" t="s">
        <v>39</v>
      </c>
      <c r="B23" s="3">
        <v>62728</v>
      </c>
      <c r="C23" s="3">
        <f>-35416</f>
        <v>-35416</v>
      </c>
      <c r="D23" s="3">
        <f t="shared" si="1"/>
        <v>27312</v>
      </c>
      <c r="E23" s="3">
        <v>2018</v>
      </c>
      <c r="F23" s="3">
        <v>6529</v>
      </c>
      <c r="G23" s="3">
        <v>5751</v>
      </c>
      <c r="H23" s="3">
        <f>405469*1000</f>
        <v>405469000</v>
      </c>
      <c r="I23" s="3">
        <v>100212</v>
      </c>
      <c r="J23" s="3">
        <v>28390</v>
      </c>
      <c r="K23" s="3">
        <v>36549</v>
      </c>
      <c r="L23" s="3">
        <v>23848</v>
      </c>
      <c r="M23" s="3">
        <v>3274</v>
      </c>
      <c r="N23" s="3">
        <v>-8036</v>
      </c>
      <c r="O23" s="3">
        <v>2114</v>
      </c>
      <c r="P23" s="3">
        <f t="shared" si="0"/>
        <v>-2648</v>
      </c>
      <c r="Q23">
        <v>1</v>
      </c>
      <c r="R23">
        <v>0</v>
      </c>
    </row>
    <row r="24" spans="1:18">
      <c r="A24" s="2" t="s">
        <v>40</v>
      </c>
      <c r="B24" s="3">
        <v>34363</v>
      </c>
      <c r="C24" s="3">
        <f>-18751</f>
        <v>-18751</v>
      </c>
      <c r="D24" s="3">
        <f t="shared" si="1"/>
        <v>15612</v>
      </c>
      <c r="E24" s="3">
        <v>2253</v>
      </c>
      <c r="F24" s="3">
        <v>9269</v>
      </c>
      <c r="G24" s="3">
        <v>8937</v>
      </c>
      <c r="H24" s="3">
        <f>409078*1000</f>
        <v>409078000</v>
      </c>
      <c r="I24" s="3">
        <v>116650</v>
      </c>
      <c r="J24" s="3">
        <v>36524</v>
      </c>
      <c r="K24" s="3">
        <v>42052</v>
      </c>
      <c r="L24" s="3">
        <v>31960</v>
      </c>
      <c r="M24" s="3">
        <v>521</v>
      </c>
      <c r="N24" s="3">
        <v>-4444</v>
      </c>
      <c r="O24" s="3">
        <v>1729</v>
      </c>
      <c r="P24" s="3">
        <f t="shared" si="0"/>
        <v>-2194</v>
      </c>
      <c r="Q24">
        <v>0</v>
      </c>
      <c r="R24">
        <v>1</v>
      </c>
    </row>
    <row r="25" spans="1:18">
      <c r="A25" s="2" t="s">
        <v>41</v>
      </c>
      <c r="B25" s="3">
        <v>73092</v>
      </c>
      <c r="C25" s="3">
        <f>-42759</f>
        <v>-42759</v>
      </c>
      <c r="D25" s="3">
        <f t="shared" si="1"/>
        <v>30333</v>
      </c>
      <c r="E25" s="3">
        <v>1595</v>
      </c>
      <c r="F25" s="3">
        <v>14024</v>
      </c>
      <c r="G25" s="3">
        <v>14023</v>
      </c>
      <c r="H25" s="3">
        <f>405171*1000</f>
        <v>405171000</v>
      </c>
      <c r="I25" s="3">
        <v>124276</v>
      </c>
      <c r="J25" s="3">
        <v>32767</v>
      </c>
      <c r="K25" s="3">
        <v>46767</v>
      </c>
      <c r="L25" s="3">
        <v>26468</v>
      </c>
      <c r="M25" s="3">
        <v>1671</v>
      </c>
      <c r="N25" s="3">
        <v>-6021</v>
      </c>
      <c r="O25" s="3">
        <v>6181</v>
      </c>
      <c r="P25" s="3">
        <f t="shared" si="0"/>
        <v>1831</v>
      </c>
      <c r="Q25">
        <v>1</v>
      </c>
      <c r="R25">
        <v>0</v>
      </c>
    </row>
    <row r="26" spans="1:18">
      <c r="A26" s="2" t="s">
        <v>42</v>
      </c>
      <c r="B26" s="3">
        <v>37761</v>
      </c>
      <c r="C26" s="3">
        <f>-20852</f>
        <v>-20852</v>
      </c>
      <c r="D26" s="3">
        <f t="shared" si="1"/>
        <v>16909</v>
      </c>
      <c r="E26" s="3">
        <v>641</v>
      </c>
      <c r="F26" s="3">
        <v>8306</v>
      </c>
      <c r="G26" s="3">
        <v>7985</v>
      </c>
      <c r="H26" s="3">
        <f>413746*1000</f>
        <v>413746000</v>
      </c>
      <c r="I26" s="3">
        <v>144895</v>
      </c>
      <c r="J26" s="3">
        <v>38631</v>
      </c>
      <c r="K26" s="3">
        <v>54314</v>
      </c>
      <c r="L26" s="3">
        <v>29776</v>
      </c>
      <c r="M26" s="3">
        <v>2101</v>
      </c>
      <c r="N26" s="3">
        <v>-593</v>
      </c>
      <c r="O26" s="3">
        <v>-3441</v>
      </c>
      <c r="P26" s="3">
        <f t="shared" si="0"/>
        <v>-1933</v>
      </c>
      <c r="Q26">
        <v>0</v>
      </c>
      <c r="R26">
        <v>1</v>
      </c>
    </row>
    <row r="27" spans="1:18">
      <c r="A27" s="2" t="s">
        <v>43</v>
      </c>
      <c r="B27" s="3">
        <f>5930*15.459</f>
        <v>91671.87</v>
      </c>
      <c r="C27" s="3">
        <f>(-3392)*15.459</f>
        <v>-52436.928</v>
      </c>
      <c r="D27" s="3">
        <f t="shared" si="1"/>
        <v>39234.942</v>
      </c>
      <c r="E27" s="3">
        <f>-177*15.459</f>
        <v>-2736.243</v>
      </c>
      <c r="F27" s="3">
        <f>1001*15.459</f>
        <v>15474.459</v>
      </c>
      <c r="G27" s="3">
        <f>994*15.459</f>
        <v>15366.246</v>
      </c>
      <c r="H27" s="3">
        <f>419208*1000</f>
        <v>419208000</v>
      </c>
      <c r="I27" s="3">
        <f>13486*15.459</f>
        <v>208480.074</v>
      </c>
      <c r="J27" s="3">
        <f>3237*15.459</f>
        <v>50040.783</v>
      </c>
      <c r="K27" s="3">
        <f>4023*15.459</f>
        <v>62191.557</v>
      </c>
      <c r="L27" s="3">
        <f>2046*15.459</f>
        <v>31629.114</v>
      </c>
      <c r="M27" s="3">
        <f>78*15.459</f>
        <v>1205.802</v>
      </c>
      <c r="N27" s="3">
        <f>-1384*15.459</f>
        <v>-21395.256</v>
      </c>
      <c r="O27" s="3">
        <f>1892*15.459</f>
        <v>29248.428</v>
      </c>
      <c r="P27" s="3">
        <f t="shared" si="0"/>
        <v>9058.974</v>
      </c>
      <c r="Q27">
        <v>1</v>
      </c>
      <c r="R27">
        <v>0</v>
      </c>
    </row>
    <row r="28" spans="1:18">
      <c r="A28" s="2" t="s">
        <v>44</v>
      </c>
      <c r="B28" s="3">
        <f>2958*13.7308</f>
        <v>40615.7064</v>
      </c>
      <c r="C28" s="3">
        <f>(-1627)*13.7308</f>
        <v>-22340.0116</v>
      </c>
      <c r="D28" s="3">
        <f t="shared" si="1"/>
        <v>18275.6948</v>
      </c>
      <c r="E28" s="3">
        <f>-30*13.7308</f>
        <v>-411.924</v>
      </c>
      <c r="F28" s="3">
        <f>541*13.7308</f>
        <v>7428.3628</v>
      </c>
      <c r="G28" s="3">
        <f>554*13.7308</f>
        <v>7606.8632</v>
      </c>
      <c r="H28" s="3">
        <f>432715*1000</f>
        <v>432715000</v>
      </c>
      <c r="I28" s="3">
        <f>15080*13.7308</f>
        <v>207060.464</v>
      </c>
      <c r="J28" s="3">
        <f>3144*13.7308</f>
        <v>43169.6352</v>
      </c>
      <c r="K28" s="3">
        <f>4486*13.7308</f>
        <v>61596.3688</v>
      </c>
      <c r="L28" s="3">
        <f>2287*13.7308</f>
        <v>31402.3396</v>
      </c>
      <c r="M28" s="3">
        <f>29*13.7308</f>
        <v>398.1932</v>
      </c>
      <c r="N28" s="3">
        <f>-42*13.7308</f>
        <v>-576.6936</v>
      </c>
      <c r="O28" s="3">
        <f>-167*13.7308</f>
        <v>-2293.0436</v>
      </c>
      <c r="P28" s="3">
        <f t="shared" si="0"/>
        <v>-2471.544</v>
      </c>
      <c r="Q28">
        <v>0</v>
      </c>
      <c r="R28">
        <v>1</v>
      </c>
    </row>
    <row r="29" spans="1:18">
      <c r="A29" s="2" t="s">
        <v>45</v>
      </c>
      <c r="B29" s="3">
        <f>6098*12.8635</f>
        <v>78441.623</v>
      </c>
      <c r="C29" s="3">
        <f>(-3574)*12.8635</f>
        <v>-45974.149</v>
      </c>
      <c r="D29" s="3">
        <f t="shared" si="1"/>
        <v>32467.474</v>
      </c>
      <c r="E29" s="3">
        <f>-360*12.8635</f>
        <v>-4630.86</v>
      </c>
      <c r="F29" s="3">
        <f>2808*12.8635</f>
        <v>36120.708</v>
      </c>
      <c r="G29" s="3">
        <f>2921*12.8635</f>
        <v>37574.2835</v>
      </c>
      <c r="H29" s="3">
        <f>432684*1000</f>
        <v>432684000</v>
      </c>
      <c r="I29" s="3">
        <f>16291*12.8635</f>
        <v>209559.2785</v>
      </c>
      <c r="J29" s="3">
        <f>5639*12.8635</f>
        <v>72537.2765</v>
      </c>
      <c r="K29" s="3">
        <f>3641*12.8635</f>
        <v>46836.0035</v>
      </c>
      <c r="L29" s="3">
        <f>2928*12.8635</f>
        <v>37664.328</v>
      </c>
      <c r="M29" s="3">
        <f>-40*12.8635</f>
        <v>-514.54</v>
      </c>
      <c r="N29" s="3">
        <f>2814*12.8635</f>
        <v>36197.889</v>
      </c>
      <c r="O29" s="3">
        <f>-411*12.8635</f>
        <v>-5286.8985</v>
      </c>
      <c r="P29" s="3">
        <f t="shared" si="0"/>
        <v>30396.4505</v>
      </c>
      <c r="Q29">
        <v>1</v>
      </c>
      <c r="R29">
        <v>0</v>
      </c>
    </row>
    <row r="30" spans="1:18">
      <c r="A30" s="2" t="s">
        <v>46</v>
      </c>
      <c r="B30" s="3">
        <f>3107*13.6985</f>
        <v>42561.2395</v>
      </c>
      <c r="C30" s="3">
        <f>(-1824)*13.6985</f>
        <v>-24986.064</v>
      </c>
      <c r="D30" s="3">
        <f t="shared" si="1"/>
        <v>17575.1755</v>
      </c>
      <c r="E30" s="3">
        <f>11*13.6985</f>
        <v>150.6835</v>
      </c>
      <c r="F30" s="3">
        <f>1076*13.6985</f>
        <v>14739.586</v>
      </c>
      <c r="G30" s="3">
        <f>1098*13.6985</f>
        <v>15040.953</v>
      </c>
      <c r="H30" s="3">
        <f>433191*1000</f>
        <v>433191000</v>
      </c>
      <c r="I30" s="3">
        <f>19111*13.6985</f>
        <v>261792.0335</v>
      </c>
      <c r="J30" s="3">
        <f>4960*13.6985</f>
        <v>67944.56</v>
      </c>
      <c r="K30" s="3">
        <f>4707*13.6985</f>
        <v>64478.8395</v>
      </c>
      <c r="L30" s="3">
        <f>2512*13.6985</f>
        <v>34410.632</v>
      </c>
      <c r="M30" s="3">
        <f>-70*13.6985</f>
        <v>-958.895</v>
      </c>
      <c r="N30" s="3">
        <f>-721*13.6985</f>
        <v>-9876.6185</v>
      </c>
      <c r="O30" s="3">
        <f>1*13.6985</f>
        <v>13.6985</v>
      </c>
      <c r="P30" s="3">
        <f t="shared" si="0"/>
        <v>-10821.815</v>
      </c>
      <c r="Q30">
        <v>0</v>
      </c>
      <c r="R30">
        <v>1</v>
      </c>
    </row>
    <row r="31" spans="1:1">
      <c r="A31" s="2"/>
    </row>
    <row r="32" spans="1:1">
      <c r="A32" s="2"/>
    </row>
    <row r="33" spans="1:1">
      <c r="A33" s="2"/>
    </row>
    <row r="34" spans="1:1">
      <c r="A34" s="2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2017-12-30T14:18:00Z</dcterms:created>
  <dcterms:modified xsi:type="dcterms:W3CDTF">2018-01-11T19:09:40Z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