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7080" windowHeight="55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<sst xmlns="http://schemas.openxmlformats.org/spreadsheetml/2006/main" count="51">
  <si>
    <t>Date</t>
  </si>
  <si>
    <t>Revenue</t>
  </si>
  <si>
    <t>Cost of sales</t>
  </si>
  <si>
    <t>Gross profit</t>
  </si>
  <si>
    <t>Operating profit</t>
  </si>
  <si>
    <t>Net profit</t>
  </si>
  <si>
    <t>Headline earnings</t>
  </si>
  <si>
    <t>Shares in issue</t>
  </si>
  <si>
    <t>Non-current assets</t>
  </si>
  <si>
    <t>Current assets</t>
  </si>
  <si>
    <t>Non-current liabilities</t>
  </si>
  <si>
    <t>Current liabilities</t>
  </si>
  <si>
    <t>Cash from operations</t>
  </si>
  <si>
    <t>Cash from investing</t>
  </si>
  <si>
    <t>Cash from financing</t>
  </si>
  <si>
    <t>Change in cash</t>
  </si>
  <si>
    <t>Full year</t>
  </si>
  <si>
    <t>Half year</t>
  </si>
  <si>
    <t>12-09-2000</t>
  </si>
  <si>
    <t>11-09-2001</t>
  </si>
  <si>
    <t>17-09-2002</t>
  </si>
  <si>
    <t>04-03-2003</t>
  </si>
  <si>
    <t>18-09-2003</t>
  </si>
  <si>
    <t>04-03-2004</t>
  </si>
  <si>
    <t>16-09-2004</t>
  </si>
  <si>
    <t>22-09-2005</t>
  </si>
  <si>
    <t>03-03-2006</t>
  </si>
  <si>
    <t>21-09-2006</t>
  </si>
  <si>
    <t>01-03-2007</t>
  </si>
  <si>
    <t>20-09-2007</t>
  </si>
  <si>
    <t>06-03-2008</t>
  </si>
  <si>
    <t>18-09-2008</t>
  </si>
  <si>
    <t>12-03-2009</t>
  </si>
  <si>
    <t>17-09-2009</t>
  </si>
  <si>
    <t>11-03-2010</t>
  </si>
  <si>
    <t>16-09-2010</t>
  </si>
  <si>
    <t>10-03-2011</t>
  </si>
  <si>
    <t>15-09-2011</t>
  </si>
  <si>
    <t>30-03-2012</t>
  </si>
  <si>
    <t>13-09-2012</t>
  </si>
  <si>
    <t>07-03-2013</t>
  </si>
  <si>
    <t>11-09-2013</t>
  </si>
  <si>
    <t>06-03-2014</t>
  </si>
  <si>
    <t>11-09-2014</t>
  </si>
  <si>
    <t>12-03-2015</t>
  </si>
  <si>
    <t>12-09-2015</t>
  </si>
  <si>
    <t>09-03-2016</t>
  </si>
  <si>
    <t>10-09-2016</t>
  </si>
  <si>
    <t>11-03-2017</t>
  </si>
  <si>
    <t>09-09-2017</t>
  </si>
  <si>
    <t>08-03-2018</t>
  </si>
</sst>
</file>

<file path=xl/styles.xml><?xml version="1.0" encoding="utf-8"?>
<styleSheet xmlns="http://schemas.openxmlformats.org/spreadsheetml/2006/main">
  <numFmts count="5">
    <numFmt numFmtId="176" formatCode="0_ 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1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 applyFill="1" applyAlignment="1"/>
    <xf numFmtId="49" fontId="0" fillId="0" borderId="0" xfId="0" applyNumberFormat="1"/>
    <xf numFmtId="176" fontId="0" fillId="0" borderId="0" xfId="0" applyNumberFormat="1"/>
    <xf numFmtId="176" fontId="0" fillId="0" borderId="0" xfId="0" applyNumberFormat="1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2"/>
  <sheetViews>
    <sheetView tabSelected="1" topLeftCell="A22" workbookViewId="0">
      <selection activeCell="Q35" sqref="Q35"/>
    </sheetView>
  </sheetViews>
  <sheetFormatPr defaultColWidth="9" defaultRowHeight="15"/>
  <cols>
    <col min="1" max="1" width="11.1428571428571" customWidth="1"/>
    <col min="2" max="2" width="9.42857142857143" customWidth="1"/>
    <col min="3" max="3" width="12.8571428571429" customWidth="1"/>
    <col min="4" max="4" width="12.1428571428571" customWidth="1"/>
    <col min="5" max="5" width="16.5714285714286" customWidth="1"/>
    <col min="6" max="6" width="10.2857142857143" customWidth="1"/>
    <col min="7" max="7" width="18.5714285714286" customWidth="1"/>
    <col min="8" max="8" width="15.1428571428571" customWidth="1"/>
    <col min="9" max="9" width="19.2857142857143" customWidth="1"/>
    <col min="10" max="10" width="14.7142857142857" customWidth="1"/>
    <col min="11" max="11" width="22.5714285714286" customWidth="1"/>
    <col min="12" max="12" width="17.8571428571429" customWidth="1"/>
    <col min="13" max="13" width="21.7142857142857" customWidth="1"/>
    <col min="14" max="15" width="20.1428571428571" customWidth="1"/>
    <col min="16" max="16" width="15.1428571428571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 t="s">
        <v>18</v>
      </c>
      <c r="B2" s="3">
        <v>54.6</v>
      </c>
      <c r="C2" s="3">
        <v>-15.4</v>
      </c>
      <c r="D2" s="3">
        <f t="shared" ref="D2:D8" si="0">B2+C2</f>
        <v>39.2</v>
      </c>
      <c r="E2" s="3">
        <v>34.6</v>
      </c>
      <c r="F2" s="3">
        <v>898.4</v>
      </c>
      <c r="G2" s="3">
        <v>887.5</v>
      </c>
      <c r="H2">
        <v>913698837</v>
      </c>
      <c r="I2" s="3">
        <f>7488.7-J2</f>
        <v>6609.3</v>
      </c>
      <c r="J2" s="3">
        <f>462+412.9+4.5</f>
        <v>879.4</v>
      </c>
      <c r="K2" s="3">
        <v>303.7</v>
      </c>
      <c r="L2" s="3">
        <v>1183.5</v>
      </c>
      <c r="M2" s="3">
        <v>399.2</v>
      </c>
      <c r="N2" s="3">
        <v>-236</v>
      </c>
      <c r="O2" s="3">
        <v>4.6</v>
      </c>
      <c r="P2" s="3">
        <f t="shared" ref="P2:P33" si="1">SUM(M2:O2)</f>
        <v>167.8</v>
      </c>
      <c r="Q2">
        <v>1</v>
      </c>
      <c r="R2">
        <v>0</v>
      </c>
    </row>
    <row r="3" spans="1:18">
      <c r="A3" s="2" t="s">
        <v>19</v>
      </c>
      <c r="B3" s="3">
        <v>51</v>
      </c>
      <c r="C3" s="3">
        <v>-16</v>
      </c>
      <c r="D3" s="3">
        <f t="shared" si="0"/>
        <v>35</v>
      </c>
      <c r="E3" s="3">
        <v>40</v>
      </c>
      <c r="F3" s="3">
        <v>1167.8</v>
      </c>
      <c r="G3" s="3">
        <v>983.5</v>
      </c>
      <c r="H3">
        <v>1049627257</v>
      </c>
      <c r="I3" s="3">
        <f>11744.1-J3</f>
        <v>10077.4</v>
      </c>
      <c r="J3" s="3">
        <f>1375.6+269.9+21.2</f>
        <v>1666.7</v>
      </c>
      <c r="K3" s="3">
        <f>2210.3-L3</f>
        <v>636.8</v>
      </c>
      <c r="L3" s="3">
        <f>1553.5+20</f>
        <v>1573.5</v>
      </c>
      <c r="M3" s="3">
        <v>1324.5</v>
      </c>
      <c r="N3" s="3">
        <v>-72.6</v>
      </c>
      <c r="O3" s="3">
        <v>-9</v>
      </c>
      <c r="P3" s="3">
        <f t="shared" si="1"/>
        <v>1242.9</v>
      </c>
      <c r="Q3">
        <v>1</v>
      </c>
      <c r="R3">
        <v>0</v>
      </c>
    </row>
    <row r="4" spans="1:18">
      <c r="A4" s="2" t="s">
        <v>20</v>
      </c>
      <c r="B4" s="3">
        <v>129.5</v>
      </c>
      <c r="C4" s="3">
        <v>-18.4</v>
      </c>
      <c r="D4" s="3">
        <f t="shared" si="0"/>
        <v>111.1</v>
      </c>
      <c r="E4" s="3">
        <v>188.5</v>
      </c>
      <c r="F4" s="3">
        <v>1351.4</v>
      </c>
      <c r="G4" s="3">
        <v>1481.4</v>
      </c>
      <c r="H4">
        <v>1187808570</v>
      </c>
      <c r="I4" s="3">
        <v>11105.9</v>
      </c>
      <c r="J4" s="3">
        <v>1784.5</v>
      </c>
      <c r="K4" s="3">
        <v>601.6</v>
      </c>
      <c r="L4" s="3">
        <v>277.6</v>
      </c>
      <c r="M4" s="3">
        <v>729.1</v>
      </c>
      <c r="N4" s="3">
        <v>-364.7</v>
      </c>
      <c r="O4" s="3">
        <v>-164.6</v>
      </c>
      <c r="P4" s="3">
        <f t="shared" si="1"/>
        <v>199.8</v>
      </c>
      <c r="Q4">
        <v>1</v>
      </c>
      <c r="R4">
        <v>0</v>
      </c>
    </row>
    <row r="5" spans="1:18">
      <c r="A5" s="2" t="s">
        <v>21</v>
      </c>
      <c r="B5" s="3">
        <v>107</v>
      </c>
      <c r="C5" s="3">
        <v>-10</v>
      </c>
      <c r="D5" s="3">
        <f t="shared" si="0"/>
        <v>97</v>
      </c>
      <c r="E5" s="3">
        <v>62</v>
      </c>
      <c r="F5" s="3">
        <v>683</v>
      </c>
      <c r="G5" s="3">
        <v>843</v>
      </c>
      <c r="H5">
        <f>1188*1000000</f>
        <v>1188000000</v>
      </c>
      <c r="I5" s="3">
        <f>13180-J5</f>
        <v>11222</v>
      </c>
      <c r="J5" s="3">
        <f>1693+265</f>
        <v>1958</v>
      </c>
      <c r="K5" s="3">
        <f>2496-L5</f>
        <v>2011</v>
      </c>
      <c r="L5" s="3">
        <v>485</v>
      </c>
      <c r="M5" s="3">
        <v>555</v>
      </c>
      <c r="N5" s="3">
        <v>462</v>
      </c>
      <c r="O5" s="3">
        <v>-84</v>
      </c>
      <c r="P5" s="3">
        <f t="shared" si="1"/>
        <v>933</v>
      </c>
      <c r="Q5">
        <v>0</v>
      </c>
      <c r="R5">
        <v>1</v>
      </c>
    </row>
    <row r="6" spans="1:18">
      <c r="A6" s="2" t="s">
        <v>22</v>
      </c>
      <c r="B6" s="3">
        <v>191.5</v>
      </c>
      <c r="C6" s="3">
        <v>-18</v>
      </c>
      <c r="D6" s="3">
        <f t="shared" si="0"/>
        <v>173.5</v>
      </c>
      <c r="E6" s="3">
        <v>168.5</v>
      </c>
      <c r="F6" s="3">
        <v>1361.1</v>
      </c>
      <c r="G6" s="3">
        <v>1429.6</v>
      </c>
      <c r="H6">
        <v>1187808570</v>
      </c>
      <c r="I6" s="3">
        <v>11402</v>
      </c>
      <c r="J6" s="3">
        <v>2867.6</v>
      </c>
      <c r="K6" s="3">
        <v>409</v>
      </c>
      <c r="L6" s="3">
        <v>693.6</v>
      </c>
      <c r="M6" s="3">
        <v>967.2</v>
      </c>
      <c r="N6" s="3">
        <v>-285.8</v>
      </c>
      <c r="O6" s="3">
        <v>-7.5</v>
      </c>
      <c r="P6" s="3">
        <f t="shared" si="1"/>
        <v>673.9</v>
      </c>
      <c r="Q6">
        <v>1</v>
      </c>
      <c r="R6">
        <v>0</v>
      </c>
    </row>
    <row r="7" spans="1:18">
      <c r="A7" s="2" t="s">
        <v>23</v>
      </c>
      <c r="B7" s="3">
        <v>174</v>
      </c>
      <c r="C7" s="3">
        <v>1</v>
      </c>
      <c r="D7" s="3">
        <f t="shared" si="0"/>
        <v>175</v>
      </c>
      <c r="E7" s="3">
        <v>131</v>
      </c>
      <c r="F7" s="3">
        <v>907</v>
      </c>
      <c r="G7" s="3">
        <v>996</v>
      </c>
      <c r="H7">
        <f>1188*1000000</f>
        <v>1188000000</v>
      </c>
      <c r="I7" s="3">
        <f>15074-J7</f>
        <v>13362</v>
      </c>
      <c r="J7" s="3">
        <f>1227+485</f>
        <v>1712</v>
      </c>
      <c r="K7" s="3">
        <f>2984-L7</f>
        <v>268</v>
      </c>
      <c r="L7" s="3">
        <f>435+2157+124</f>
        <v>2716</v>
      </c>
      <c r="M7" s="3">
        <v>387</v>
      </c>
      <c r="N7" s="3">
        <v>-162</v>
      </c>
      <c r="O7" s="3">
        <v>-1</v>
      </c>
      <c r="P7" s="3">
        <f t="shared" si="1"/>
        <v>224</v>
      </c>
      <c r="Q7">
        <v>0</v>
      </c>
      <c r="R7">
        <v>1</v>
      </c>
    </row>
    <row r="8" spans="1:18">
      <c r="A8" s="2" t="s">
        <v>24</v>
      </c>
      <c r="B8" s="3">
        <v>524.4</v>
      </c>
      <c r="C8" s="3">
        <v>-1.1</v>
      </c>
      <c r="D8" s="3">
        <f t="shared" si="0"/>
        <v>523.3</v>
      </c>
      <c r="E8" s="3">
        <v>415.7</v>
      </c>
      <c r="F8" s="3">
        <v>1720</v>
      </c>
      <c r="G8" s="3">
        <v>2058.8</v>
      </c>
      <c r="H8">
        <v>1187808570</v>
      </c>
      <c r="I8" s="3">
        <v>12366.6</v>
      </c>
      <c r="J8" s="3">
        <v>3973.9</v>
      </c>
      <c r="K8" s="3">
        <v>786.3</v>
      </c>
      <c r="L8" s="3">
        <v>920.1</v>
      </c>
      <c r="M8" s="3">
        <v>814.9</v>
      </c>
      <c r="N8" s="3">
        <v>48.5</v>
      </c>
      <c r="O8" s="3">
        <v>-128.1</v>
      </c>
      <c r="P8" s="3">
        <f t="shared" si="1"/>
        <v>735.3</v>
      </c>
      <c r="Q8">
        <v>1</v>
      </c>
      <c r="R8">
        <v>0</v>
      </c>
    </row>
    <row r="9" spans="1:18">
      <c r="A9" s="2" t="s">
        <v>25</v>
      </c>
      <c r="B9" s="3">
        <v>1116.8</v>
      </c>
      <c r="C9" s="3">
        <v>45</v>
      </c>
      <c r="D9" s="3">
        <v>1161.8</v>
      </c>
      <c r="E9" s="3">
        <v>956.9</v>
      </c>
      <c r="F9" s="3">
        <v>2669.3</v>
      </c>
      <c r="G9" s="3">
        <v>3516.3</v>
      </c>
      <c r="H9">
        <v>1187808570</v>
      </c>
      <c r="I9" s="3">
        <v>13012.5</v>
      </c>
      <c r="J9" s="3">
        <v>6484.3</v>
      </c>
      <c r="K9" s="3">
        <v>979.7</v>
      </c>
      <c r="L9" s="3">
        <v>945.3</v>
      </c>
      <c r="M9" s="3">
        <v>399.7</v>
      </c>
      <c r="N9" s="3">
        <v>1724.7</v>
      </c>
      <c r="O9" s="3">
        <v>-76.2</v>
      </c>
      <c r="P9" s="3">
        <f t="shared" si="1"/>
        <v>2048.2</v>
      </c>
      <c r="Q9">
        <v>1</v>
      </c>
      <c r="R9">
        <v>0</v>
      </c>
    </row>
    <row r="10" spans="1:18">
      <c r="A10" s="2" t="s">
        <v>26</v>
      </c>
      <c r="B10" s="3">
        <v>326</v>
      </c>
      <c r="C10" s="3">
        <v>41</v>
      </c>
      <c r="D10" s="3">
        <f>B10+C10</f>
        <v>367</v>
      </c>
      <c r="E10" s="3">
        <v>250</v>
      </c>
      <c r="F10" s="3">
        <v>1552</v>
      </c>
      <c r="G10" s="3">
        <v>1477</v>
      </c>
      <c r="H10">
        <f>1188*1000000</f>
        <v>1188000000</v>
      </c>
      <c r="I10" s="3">
        <f>18075-J10</f>
        <v>14801</v>
      </c>
      <c r="J10" s="3">
        <f>2466+760+48</f>
        <v>3274</v>
      </c>
      <c r="K10" s="3">
        <f>5008-L10</f>
        <v>244</v>
      </c>
      <c r="L10" s="3">
        <f>1082+2846+836</f>
        <v>4764</v>
      </c>
      <c r="M10" s="3">
        <v>998</v>
      </c>
      <c r="N10" s="3">
        <v>-938</v>
      </c>
      <c r="O10" s="3">
        <v>-10</v>
      </c>
      <c r="P10" s="3">
        <f t="shared" si="1"/>
        <v>50</v>
      </c>
      <c r="Q10">
        <v>0</v>
      </c>
      <c r="R10">
        <v>1</v>
      </c>
    </row>
    <row r="11" spans="1:18">
      <c r="A11" s="2" t="s">
        <v>27</v>
      </c>
      <c r="B11" s="3">
        <v>5385.6</v>
      </c>
      <c r="C11" s="3">
        <v>-2483.1</v>
      </c>
      <c r="D11" s="3">
        <f>B11+C11</f>
        <v>2902.5</v>
      </c>
      <c r="E11" s="3">
        <v>1033</v>
      </c>
      <c r="F11" s="3">
        <v>3293.3</v>
      </c>
      <c r="G11" s="3">
        <v>3144.6</v>
      </c>
      <c r="H11">
        <v>1174071691</v>
      </c>
      <c r="I11" s="3">
        <f>19177.1-J11</f>
        <v>13239.4</v>
      </c>
      <c r="J11" s="3">
        <f>197.1+2061.5+64.4+720.7+531+0.3+24+103.1+2235.6</f>
        <v>5937.7</v>
      </c>
      <c r="K11" s="3">
        <f>4661.4-L11</f>
        <v>4198.9</v>
      </c>
      <c r="L11" s="3">
        <f>15+126.5+15.3+199.6+21.1+36.3+39.9+8.8</f>
        <v>462.5</v>
      </c>
      <c r="M11" s="3">
        <v>351.6</v>
      </c>
      <c r="N11" s="3">
        <v>-1051.2</v>
      </c>
      <c r="O11" s="3">
        <v>-1353.2</v>
      </c>
      <c r="P11" s="3">
        <f t="shared" si="1"/>
        <v>-2052.8</v>
      </c>
      <c r="Q11">
        <v>1</v>
      </c>
      <c r="R11">
        <v>0</v>
      </c>
    </row>
    <row r="12" spans="1:18">
      <c r="A12" s="2" t="s">
        <v>28</v>
      </c>
      <c r="B12" s="3">
        <v>4647</v>
      </c>
      <c r="C12" s="3">
        <f>-(B12-D12)</f>
        <v>-2473</v>
      </c>
      <c r="D12" s="3">
        <v>2174</v>
      </c>
      <c r="E12" s="3">
        <v>2091</v>
      </c>
      <c r="F12" s="3">
        <v>1937</v>
      </c>
      <c r="G12" s="3">
        <v>1856</v>
      </c>
      <c r="H12">
        <f>1177*1000000</f>
        <v>1177000000</v>
      </c>
      <c r="I12" s="3">
        <f>20598-J12</f>
        <v>13813</v>
      </c>
      <c r="J12" s="3">
        <f>3832+923+28+2002</f>
        <v>6785</v>
      </c>
      <c r="K12" s="3">
        <f>5528-L12</f>
        <v>1484</v>
      </c>
      <c r="L12" s="3">
        <f>3706+338</f>
        <v>4044</v>
      </c>
      <c r="M12" s="3">
        <v>854</v>
      </c>
      <c r="N12" s="3">
        <v>-536</v>
      </c>
      <c r="O12" s="3">
        <v>196</v>
      </c>
      <c r="P12" s="3">
        <f t="shared" si="1"/>
        <v>514</v>
      </c>
      <c r="Q12">
        <v>0</v>
      </c>
      <c r="R12">
        <v>1</v>
      </c>
    </row>
    <row r="13" spans="1:18">
      <c r="A13" s="2" t="s">
        <v>29</v>
      </c>
      <c r="B13" s="3">
        <v>6601.1</v>
      </c>
      <c r="C13" s="3">
        <v>-2968.7</v>
      </c>
      <c r="D13" s="3">
        <f t="shared" ref="D13:D20" si="2">B13+C13</f>
        <v>3632.4</v>
      </c>
      <c r="E13" s="3">
        <v>1429.7</v>
      </c>
      <c r="F13" s="3">
        <v>4377.7</v>
      </c>
      <c r="G13" s="3">
        <v>4108.9</v>
      </c>
      <c r="H13">
        <v>1174851804</v>
      </c>
      <c r="I13" s="3">
        <f>23403.7-J13</f>
        <v>15304.1</v>
      </c>
      <c r="J13" s="3">
        <f>793.7+3667.1+67.2+863+521.9+7+55.7+145.8+1978.2</f>
        <v>8099.6</v>
      </c>
      <c r="K13" s="3">
        <f>5808.9-L13</f>
        <v>3632.75</v>
      </c>
      <c r="L13" s="3">
        <f>15+126.3+736.7+15.5+793.1+9+22.7+262.4+72.7+110.5+12.25</f>
        <v>2176.15</v>
      </c>
      <c r="M13" s="3">
        <v>2218</v>
      </c>
      <c r="N13" s="3">
        <v>-902.9</v>
      </c>
      <c r="O13" s="3">
        <v>-1572.1</v>
      </c>
      <c r="P13" s="3">
        <f t="shared" si="1"/>
        <v>-257</v>
      </c>
      <c r="Q13">
        <v>1</v>
      </c>
      <c r="R13">
        <v>0</v>
      </c>
    </row>
    <row r="14" spans="1:18">
      <c r="A14" s="2" t="s">
        <v>30</v>
      </c>
      <c r="B14" s="3">
        <v>4940</v>
      </c>
      <c r="C14" s="3">
        <v>-1138</v>
      </c>
      <c r="D14" s="3">
        <f t="shared" si="2"/>
        <v>3802</v>
      </c>
      <c r="E14" s="3">
        <v>2714</v>
      </c>
      <c r="F14" s="3">
        <v>2409</v>
      </c>
      <c r="G14" s="3">
        <v>2238</v>
      </c>
      <c r="H14">
        <f>1183*1000000</f>
        <v>1183000000</v>
      </c>
      <c r="I14" s="3">
        <f>26372-J14</f>
        <v>17982</v>
      </c>
      <c r="J14" s="3">
        <f>5890+390+66+2044</f>
        <v>8390</v>
      </c>
      <c r="K14" s="3">
        <f>6778-L14</f>
        <v>6088</v>
      </c>
      <c r="L14" s="3">
        <v>690</v>
      </c>
      <c r="M14" s="3">
        <v>1371</v>
      </c>
      <c r="N14" s="3">
        <v>-930</v>
      </c>
      <c r="O14" s="3">
        <v>574</v>
      </c>
      <c r="P14" s="3">
        <f t="shared" si="1"/>
        <v>1015</v>
      </c>
      <c r="Q14">
        <v>0</v>
      </c>
      <c r="R14">
        <v>1</v>
      </c>
    </row>
    <row r="15" spans="1:18">
      <c r="A15" s="2" t="s">
        <v>31</v>
      </c>
      <c r="B15" s="3">
        <v>5897.2</v>
      </c>
      <c r="C15" s="3">
        <v>-2978</v>
      </c>
      <c r="D15" s="3">
        <f t="shared" si="2"/>
        <v>2919.2</v>
      </c>
      <c r="E15" s="3">
        <v>1006.7</v>
      </c>
      <c r="F15" s="3">
        <v>4350.1</v>
      </c>
      <c r="G15" s="3">
        <v>4121.5</v>
      </c>
      <c r="H15">
        <v>1191511951</v>
      </c>
      <c r="I15" s="3">
        <f>28292.5-J15</f>
        <v>19712.8</v>
      </c>
      <c r="J15" s="3">
        <f>411.8+4118.3+390+72.5+960.1+263.7+28.6+81.5+195.6+2057.6</f>
        <v>8579.7</v>
      </c>
      <c r="K15" s="3">
        <f>6942.1-L15</f>
        <v>3844.8</v>
      </c>
      <c r="L15" s="3">
        <f>15+1323.5+527.5+9.1+781+13.9+21.3+308.7+65.2+26.8+5.3</f>
        <v>3097.3</v>
      </c>
      <c r="M15" s="3">
        <v>2399.4</v>
      </c>
      <c r="N15" s="3">
        <v>-1153.9</v>
      </c>
      <c r="O15" s="3">
        <v>-1207.7</v>
      </c>
      <c r="P15" s="3">
        <f t="shared" si="1"/>
        <v>37.8</v>
      </c>
      <c r="Q15">
        <v>1</v>
      </c>
      <c r="R15">
        <v>0</v>
      </c>
    </row>
    <row r="16" spans="1:18">
      <c r="A16" s="2" t="s">
        <v>32</v>
      </c>
      <c r="B16" s="3">
        <v>3515</v>
      </c>
      <c r="C16" s="3">
        <v>-2977</v>
      </c>
      <c r="D16" s="3">
        <f t="shared" si="2"/>
        <v>538</v>
      </c>
      <c r="E16" s="3">
        <v>1448</v>
      </c>
      <c r="F16" s="3">
        <v>1339</v>
      </c>
      <c r="G16" s="3">
        <v>1378</v>
      </c>
      <c r="H16">
        <f>1199*1000000</f>
        <v>1199000000</v>
      </c>
      <c r="I16" s="3">
        <f>28095-J16</f>
        <v>20344</v>
      </c>
      <c r="J16" s="3">
        <f>5170+574+105+1902</f>
        <v>7751</v>
      </c>
      <c r="K16" s="3">
        <f>6680-L16</f>
        <v>3583</v>
      </c>
      <c r="L16" s="3">
        <f>2710+387</f>
        <v>3097</v>
      </c>
      <c r="M16" s="3">
        <v>1018</v>
      </c>
      <c r="N16" s="3">
        <v>-169</v>
      </c>
      <c r="O16" s="3">
        <v>-109</v>
      </c>
      <c r="P16" s="3">
        <f t="shared" si="1"/>
        <v>740</v>
      </c>
      <c r="Q16">
        <v>0</v>
      </c>
      <c r="R16">
        <v>1</v>
      </c>
    </row>
    <row r="17" spans="1:18">
      <c r="A17" s="2" t="s">
        <v>33</v>
      </c>
      <c r="B17" s="3">
        <v>4728.9</v>
      </c>
      <c r="C17" s="3">
        <v>-2011.4</v>
      </c>
      <c r="D17" s="3">
        <f t="shared" si="2"/>
        <v>2717.5</v>
      </c>
      <c r="E17" s="3">
        <v>720.6</v>
      </c>
      <c r="F17" s="3">
        <v>2631.6</v>
      </c>
      <c r="G17" s="3">
        <v>2484.9</v>
      </c>
      <c r="H17">
        <v>1200103568</v>
      </c>
      <c r="I17" s="3">
        <f>28471.2-J17</f>
        <v>20264.8</v>
      </c>
      <c r="J17" s="3">
        <f>541.4+3493.8+360.4+76.4+1092.6+268.4+11.2+37.6+111.8+226.5+1986.3</f>
        <v>8206.4</v>
      </c>
      <c r="K17" s="3">
        <f>6730.3-L17</f>
        <v>4157.4</v>
      </c>
      <c r="L17" s="3">
        <f>15+1352.3+7.2+810+8.6+19.7+308.5+20.6+24.4+6.6</f>
        <v>2572.9</v>
      </c>
      <c r="M17" s="3">
        <v>2459.6</v>
      </c>
      <c r="N17" s="3">
        <v>-363.8</v>
      </c>
      <c r="O17" s="3">
        <v>-2139.6</v>
      </c>
      <c r="P17" s="3">
        <f t="shared" si="1"/>
        <v>-43.8000000000002</v>
      </c>
      <c r="Q17">
        <v>1</v>
      </c>
      <c r="R17">
        <v>0</v>
      </c>
    </row>
    <row r="18" spans="1:18">
      <c r="A18" s="2" t="s">
        <v>34</v>
      </c>
      <c r="B18" s="3">
        <v>4525</v>
      </c>
      <c r="C18" s="3">
        <v>-1435</v>
      </c>
      <c r="D18" s="3">
        <f t="shared" si="2"/>
        <v>3090</v>
      </c>
      <c r="E18" s="3">
        <v>2074</v>
      </c>
      <c r="F18" s="3">
        <v>1803</v>
      </c>
      <c r="G18" s="3">
        <v>1690</v>
      </c>
      <c r="H18">
        <f>1199*1000000</f>
        <v>1199000000</v>
      </c>
      <c r="I18" s="3">
        <f>30531-J18</f>
        <v>22000</v>
      </c>
      <c r="J18" s="3">
        <f>4858+765+152+2756</f>
        <v>8531</v>
      </c>
      <c r="K18" s="3">
        <f>7449-L18</f>
        <v>4090</v>
      </c>
      <c r="L18" s="3">
        <f>2802+557</f>
        <v>3359</v>
      </c>
      <c r="M18" s="3">
        <v>1404</v>
      </c>
      <c r="N18" s="3">
        <v>-15</v>
      </c>
      <c r="O18" s="3">
        <v>-77</v>
      </c>
      <c r="P18" s="3">
        <f t="shared" si="1"/>
        <v>1312</v>
      </c>
      <c r="Q18">
        <v>0</v>
      </c>
      <c r="R18">
        <v>1</v>
      </c>
    </row>
    <row r="19" spans="1:18">
      <c r="A19" s="2" t="s">
        <v>35</v>
      </c>
      <c r="B19" s="3">
        <v>5777.1</v>
      </c>
      <c r="C19" s="3">
        <v>-2812.5</v>
      </c>
      <c r="D19" s="3">
        <f t="shared" si="2"/>
        <v>2964.6</v>
      </c>
      <c r="E19" s="3">
        <v>1070.6</v>
      </c>
      <c r="F19" s="3">
        <v>3844.9</v>
      </c>
      <c r="G19" s="3">
        <v>3606.5</v>
      </c>
      <c r="H19">
        <v>1199086293</v>
      </c>
      <c r="I19" s="3">
        <f>31406.8-J19</f>
        <v>21883.2</v>
      </c>
      <c r="J19" s="3">
        <f>614.3+2662.3+484.5+773+1449.9+333.3+37.5+151.6+264+4+2749.2</f>
        <v>9523.6</v>
      </c>
      <c r="K19" s="3">
        <f>7523.6-L19</f>
        <v>4534.3</v>
      </c>
      <c r="L19" s="3">
        <f>15+1365.8+93.1+12.1+942.2+1.7+14.4+21.9+468.5+23.1+23.3+8.2</f>
        <v>2989.3</v>
      </c>
      <c r="M19" s="3">
        <v>2476.1</v>
      </c>
      <c r="N19" s="3">
        <v>-57.6</v>
      </c>
      <c r="O19" s="3">
        <v>-1668.4</v>
      </c>
      <c r="P19" s="3">
        <f t="shared" si="1"/>
        <v>750.1</v>
      </c>
      <c r="Q19">
        <v>1</v>
      </c>
      <c r="R19">
        <v>0</v>
      </c>
    </row>
    <row r="20" spans="1:18">
      <c r="A20" s="2" t="s">
        <v>36</v>
      </c>
      <c r="B20" s="3">
        <v>1490</v>
      </c>
      <c r="C20" s="3">
        <f>-15-47-1</f>
        <v>-63</v>
      </c>
      <c r="D20" s="3">
        <f t="shared" si="2"/>
        <v>1427</v>
      </c>
      <c r="E20" s="3">
        <v>1427</v>
      </c>
      <c r="F20" s="3">
        <v>3708</v>
      </c>
      <c r="G20" s="3">
        <v>3551</v>
      </c>
      <c r="H20">
        <f>1201*1000000</f>
        <v>1201000000</v>
      </c>
      <c r="I20" s="3">
        <f>36102-J20</f>
        <v>35961</v>
      </c>
      <c r="J20" s="3">
        <f>28+113</f>
        <v>141</v>
      </c>
      <c r="K20" s="3">
        <f>8384-L20</f>
        <v>7035</v>
      </c>
      <c r="L20" s="3">
        <v>1349</v>
      </c>
      <c r="M20" s="3">
        <v>683</v>
      </c>
      <c r="N20" s="3">
        <v>-130</v>
      </c>
      <c r="O20" s="3">
        <v>20</v>
      </c>
      <c r="P20" s="3">
        <f t="shared" si="1"/>
        <v>573</v>
      </c>
      <c r="Q20">
        <v>0</v>
      </c>
      <c r="R20">
        <v>1</v>
      </c>
    </row>
    <row r="21" spans="1:18">
      <c r="A21" s="2" t="s">
        <v>37</v>
      </c>
      <c r="B21" s="3">
        <v>4267.7</v>
      </c>
      <c r="C21" s="3">
        <f>-(B21-D21)</f>
        <v>-50</v>
      </c>
      <c r="D21" s="3">
        <v>4217.7</v>
      </c>
      <c r="E21" s="3">
        <v>4120.1</v>
      </c>
      <c r="F21" s="3">
        <v>11679.5</v>
      </c>
      <c r="G21" s="3">
        <v>11467.7</v>
      </c>
      <c r="H21">
        <v>1272391942</v>
      </c>
      <c r="I21" s="3">
        <f>25121.4-J21</f>
        <v>25062.8</v>
      </c>
      <c r="J21" s="3">
        <f>18.5+15.3+9.7+15.1</f>
        <v>58.6</v>
      </c>
      <c r="K21" s="3">
        <f>1420.4-L21</f>
        <v>1359.8</v>
      </c>
      <c r="L21" s="3">
        <f>7+5+48.6</f>
        <v>60.6</v>
      </c>
      <c r="M21" s="3">
        <v>1457.8</v>
      </c>
      <c r="N21" s="3">
        <v>-47.3</v>
      </c>
      <c r="O21" s="3">
        <v>1047.3</v>
      </c>
      <c r="P21" s="3">
        <f t="shared" si="1"/>
        <v>2457.8</v>
      </c>
      <c r="Q21">
        <v>1</v>
      </c>
      <c r="R21">
        <v>0</v>
      </c>
    </row>
    <row r="22" spans="1:18">
      <c r="A22" s="2" t="s">
        <v>38</v>
      </c>
      <c r="B22" s="3">
        <v>2136</v>
      </c>
      <c r="C22" s="3">
        <f>-(B22-D22)</f>
        <v>-16</v>
      </c>
      <c r="D22" s="3">
        <v>2120</v>
      </c>
      <c r="E22" s="3">
        <v>2069</v>
      </c>
      <c r="F22" s="3">
        <v>2059</v>
      </c>
      <c r="G22" s="4">
        <v>2262</v>
      </c>
      <c r="H22">
        <f>1407*1000000</f>
        <v>1407000000</v>
      </c>
      <c r="I22" s="3">
        <v>25476</v>
      </c>
      <c r="J22" s="3">
        <f>18+27+4+15</f>
        <v>64</v>
      </c>
      <c r="K22" s="3">
        <f>1438-L22</f>
        <v>1379</v>
      </c>
      <c r="L22" s="3">
        <v>59</v>
      </c>
      <c r="M22" s="3">
        <v>2204</v>
      </c>
      <c r="N22" s="3">
        <v>0</v>
      </c>
      <c r="O22" s="3">
        <v>-42</v>
      </c>
      <c r="P22" s="3">
        <f t="shared" si="1"/>
        <v>2162</v>
      </c>
      <c r="Q22">
        <v>0</v>
      </c>
      <c r="R22">
        <v>1</v>
      </c>
    </row>
    <row r="23" spans="1:18">
      <c r="A23" s="2" t="s">
        <v>39</v>
      </c>
      <c r="B23" s="3">
        <v>4642</v>
      </c>
      <c r="C23" s="3">
        <v>-37</v>
      </c>
      <c r="D23" s="3">
        <f t="shared" ref="D23:D33" si="3">B23+C23</f>
        <v>4605</v>
      </c>
      <c r="E23" s="3">
        <v>4503</v>
      </c>
      <c r="F23" s="3">
        <v>4490</v>
      </c>
      <c r="G23" s="4">
        <v>4668</v>
      </c>
      <c r="H23">
        <v>1409147102</v>
      </c>
      <c r="I23" s="3">
        <f>27201-J23</f>
        <v>27150</v>
      </c>
      <c r="J23" s="3">
        <f>17+32+2</f>
        <v>51</v>
      </c>
      <c r="K23" s="3">
        <v>1379</v>
      </c>
      <c r="L23" s="3">
        <f>7+63</f>
        <v>70</v>
      </c>
      <c r="M23" s="3">
        <v>3059</v>
      </c>
      <c r="N23" s="3">
        <v>0</v>
      </c>
      <c r="O23" s="3">
        <v>-3057</v>
      </c>
      <c r="P23" s="3">
        <f t="shared" si="1"/>
        <v>2</v>
      </c>
      <c r="Q23">
        <v>1</v>
      </c>
      <c r="R23">
        <v>0</v>
      </c>
    </row>
    <row r="24" spans="1:18">
      <c r="A24" s="2" t="s">
        <v>40</v>
      </c>
      <c r="B24" s="3">
        <v>2473</v>
      </c>
      <c r="C24" s="3">
        <v>-27</v>
      </c>
      <c r="D24" s="3">
        <f t="shared" si="3"/>
        <v>2446</v>
      </c>
      <c r="E24" s="3">
        <v>2390</v>
      </c>
      <c r="F24" s="3">
        <v>2390</v>
      </c>
      <c r="G24" s="4">
        <v>2629</v>
      </c>
      <c r="H24">
        <f>1410*1000000</f>
        <v>1410000000</v>
      </c>
      <c r="I24" s="3">
        <f>28525-J24</f>
        <v>28469</v>
      </c>
      <c r="J24" s="3">
        <f>11+37+6+2</f>
        <v>56</v>
      </c>
      <c r="K24" s="3">
        <f>1377-L24</f>
        <v>1334</v>
      </c>
      <c r="L24" s="3">
        <f>2+41</f>
        <v>43</v>
      </c>
      <c r="M24" s="3">
        <v>1005</v>
      </c>
      <c r="N24" s="3">
        <v>0</v>
      </c>
      <c r="O24" s="3">
        <v>26</v>
      </c>
      <c r="P24" s="3">
        <f t="shared" si="1"/>
        <v>1031</v>
      </c>
      <c r="Q24">
        <v>0</v>
      </c>
      <c r="R24">
        <v>1</v>
      </c>
    </row>
    <row r="25" spans="1:18">
      <c r="A25" s="2" t="s">
        <v>41</v>
      </c>
      <c r="B25" s="3">
        <v>5111</v>
      </c>
      <c r="C25" s="3">
        <v>-41</v>
      </c>
      <c r="D25" s="3">
        <f t="shared" si="3"/>
        <v>5070</v>
      </c>
      <c r="E25" s="3">
        <v>4970</v>
      </c>
      <c r="F25" s="3">
        <v>4969</v>
      </c>
      <c r="G25" s="4">
        <v>5605</v>
      </c>
      <c r="H25">
        <f>1412*1000000</f>
        <v>1412000000</v>
      </c>
      <c r="I25" s="3">
        <f>30619-J25</f>
        <v>30491</v>
      </c>
      <c r="J25" s="3">
        <f>12+53+52+11</f>
        <v>128</v>
      </c>
      <c r="K25" s="3">
        <f>1301-L25</f>
        <v>1234</v>
      </c>
      <c r="L25" s="3">
        <f>9+2+2+54</f>
        <v>67</v>
      </c>
      <c r="M25" s="3">
        <v>2120</v>
      </c>
      <c r="N25" s="3">
        <v>-16</v>
      </c>
      <c r="O25" s="3">
        <v>-142</v>
      </c>
      <c r="P25" s="3">
        <f t="shared" si="1"/>
        <v>1962</v>
      </c>
      <c r="Q25">
        <v>1</v>
      </c>
      <c r="R25">
        <v>0</v>
      </c>
    </row>
    <row r="26" spans="1:18">
      <c r="A26" s="2" t="s">
        <v>42</v>
      </c>
      <c r="B26" s="3">
        <v>3092</v>
      </c>
      <c r="C26" s="3">
        <v>-9</v>
      </c>
      <c r="D26" s="3">
        <f t="shared" si="3"/>
        <v>3083</v>
      </c>
      <c r="E26" s="3">
        <v>3040</v>
      </c>
      <c r="F26" s="3">
        <v>3039</v>
      </c>
      <c r="G26" s="4">
        <v>3173</v>
      </c>
      <c r="H26">
        <f>1412*1000000</f>
        <v>1412000000</v>
      </c>
      <c r="I26" s="3">
        <f>31438-J26</f>
        <v>31328</v>
      </c>
      <c r="J26" s="3">
        <f>29+6+57+17+1</f>
        <v>110</v>
      </c>
      <c r="K26" s="3">
        <f>1250-L26</f>
        <v>1180</v>
      </c>
      <c r="L26" s="3">
        <f>11+6+8+45</f>
        <v>70</v>
      </c>
      <c r="M26" s="3">
        <v>1588</v>
      </c>
      <c r="N26" s="3">
        <v>0</v>
      </c>
      <c r="O26" s="3">
        <v>-96</v>
      </c>
      <c r="P26" s="3">
        <f t="shared" si="1"/>
        <v>1492</v>
      </c>
      <c r="Q26">
        <v>0</v>
      </c>
      <c r="R26">
        <v>1</v>
      </c>
    </row>
    <row r="27" spans="1:18">
      <c r="A27" s="2" t="s">
        <v>43</v>
      </c>
      <c r="B27" s="3">
        <v>6463</v>
      </c>
      <c r="C27" s="3">
        <v>-40</v>
      </c>
      <c r="D27" s="3">
        <f t="shared" si="3"/>
        <v>6423</v>
      </c>
      <c r="E27" s="3">
        <v>6338</v>
      </c>
      <c r="F27" s="3">
        <v>6337</v>
      </c>
      <c r="G27" s="3">
        <v>6337</v>
      </c>
      <c r="H27">
        <f t="shared" ref="H27:H32" si="4">1411*1000000</f>
        <v>1411000000</v>
      </c>
      <c r="I27" s="3">
        <f>33566-J27</f>
        <v>33348</v>
      </c>
      <c r="J27" s="3">
        <f>14+6+178+20</f>
        <v>218</v>
      </c>
      <c r="K27" s="3">
        <f>1346-L27</f>
        <v>1281</v>
      </c>
      <c r="L27" s="3">
        <f>17+2+46</f>
        <v>65</v>
      </c>
      <c r="M27" s="3">
        <v>3007</v>
      </c>
      <c r="N27" s="3">
        <v>0</v>
      </c>
      <c r="O27" s="3">
        <v>-118</v>
      </c>
      <c r="P27" s="3">
        <f t="shared" si="1"/>
        <v>2889</v>
      </c>
      <c r="Q27">
        <v>1</v>
      </c>
      <c r="R27">
        <v>0</v>
      </c>
    </row>
    <row r="28" spans="1:18">
      <c r="A28" s="2" t="s">
        <v>44</v>
      </c>
      <c r="B28" s="3">
        <v>3507</v>
      </c>
      <c r="C28" s="3">
        <v>-32</v>
      </c>
      <c r="D28" s="3">
        <f t="shared" si="3"/>
        <v>3475</v>
      </c>
      <c r="E28" s="3">
        <v>3433</v>
      </c>
      <c r="F28" s="3">
        <v>3424</v>
      </c>
      <c r="G28" s="3">
        <v>3397</v>
      </c>
      <c r="H28">
        <f t="shared" si="4"/>
        <v>1411000000</v>
      </c>
      <c r="I28" s="3">
        <f>34244-J28</f>
        <v>33968</v>
      </c>
      <c r="J28" s="3">
        <f>15+6+221+34</f>
        <v>276</v>
      </c>
      <c r="K28" s="3">
        <f>1346-L28</f>
        <v>1250</v>
      </c>
      <c r="L28" s="3">
        <f>45+4+47</f>
        <v>96</v>
      </c>
      <c r="M28" s="3">
        <v>1874</v>
      </c>
      <c r="N28" s="3">
        <v>0</v>
      </c>
      <c r="O28" s="3">
        <v>-73</v>
      </c>
      <c r="P28" s="3">
        <f t="shared" si="1"/>
        <v>1801</v>
      </c>
      <c r="Q28">
        <v>0</v>
      </c>
      <c r="R28">
        <v>1</v>
      </c>
    </row>
    <row r="29" spans="1:18">
      <c r="A29" s="2" t="s">
        <v>45</v>
      </c>
      <c r="B29" s="3">
        <v>7905</v>
      </c>
      <c r="C29" s="3">
        <v>-41</v>
      </c>
      <c r="D29" s="3">
        <f t="shared" si="3"/>
        <v>7864</v>
      </c>
      <c r="E29" s="3">
        <v>7778</v>
      </c>
      <c r="F29" s="3">
        <v>7769</v>
      </c>
      <c r="G29" s="3">
        <v>7577</v>
      </c>
      <c r="H29">
        <f t="shared" si="4"/>
        <v>1411000000</v>
      </c>
      <c r="I29" s="3">
        <f>36523-J29</f>
        <v>36241</v>
      </c>
      <c r="J29" s="3">
        <f>16+1+229+36</f>
        <v>282</v>
      </c>
      <c r="K29" s="3">
        <f>1349-L29</f>
        <v>1239</v>
      </c>
      <c r="L29" s="3">
        <f>46+60+1+3</f>
        <v>110</v>
      </c>
      <c r="M29" s="3">
        <v>3661</v>
      </c>
      <c r="N29" s="3">
        <v>0</v>
      </c>
      <c r="O29" s="3">
        <v>-137</v>
      </c>
      <c r="P29" s="3">
        <f t="shared" si="1"/>
        <v>3524</v>
      </c>
      <c r="Q29">
        <v>1</v>
      </c>
      <c r="R29">
        <v>0</v>
      </c>
    </row>
    <row r="30" spans="1:18">
      <c r="A30" s="2" t="s">
        <v>46</v>
      </c>
      <c r="B30" s="3">
        <v>3569</v>
      </c>
      <c r="C30" s="3">
        <f>-5-21-2</f>
        <v>-28</v>
      </c>
      <c r="D30" s="3">
        <f t="shared" si="3"/>
        <v>3541</v>
      </c>
      <c r="E30" s="3">
        <v>3498</v>
      </c>
      <c r="F30" s="3">
        <v>3498</v>
      </c>
      <c r="G30" s="3">
        <v>4268</v>
      </c>
      <c r="H30">
        <f t="shared" si="4"/>
        <v>1411000000</v>
      </c>
      <c r="I30" s="3">
        <f>38211-J30</f>
        <v>37970</v>
      </c>
      <c r="J30" s="3">
        <f>16+2+14+209</f>
        <v>241</v>
      </c>
      <c r="K30" s="3">
        <f>1309-L30</f>
        <v>1229</v>
      </c>
      <c r="L30" s="3">
        <f>24+54+2</f>
        <v>80</v>
      </c>
      <c r="M30" s="3">
        <v>2179</v>
      </c>
      <c r="N30" s="3">
        <v>0</v>
      </c>
      <c r="O30" s="3">
        <v>-5</v>
      </c>
      <c r="P30" s="3">
        <f t="shared" si="1"/>
        <v>2174</v>
      </c>
      <c r="Q30">
        <v>0</v>
      </c>
      <c r="R30">
        <v>1</v>
      </c>
    </row>
    <row r="31" spans="1:18">
      <c r="A31" s="2" t="s">
        <v>47</v>
      </c>
      <c r="B31" s="3">
        <v>7684</v>
      </c>
      <c r="C31" s="3">
        <f>-7-16</f>
        <v>-23</v>
      </c>
      <c r="D31" s="3">
        <f t="shared" si="3"/>
        <v>7661</v>
      </c>
      <c r="E31" s="3">
        <v>7574</v>
      </c>
      <c r="F31" s="3">
        <v>7559</v>
      </c>
      <c r="G31" s="3">
        <v>7594</v>
      </c>
      <c r="H31">
        <f t="shared" si="4"/>
        <v>1411000000</v>
      </c>
      <c r="I31" s="3">
        <f>39573-J31</f>
        <v>39316</v>
      </c>
      <c r="J31" s="3">
        <f>18+3+223+12+1</f>
        <v>257</v>
      </c>
      <c r="K31" s="3">
        <f>1329-L31</f>
        <v>1228</v>
      </c>
      <c r="L31" s="3">
        <f>29+62+1+9</f>
        <v>101</v>
      </c>
      <c r="M31" s="3">
        <v>4273</v>
      </c>
      <c r="N31" s="3">
        <v>0</v>
      </c>
      <c r="O31" s="3">
        <v>-93</v>
      </c>
      <c r="P31" s="3">
        <f t="shared" si="1"/>
        <v>4180</v>
      </c>
      <c r="Q31">
        <v>1</v>
      </c>
      <c r="R31">
        <v>0</v>
      </c>
    </row>
    <row r="32" spans="1:18">
      <c r="A32" s="2" t="s">
        <v>48</v>
      </c>
      <c r="B32" s="3">
        <v>4106</v>
      </c>
      <c r="C32" s="3">
        <v>-35</v>
      </c>
      <c r="D32" s="3">
        <f t="shared" si="3"/>
        <v>4071</v>
      </c>
      <c r="E32" s="3">
        <v>3998</v>
      </c>
      <c r="F32" s="3">
        <v>3990</v>
      </c>
      <c r="G32" s="3">
        <v>3406</v>
      </c>
      <c r="H32">
        <f t="shared" si="4"/>
        <v>1411000000</v>
      </c>
      <c r="I32" s="3">
        <f>41750-J32</f>
        <v>41281</v>
      </c>
      <c r="J32" s="3">
        <f>21+3+413+25+7</f>
        <v>469</v>
      </c>
      <c r="K32" s="3">
        <f>2265-L32</f>
        <v>2138</v>
      </c>
      <c r="L32" s="3">
        <f>15+86+13+13</f>
        <v>127</v>
      </c>
      <c r="M32" s="3">
        <v>2246</v>
      </c>
      <c r="N32" s="3">
        <v>-929</v>
      </c>
      <c r="O32" s="3">
        <v>846</v>
      </c>
      <c r="P32" s="3">
        <f t="shared" si="1"/>
        <v>2163</v>
      </c>
      <c r="Q32">
        <v>0</v>
      </c>
      <c r="R32">
        <v>1</v>
      </c>
    </row>
    <row r="33" spans="1:18">
      <c r="A33" s="2" t="s">
        <v>49</v>
      </c>
      <c r="B33" s="3">
        <v>8399</v>
      </c>
      <c r="C33" s="3">
        <v>-40</v>
      </c>
      <c r="D33" s="3">
        <f t="shared" si="3"/>
        <v>8359</v>
      </c>
      <c r="E33" s="3">
        <v>8207</v>
      </c>
      <c r="F33" s="3">
        <v>8202</v>
      </c>
      <c r="G33" s="3">
        <v>7504</v>
      </c>
      <c r="H33">
        <f>1412*1000000</f>
        <v>1412000000</v>
      </c>
      <c r="I33" s="3">
        <f>43634-J33</f>
        <v>43130</v>
      </c>
      <c r="J33" s="3">
        <f>39+114+334+5+8+4</f>
        <v>504</v>
      </c>
      <c r="K33" s="3">
        <f>2253-L33</f>
        <v>2155</v>
      </c>
      <c r="L33" s="3">
        <f>81+6+11</f>
        <v>98</v>
      </c>
      <c r="M33" s="3">
        <v>4397</v>
      </c>
      <c r="N33" s="3">
        <v>-840</v>
      </c>
      <c r="O33" s="3">
        <v>784</v>
      </c>
      <c r="P33" s="3">
        <f t="shared" si="1"/>
        <v>4341</v>
      </c>
      <c r="Q33">
        <v>1</v>
      </c>
      <c r="R33">
        <v>0</v>
      </c>
    </row>
    <row r="34" spans="1:18">
      <c r="A34" s="2" t="s">
        <v>50</v>
      </c>
      <c r="B34">
        <v>4214</v>
      </c>
      <c r="C34">
        <v>-25</v>
      </c>
      <c r="D34" s="3">
        <f>B34+C34</f>
        <v>4189</v>
      </c>
      <c r="E34">
        <v>4189</v>
      </c>
      <c r="F34">
        <v>4097</v>
      </c>
      <c r="G34">
        <v>4097</v>
      </c>
      <c r="H34">
        <f>1411*1000000</f>
        <v>1411000000</v>
      </c>
      <c r="I34">
        <f>44965-J34</f>
        <v>44440</v>
      </c>
      <c r="J34">
        <f>81+401+42+1</f>
        <v>525</v>
      </c>
      <c r="K34">
        <f>2289-L34</f>
        <v>2139</v>
      </c>
      <c r="L34">
        <f>103+25+22</f>
        <v>150</v>
      </c>
      <c r="M34">
        <v>2525</v>
      </c>
      <c r="N34">
        <v>-11</v>
      </c>
      <c r="O34">
        <v>-16</v>
      </c>
      <c r="P34" s="3">
        <f>SUM(M34:O34)</f>
        <v>2498</v>
      </c>
      <c r="Q34">
        <v>0</v>
      </c>
      <c r="R34">
        <v>1</v>
      </c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2018-01-09T11:48:00Z</dcterms:created>
  <dcterms:modified xsi:type="dcterms:W3CDTF">2018-03-14T08:07:39Z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