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Water"/>
    <sheet r:id="rId2" sheetId="2" name="water - trace Metals"/>
    <sheet r:id="rId3" sheetId="3" name="Diagram"/>
    <sheet r:id="rId4" sheetId="4" name="Water -Anions"/>
    <sheet r:id="rId5" sheetId="5" name="water-major elements"/>
  </sheets>
  <calcPr fullCalcOnLoad="1"/>
</workbook>
</file>

<file path=xl/sharedStrings.xml><?xml version="1.0" encoding="utf-8"?>
<sst xmlns="http://schemas.openxmlformats.org/spreadsheetml/2006/main" count="410" uniqueCount="141">
  <si>
    <t>OBJECTID*</t>
  </si>
  <si>
    <t>X</t>
  </si>
  <si>
    <t>Y</t>
  </si>
  <si>
    <t>Na+ (ppm)</t>
  </si>
  <si>
    <t>K+ (ppm)</t>
  </si>
  <si>
    <t>Ca 2+ (ppm)</t>
  </si>
  <si>
    <t>Mg 2+ (ppm)</t>
  </si>
  <si>
    <t>3,726,874,444</t>
  </si>
  <si>
    <t>9,877,077,778</t>
  </si>
  <si>
    <t>3,725,925,833</t>
  </si>
  <si>
    <t>9,863,397,222</t>
  </si>
  <si>
    <t>3,725,140,833</t>
  </si>
  <si>
    <t>9,845,858,333</t>
  </si>
  <si>
    <t>3,721,090,833</t>
  </si>
  <si>
    <t>9,792,577,778</t>
  </si>
  <si>
    <t>9,809,244,444</t>
  </si>
  <si>
    <t>3,720,115,556</t>
  </si>
  <si>
    <t>9,789,080,556</t>
  </si>
  <si>
    <t>3,718,077,222</t>
  </si>
  <si>
    <t>9,789,452,778</t>
  </si>
  <si>
    <t>3,717,391,944</t>
  </si>
  <si>
    <t>9,802,430,556</t>
  </si>
  <si>
    <t>3,715,745,278</t>
  </si>
  <si>
    <t>9,812,605,556</t>
  </si>
  <si>
    <t>3,714,572,778</t>
  </si>
  <si>
    <t>9,813,663,889</t>
  </si>
  <si>
    <t>3,713,931,944</t>
  </si>
  <si>
    <t>9,835,383,333</t>
  </si>
  <si>
    <t>3,715,048,889</t>
  </si>
  <si>
    <t>9,878,888,889</t>
  </si>
  <si>
    <t>3,715,805,556</t>
  </si>
  <si>
    <t>9,899,127,778</t>
  </si>
  <si>
    <t>3,717,420,833</t>
  </si>
  <si>
    <t>3,719,262,222</t>
  </si>
  <si>
    <t>9,932,433,333</t>
  </si>
  <si>
    <t>3,721,523,611</t>
  </si>
  <si>
    <t>9,932,802,778</t>
  </si>
  <si>
    <t>3,722,725,833</t>
  </si>
  <si>
    <t>9,867,602,778</t>
  </si>
  <si>
    <t>3,722,251,111</t>
  </si>
  <si>
    <t>9,842,358,333</t>
  </si>
  <si>
    <t>3,722,445,556</t>
  </si>
  <si>
    <t>9,806,588,889</t>
  </si>
  <si>
    <t>37,210,775</t>
  </si>
  <si>
    <t>9,808,352,778</t>
  </si>
  <si>
    <t>3,720,966,389</t>
  </si>
  <si>
    <t>9,824,130,556</t>
  </si>
  <si>
    <t>3,720,939,167</t>
  </si>
  <si>
    <t>9,847,269,444</t>
  </si>
  <si>
    <t>3,721,274,167</t>
  </si>
  <si>
    <t>9,867,952,778</t>
  </si>
  <si>
    <t>3,721,245,833</t>
  </si>
  <si>
    <t>9,895,644,444</t>
  </si>
  <si>
    <t>3,720,882,222</t>
  </si>
  <si>
    <t>9,915,625</t>
  </si>
  <si>
    <t>3,719,514,167</t>
  </si>
  <si>
    <t>9,808,358,333</t>
  </si>
  <si>
    <t>3,719,431,389</t>
  </si>
  <si>
    <t>9,831,138,889</t>
  </si>
  <si>
    <t>3,719,376,111</t>
  </si>
  <si>
    <t>9,854,275</t>
  </si>
  <si>
    <t>3,719,292,222</t>
  </si>
  <si>
    <t>9,877,761,111</t>
  </si>
  <si>
    <t>3,719,208,056</t>
  </si>
  <si>
    <t>9,900,544,444</t>
  </si>
  <si>
    <t>3,717,392,778</t>
  </si>
  <si>
    <t>3,717,393,333</t>
  </si>
  <si>
    <t>9,842,713,889</t>
  </si>
  <si>
    <t>3,717,337,778</t>
  </si>
  <si>
    <t>9,864,794,444</t>
  </si>
  <si>
    <t>3,717,253,889</t>
  </si>
  <si>
    <t>9,888,622,222</t>
  </si>
  <si>
    <t>3,716,136,667</t>
  </si>
  <si>
    <t>9,835,366,667</t>
  </si>
  <si>
    <t>9,859,541,667</t>
  </si>
  <si>
    <t>3,716,276,944</t>
  </si>
  <si>
    <t>9,881,616,667</t>
  </si>
  <si>
    <t>3,718,593,889</t>
  </si>
  <si>
    <t>9,837,452,778</t>
  </si>
  <si>
    <t>3,718,315</t>
  </si>
  <si>
    <t>9,864,791,667</t>
  </si>
  <si>
    <t>3,723,591,111</t>
  </si>
  <si>
    <t>9,834,638,889</t>
  </si>
  <si>
    <t>Mean</t>
  </si>
  <si>
    <t>Max</t>
  </si>
  <si>
    <t>Min</t>
  </si>
  <si>
    <t>Standart deviation</t>
  </si>
  <si>
    <t>Samples</t>
  </si>
  <si>
    <t>Cl- (ppm)</t>
  </si>
  <si>
    <t>NO3- (ppm)</t>
  </si>
  <si>
    <t>SO4 2- (ppm)</t>
  </si>
  <si>
    <t>Na+ (%)</t>
  </si>
  <si>
    <t>K+ (%)</t>
  </si>
  <si>
    <t>Ca2+</t>
  </si>
  <si>
    <t>Mg 2+</t>
  </si>
  <si>
    <t>HCO3-</t>
  </si>
  <si>
    <r>
      <t>Conductivity (</t>
    </r>
    <r>
      <rPr>
        <sz val="11"/>
        <color rgb="FF000000"/>
        <rFont val="Calibri"/>
        <family val="2"/>
        <scheme val="minor"/>
      </rPr>
      <t>µ</t>
    </r>
    <r>
      <rPr>
        <sz val="11"/>
        <color rgb="FF000000"/>
        <rFont val="Calibri"/>
        <family val="2"/>
        <scheme val="minor"/>
      </rPr>
      <t>S/cm)</t>
    </r>
  </si>
  <si>
    <t>Cd (ppm)</t>
  </si>
  <si>
    <t>Zn (ppm)</t>
  </si>
  <si>
    <t>Pb (ppm)</t>
  </si>
  <si>
    <t>Cu (ppm)</t>
  </si>
  <si>
    <t>date</t>
  </si>
  <si>
    <t>T° air (°C)</t>
  </si>
  <si>
    <t>T°Water (°C)</t>
  </si>
  <si>
    <t>pH</t>
  </si>
  <si>
    <t>Salinity (psu)</t>
  </si>
  <si>
    <t>Dissolved O2 (g/l)</t>
  </si>
  <si>
    <t>Conductivity (mS/cm)</t>
  </si>
  <si>
    <t>Depth (m)</t>
  </si>
  <si>
    <t>Suspended matter (g/l)</t>
  </si>
  <si>
    <t>02-05-2023</t>
  </si>
  <si>
    <t>06-05-2023</t>
  </si>
  <si>
    <t>08-05-2023</t>
  </si>
  <si>
    <t>10-05-2023</t>
  </si>
  <si>
    <t>12-05-2023</t>
  </si>
  <si>
    <t>14-05-2023</t>
  </si>
  <si>
    <t>16-05-2023</t>
  </si>
  <si>
    <t>18-05-2023</t>
  </si>
  <si>
    <t>20-05-2023</t>
  </si>
  <si>
    <t>22-05-2023</t>
  </si>
  <si>
    <t>02-09-2023</t>
  </si>
  <si>
    <t>06-09-2023</t>
  </si>
  <si>
    <t>08-09-2023</t>
  </si>
  <si>
    <t>10-09-2023</t>
  </si>
  <si>
    <t>12-09-2023</t>
  </si>
  <si>
    <t>14-09-2023</t>
  </si>
  <si>
    <t>16-09-2023</t>
  </si>
  <si>
    <t>18-09-2023</t>
  </si>
  <si>
    <t>20-09-2023</t>
  </si>
  <si>
    <t>22-09-2023</t>
  </si>
  <si>
    <t>02-12-2023</t>
  </si>
  <si>
    <t>06-12-2023</t>
  </si>
  <si>
    <t>08-12-2023</t>
  </si>
  <si>
    <t>10-12-2023</t>
  </si>
  <si>
    <t>12-12-2023</t>
  </si>
  <si>
    <t>14-12-2023</t>
  </si>
  <si>
    <t>16-12-2023</t>
  </si>
  <si>
    <t>18-12-2023</t>
  </si>
  <si>
    <t>20-12-2023</t>
  </si>
  <si>
    <t>22-12-2023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</si>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</sst>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xfId="0" numFmtId="0" borderId="0" fontId="0" fillId="0"/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center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164" applyNumberFormat="1" borderId="0" fontId="0" fillId="0" applyAlignment="1">
      <alignment horizontal="right"/>
    </xf>
    <xf xfId="0" numFmtId="164" applyNumberFormat="1" borderId="1" applyBorder="1" fontId="1" applyFont="1" fillId="0" applyAlignment="1">
      <alignment horizontal="right"/>
    </xf>
    <xf xfId="0" numFmtId="164" applyNumberFormat="1" borderId="0" fontId="0" fillId="0" applyAlignment="1">
      <alignment horizontal="right"/>
    </xf>
    <xf xfId="0" numFmtId="4" applyNumberFormat="1" borderId="1" applyBorder="1" fontId="1" applyFont="1" fillId="0" applyAlignment="1">
      <alignment horizontal="center"/>
    </xf>
    <xf xfId="0" numFmtId="3" applyNumberFormat="1" borderId="1" applyBorder="1" fontId="1" applyFont="1" fillId="0" quotePrefix="1" applyAlignment="1">
      <alignment horizontal="right"/>
    </xf>
    <xf xfId="0" numFmtId="4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42"/>
  <sheetViews>
    <sheetView workbookViewId="0" tabSelected="1"/>
  </sheetViews>
  <sheetFormatPr defaultRowHeight="15" x14ac:dyDescent="0.25"/>
  <cols>
    <col min="1" max="1" style="13" width="13.576428571428572" customWidth="1" bestFit="1"/>
    <col min="2" max="2" style="7" width="12.862142857142858" customWidth="1" bestFit="1"/>
    <col min="3" max="3" style="7" width="14.147857142857141" customWidth="1" bestFit="1"/>
    <col min="4" max="4" style="15" width="14.147857142857141" customWidth="1" bestFit="1"/>
    <col min="5" max="5" style="15" width="14.147857142857141" customWidth="1" bestFit="1"/>
    <col min="6" max="6" style="21" width="14.147857142857141" customWidth="1" bestFit="1"/>
    <col min="7" max="7" style="21" width="17.862142857142857" customWidth="1" bestFit="1"/>
    <col min="8" max="8" style="21" width="19.14785714285714" customWidth="1" bestFit="1"/>
    <col min="9" max="9" style="21" width="19.290714285714284" customWidth="1" bestFit="1"/>
    <col min="10" max="10" style="15" width="14.147857142857141" customWidth="1" bestFit="1"/>
    <col min="11" max="11" style="8" width="22.433571428571426" customWidth="1" bestFit="1"/>
    <col min="12" max="12" style="13" width="13.576428571428572" customWidth="1" bestFit="1"/>
    <col min="13" max="13" style="8" width="18.005" customWidth="1" bestFit="1"/>
    <col min="14" max="14" style="8" width="17.433571428571426" customWidth="1" bestFit="1"/>
    <col min="15" max="15" style="8" width="13.576428571428572" customWidth="1" bestFit="1"/>
    <col min="16" max="16" style="8" width="13.576428571428572" customWidth="1" bestFit="1"/>
    <col min="17" max="17" style="8" width="13.576428571428572" customWidth="1" bestFit="1"/>
    <col min="18" max="18" style="13" width="13.576428571428572" customWidth="1" bestFit="1"/>
    <col min="19" max="19" style="8" width="13.576428571428572" customWidth="1" bestFit="1"/>
    <col min="20" max="20" style="8" width="13.576428571428572" customWidth="1" bestFit="1"/>
  </cols>
  <sheetData>
    <row x14ac:dyDescent="0.25" r="1" customHeight="1" ht="18.75">
      <c r="A1" s="9" t="s">
        <v>101</v>
      </c>
      <c r="B1" s="2" t="s">
        <v>1</v>
      </c>
      <c r="C1" s="2" t="s">
        <v>2</v>
      </c>
      <c r="D1" s="11" t="s">
        <v>102</v>
      </c>
      <c r="E1" s="11" t="s">
        <v>103</v>
      </c>
      <c r="F1" s="19" t="s">
        <v>104</v>
      </c>
      <c r="G1" s="19" t="s">
        <v>105</v>
      </c>
      <c r="H1" s="19" t="s">
        <v>106</v>
      </c>
      <c r="I1" s="19" t="s">
        <v>107</v>
      </c>
      <c r="J1" s="11" t="s">
        <v>108</v>
      </c>
      <c r="K1" s="3" t="s">
        <v>109</v>
      </c>
      <c r="L1" s="9" t="s">
        <v>3</v>
      </c>
      <c r="M1" s="3" t="s">
        <v>4</v>
      </c>
      <c r="N1" s="3" t="s">
        <v>97</v>
      </c>
      <c r="O1" s="3" t="s">
        <v>98</v>
      </c>
      <c r="P1" s="3" t="s">
        <v>99</v>
      </c>
      <c r="Q1" s="3" t="s">
        <v>100</v>
      </c>
      <c r="R1" s="9" t="s">
        <v>88</v>
      </c>
      <c r="S1" s="3" t="s">
        <v>89</v>
      </c>
      <c r="T1" s="3" t="s">
        <v>90</v>
      </c>
    </row>
    <row x14ac:dyDescent="0.25" r="2" customHeight="1" ht="18.75">
      <c r="A2" s="4" t="s">
        <v>110</v>
      </c>
      <c r="B2" s="2" t="s">
        <v>7</v>
      </c>
      <c r="C2" s="2" t="s">
        <v>8</v>
      </c>
      <c r="D2" s="19">
        <v>26.8</v>
      </c>
      <c r="E2" s="19">
        <v>23.8</v>
      </c>
      <c r="F2" s="19">
        <v>7.69</v>
      </c>
      <c r="G2" s="11">
        <f>3.7*10</f>
      </c>
      <c r="H2" s="19">
        <v>5.2</v>
      </c>
      <c r="I2" s="19">
        <v>58.6</v>
      </c>
      <c r="J2" s="19">
        <v>12.9</v>
      </c>
      <c r="K2" s="5">
        <v>2.81</v>
      </c>
      <c r="L2" s="4">
        <v>1978</v>
      </c>
      <c r="M2" s="4">
        <v>317</v>
      </c>
      <c r="N2" s="5">
        <v>0.045</v>
      </c>
      <c r="O2" s="5">
        <v>0.034</v>
      </c>
      <c r="P2" s="5">
        <v>0.268</v>
      </c>
      <c r="Q2" s="4">
        <v>0</v>
      </c>
      <c r="R2" s="4">
        <v>28721</v>
      </c>
      <c r="S2" s="5">
        <v>146.11</v>
      </c>
      <c r="T2" s="5">
        <v>3246.8</v>
      </c>
    </row>
    <row x14ac:dyDescent="0.25" r="3" customHeight="1" ht="18.75">
      <c r="A3" s="4" t="s">
        <v>111</v>
      </c>
      <c r="B3" s="2" t="s">
        <v>9</v>
      </c>
      <c r="C3" s="2" t="s">
        <v>10</v>
      </c>
      <c r="D3" s="11">
        <v>26</v>
      </c>
      <c r="E3" s="19">
        <v>24.03</v>
      </c>
      <c r="F3" s="19">
        <v>7.66</v>
      </c>
      <c r="G3" s="19">
        <f>3.61*10</f>
      </c>
      <c r="H3" s="19">
        <v>5.5</v>
      </c>
      <c r="I3" s="19">
        <v>55.6</v>
      </c>
      <c r="J3" s="11">
        <v>8</v>
      </c>
      <c r="K3" s="5">
        <v>2.89</v>
      </c>
      <c r="L3" s="4">
        <v>1961</v>
      </c>
      <c r="M3" s="4">
        <v>316</v>
      </c>
      <c r="N3" s="5">
        <v>0.043</v>
      </c>
      <c r="O3" s="5">
        <v>0.034</v>
      </c>
      <c r="P3" s="5">
        <v>0.301</v>
      </c>
      <c r="Q3" s="5">
        <v>0.063</v>
      </c>
      <c r="R3" s="4">
        <v>28764</v>
      </c>
      <c r="S3" s="5">
        <v>146.23</v>
      </c>
      <c r="T3" s="5">
        <v>3211.9</v>
      </c>
    </row>
    <row x14ac:dyDescent="0.25" r="4" customHeight="1" ht="18.75">
      <c r="A4" s="4" t="s">
        <v>112</v>
      </c>
      <c r="B4" s="2" t="s">
        <v>11</v>
      </c>
      <c r="C4" s="2" t="s">
        <v>12</v>
      </c>
      <c r="D4" s="19">
        <v>25.7</v>
      </c>
      <c r="E4" s="19">
        <v>23.99</v>
      </c>
      <c r="F4" s="19">
        <v>7.64</v>
      </c>
      <c r="G4" s="19">
        <v>35.9</v>
      </c>
      <c r="H4" s="19">
        <v>5.3</v>
      </c>
      <c r="I4" s="19">
        <v>53.8</v>
      </c>
      <c r="J4" s="19">
        <v>7.5</v>
      </c>
      <c r="K4" s="5">
        <v>2.53</v>
      </c>
      <c r="L4" s="4">
        <v>1970</v>
      </c>
      <c r="M4" s="4">
        <v>315</v>
      </c>
      <c r="N4" s="5">
        <v>0.042</v>
      </c>
      <c r="O4" s="5">
        <v>0.038</v>
      </c>
      <c r="P4" s="5">
        <v>0.302</v>
      </c>
      <c r="Q4" s="4">
        <v>0</v>
      </c>
      <c r="R4" s="4">
        <v>28459</v>
      </c>
      <c r="S4" s="5">
        <v>146.45</v>
      </c>
      <c r="T4" s="5">
        <v>3196.6</v>
      </c>
    </row>
    <row x14ac:dyDescent="0.25" r="5" customHeight="1" ht="18.75">
      <c r="A5" s="4" t="s">
        <v>113</v>
      </c>
      <c r="B5" s="2" t="s">
        <v>13</v>
      </c>
      <c r="C5" s="2" t="s">
        <v>14</v>
      </c>
      <c r="D5" s="19">
        <v>28.3</v>
      </c>
      <c r="E5" s="19">
        <v>27.5</v>
      </c>
      <c r="F5" s="19">
        <v>7.48</v>
      </c>
      <c r="G5" s="19">
        <v>38.4</v>
      </c>
      <c r="H5" s="19">
        <v>4.4</v>
      </c>
      <c r="I5" s="11">
        <v>61</v>
      </c>
      <c r="J5" s="19">
        <v>1.7</v>
      </c>
      <c r="K5" s="5">
        <v>2.3</v>
      </c>
      <c r="L5" s="4">
        <v>1975</v>
      </c>
      <c r="M5" s="4">
        <v>318</v>
      </c>
      <c r="N5" s="5">
        <v>0.043</v>
      </c>
      <c r="O5" s="5">
        <v>0.035</v>
      </c>
      <c r="P5" s="5">
        <v>0.3</v>
      </c>
      <c r="Q5" s="5">
        <v>0.066</v>
      </c>
      <c r="R5" s="4">
        <v>28476</v>
      </c>
      <c r="S5" s="5">
        <v>146.18</v>
      </c>
      <c r="T5" s="5">
        <v>3176.4</v>
      </c>
    </row>
    <row x14ac:dyDescent="0.25" r="6" customHeight="1" ht="18.75">
      <c r="A6" s="4" t="s">
        <v>114</v>
      </c>
      <c r="B6" s="5">
        <v>37.238</v>
      </c>
      <c r="C6" s="2" t="s">
        <v>15</v>
      </c>
      <c r="D6" s="19">
        <v>27.6</v>
      </c>
      <c r="E6" s="19">
        <v>26.57</v>
      </c>
      <c r="F6" s="19">
        <v>7.58</v>
      </c>
      <c r="G6" s="19">
        <v>38.3</v>
      </c>
      <c r="H6" s="19">
        <v>3.5</v>
      </c>
      <c r="I6" s="11">
        <v>61</v>
      </c>
      <c r="J6" s="19">
        <v>4.6</v>
      </c>
      <c r="K6" s="5">
        <v>2.06</v>
      </c>
      <c r="L6" s="4">
        <v>1972</v>
      </c>
      <c r="M6" s="5">
        <v>314.5</v>
      </c>
      <c r="N6" s="5">
        <v>0.041</v>
      </c>
      <c r="O6" s="5">
        <v>0.034</v>
      </c>
      <c r="P6" s="5">
        <v>0.307</v>
      </c>
      <c r="Q6" s="5">
        <v>0.065</v>
      </c>
      <c r="R6" s="4">
        <v>29456</v>
      </c>
      <c r="S6" s="5">
        <v>145.9</v>
      </c>
      <c r="T6" s="4">
        <v>3200</v>
      </c>
    </row>
    <row x14ac:dyDescent="0.25" r="7" customHeight="1" ht="18.75">
      <c r="A7" s="4" t="s">
        <v>115</v>
      </c>
      <c r="B7" s="2" t="s">
        <v>16</v>
      </c>
      <c r="C7" s="2" t="s">
        <v>17</v>
      </c>
      <c r="D7" s="19">
        <v>26.46</v>
      </c>
      <c r="E7" s="19">
        <v>27.4</v>
      </c>
      <c r="F7" s="19">
        <v>7.79</v>
      </c>
      <c r="G7" s="19">
        <v>38.2</v>
      </c>
      <c r="H7" s="19">
        <v>3.3</v>
      </c>
      <c r="I7" s="19">
        <v>60.7</v>
      </c>
      <c r="J7" s="19">
        <v>1.7</v>
      </c>
      <c r="K7" s="5">
        <v>2.89</v>
      </c>
      <c r="L7" s="4">
        <v>1969</v>
      </c>
      <c r="M7" s="5">
        <v>313.5</v>
      </c>
      <c r="N7" s="5">
        <v>0.041</v>
      </c>
      <c r="O7" s="5">
        <v>0.032</v>
      </c>
      <c r="P7" s="5">
        <v>0.313</v>
      </c>
      <c r="Q7" s="5">
        <v>0.063</v>
      </c>
      <c r="R7" s="4">
        <v>29564</v>
      </c>
      <c r="S7" s="4">
        <v>146</v>
      </c>
      <c r="T7" s="5">
        <v>3199.9</v>
      </c>
    </row>
    <row x14ac:dyDescent="0.25" r="8" customHeight="1" ht="18.75">
      <c r="A8" s="4" t="s">
        <v>116</v>
      </c>
      <c r="B8" s="2" t="s">
        <v>18</v>
      </c>
      <c r="C8" s="2" t="s">
        <v>19</v>
      </c>
      <c r="D8" s="19">
        <v>36.3</v>
      </c>
      <c r="E8" s="19">
        <v>27.2</v>
      </c>
      <c r="F8" s="19">
        <v>7.67</v>
      </c>
      <c r="G8" s="19">
        <v>38.2</v>
      </c>
      <c r="H8" s="19">
        <v>4.4</v>
      </c>
      <c r="I8" s="19">
        <v>60.4</v>
      </c>
      <c r="J8" s="11">
        <v>2</v>
      </c>
      <c r="K8" s="5">
        <v>2.77</v>
      </c>
      <c r="L8" s="4">
        <v>1959</v>
      </c>
      <c r="M8" s="4">
        <v>313</v>
      </c>
      <c r="N8" s="5">
        <v>0.042</v>
      </c>
      <c r="O8" s="5">
        <v>0.031</v>
      </c>
      <c r="P8" s="5">
        <v>0.313</v>
      </c>
      <c r="Q8" s="5">
        <v>0.065</v>
      </c>
      <c r="R8" s="5">
        <v>29669.600000000002</v>
      </c>
      <c r="S8" s="5">
        <v>147.2</v>
      </c>
      <c r="T8" s="5">
        <v>3537.6</v>
      </c>
    </row>
    <row x14ac:dyDescent="0.25" r="9" customHeight="1" ht="18.75">
      <c r="A9" s="4" t="s">
        <v>117</v>
      </c>
      <c r="B9" s="2" t="s">
        <v>20</v>
      </c>
      <c r="C9" s="2" t="s">
        <v>21</v>
      </c>
      <c r="D9" s="19">
        <v>26.22</v>
      </c>
      <c r="E9" s="19">
        <v>27.2</v>
      </c>
      <c r="F9" s="19">
        <v>7.79</v>
      </c>
      <c r="G9" s="19">
        <v>38.2</v>
      </c>
      <c r="H9" s="19">
        <v>4.5</v>
      </c>
      <c r="I9" s="19">
        <v>60.3</v>
      </c>
      <c r="J9" s="19">
        <v>1.5</v>
      </c>
      <c r="K9" s="5">
        <v>2.61</v>
      </c>
      <c r="L9" s="4">
        <v>1981</v>
      </c>
      <c r="M9" s="4">
        <v>314</v>
      </c>
      <c r="N9" s="5">
        <v>0.043</v>
      </c>
      <c r="O9" s="5">
        <v>0.032</v>
      </c>
      <c r="P9" s="5">
        <v>0.313</v>
      </c>
      <c r="Q9" s="5">
        <v>0.062</v>
      </c>
      <c r="R9" s="5">
        <v>31269.600000000002</v>
      </c>
      <c r="S9" s="5">
        <v>147.2</v>
      </c>
      <c r="T9" s="4">
        <v>3600</v>
      </c>
    </row>
    <row x14ac:dyDescent="0.25" r="10" customHeight="1" ht="18.75">
      <c r="A10" s="4" t="s">
        <v>118</v>
      </c>
      <c r="B10" s="2" t="s">
        <v>22</v>
      </c>
      <c r="C10" s="2" t="s">
        <v>23</v>
      </c>
      <c r="D10" s="19">
        <v>27.7</v>
      </c>
      <c r="E10" s="19">
        <v>26.24</v>
      </c>
      <c r="F10" s="19">
        <v>7.69</v>
      </c>
      <c r="G10" s="19">
        <v>38.3</v>
      </c>
      <c r="H10" s="19">
        <v>4.3</v>
      </c>
      <c r="I10" s="19">
        <v>60.9</v>
      </c>
      <c r="J10" s="19">
        <v>3.5</v>
      </c>
      <c r="K10" s="5">
        <v>2.66</v>
      </c>
      <c r="L10" s="4">
        <v>1985</v>
      </c>
      <c r="M10" s="5">
        <v>312.5</v>
      </c>
      <c r="N10" s="5">
        <v>0.044</v>
      </c>
      <c r="O10" s="5">
        <v>0.034</v>
      </c>
      <c r="P10" s="5">
        <v>0.316</v>
      </c>
      <c r="Q10" s="5">
        <v>0.061</v>
      </c>
      <c r="R10" s="4">
        <v>30985</v>
      </c>
      <c r="S10" s="5">
        <v>147.2</v>
      </c>
      <c r="T10" s="5">
        <v>3913.6000000000004</v>
      </c>
    </row>
    <row x14ac:dyDescent="0.25" r="11" customHeight="1" ht="18.75">
      <c r="A11" s="4" t="s">
        <v>119</v>
      </c>
      <c r="B11" s="2" t="s">
        <v>24</v>
      </c>
      <c r="C11" s="2" t="s">
        <v>25</v>
      </c>
      <c r="D11" s="19">
        <v>26.8</v>
      </c>
      <c r="E11" s="19">
        <v>29.22</v>
      </c>
      <c r="F11" s="19">
        <v>7.72</v>
      </c>
      <c r="G11" s="19">
        <v>38.6</v>
      </c>
      <c r="H11" s="19">
        <v>6.2</v>
      </c>
      <c r="I11" s="19">
        <v>61.7</v>
      </c>
      <c r="J11" s="11">
        <v>5</v>
      </c>
      <c r="K11" s="5">
        <v>2.58</v>
      </c>
      <c r="L11" s="4">
        <v>1983</v>
      </c>
      <c r="M11" s="5">
        <v>313.5</v>
      </c>
      <c r="N11" s="5">
        <v>0.041</v>
      </c>
      <c r="O11" s="5">
        <v>0.036</v>
      </c>
      <c r="P11" s="5">
        <v>0.314</v>
      </c>
      <c r="Q11" s="5">
        <v>0.059</v>
      </c>
      <c r="R11" s="4">
        <v>30275</v>
      </c>
      <c r="S11" s="5">
        <v>131.20000000000002</v>
      </c>
      <c r="T11" s="5">
        <v>3502.4</v>
      </c>
    </row>
    <row x14ac:dyDescent="0.25" r="12" customHeight="1" ht="18.75">
      <c r="A12" s="4" t="s">
        <v>120</v>
      </c>
      <c r="B12" s="2" t="s">
        <v>26</v>
      </c>
      <c r="C12" s="2" t="s">
        <v>27</v>
      </c>
      <c r="D12" s="19">
        <v>26.15</v>
      </c>
      <c r="E12" s="11">
        <v>28</v>
      </c>
      <c r="F12" s="19">
        <v>7.77</v>
      </c>
      <c r="G12" s="19">
        <v>38.2</v>
      </c>
      <c r="H12" s="19">
        <v>5.4</v>
      </c>
      <c r="I12" s="19">
        <v>59.3</v>
      </c>
      <c r="J12" s="11">
        <v>4</v>
      </c>
      <c r="K12" s="5">
        <v>2.89</v>
      </c>
      <c r="L12" s="4">
        <v>1971</v>
      </c>
      <c r="M12" s="5">
        <v>313.6</v>
      </c>
      <c r="N12" s="5">
        <v>0.038</v>
      </c>
      <c r="O12" s="5">
        <v>0.039</v>
      </c>
      <c r="P12" s="5">
        <v>0.303</v>
      </c>
      <c r="Q12" s="5">
        <v>0.051</v>
      </c>
      <c r="R12" s="4">
        <v>30456</v>
      </c>
      <c r="S12" s="5">
        <v>139.2</v>
      </c>
      <c r="T12" s="5">
        <v>3320.0000000000005</v>
      </c>
    </row>
    <row x14ac:dyDescent="0.25" r="13" customHeight="1" ht="18.75">
      <c r="A13" s="4" t="s">
        <v>121</v>
      </c>
      <c r="B13" s="2" t="s">
        <v>26</v>
      </c>
      <c r="C13" s="5">
        <v>985.885</v>
      </c>
      <c r="D13" s="19">
        <v>26.17</v>
      </c>
      <c r="E13" s="11">
        <v>27</v>
      </c>
      <c r="F13" s="19">
        <v>7.75</v>
      </c>
      <c r="G13" s="19">
        <v>38.3</v>
      </c>
      <c r="H13" s="19">
        <v>5.6</v>
      </c>
      <c r="I13" s="19">
        <v>60.8</v>
      </c>
      <c r="J13" s="19">
        <v>4.4</v>
      </c>
      <c r="K13" s="5">
        <v>2.76</v>
      </c>
      <c r="L13" s="4">
        <v>1971</v>
      </c>
      <c r="M13" s="5">
        <v>313.9</v>
      </c>
      <c r="N13" s="5">
        <v>0.039</v>
      </c>
      <c r="O13" s="5">
        <v>0.039</v>
      </c>
      <c r="P13" s="5">
        <v>0.307</v>
      </c>
      <c r="Q13" s="5">
        <v>0.051</v>
      </c>
      <c r="R13" s="4">
        <v>30562</v>
      </c>
      <c r="S13" s="5">
        <v>131.20000000000002</v>
      </c>
      <c r="T13" s="5">
        <v>3537.6</v>
      </c>
    </row>
    <row x14ac:dyDescent="0.25" r="14" customHeight="1" ht="18.75">
      <c r="A14" s="4" t="s">
        <v>122</v>
      </c>
      <c r="B14" s="2" t="s">
        <v>28</v>
      </c>
      <c r="C14" s="2" t="s">
        <v>29</v>
      </c>
      <c r="D14" s="19">
        <v>26.33</v>
      </c>
      <c r="E14" s="19">
        <v>26.9</v>
      </c>
      <c r="F14" s="19">
        <v>7.72</v>
      </c>
      <c r="G14" s="19">
        <v>57.9</v>
      </c>
      <c r="H14" s="19">
        <v>5.3</v>
      </c>
      <c r="I14" s="19">
        <v>58.9</v>
      </c>
      <c r="J14" s="11">
        <v>4</v>
      </c>
      <c r="K14" s="5">
        <v>2.45</v>
      </c>
      <c r="L14" s="4">
        <v>1968</v>
      </c>
      <c r="M14" s="5">
        <v>313.7</v>
      </c>
      <c r="N14" s="5">
        <v>0.039</v>
      </c>
      <c r="O14" s="5">
        <v>0.039</v>
      </c>
      <c r="P14" s="5">
        <v>0.31</v>
      </c>
      <c r="Q14" s="5">
        <v>0.051</v>
      </c>
      <c r="R14" s="4">
        <v>30455</v>
      </c>
      <c r="S14" s="5">
        <v>145.6</v>
      </c>
      <c r="T14" s="4">
        <v>3396</v>
      </c>
    </row>
    <row x14ac:dyDescent="0.25" r="15" customHeight="1" ht="18.75">
      <c r="A15" s="4" t="s">
        <v>123</v>
      </c>
      <c r="B15" s="2" t="s">
        <v>30</v>
      </c>
      <c r="C15" s="2" t="s">
        <v>31</v>
      </c>
      <c r="D15" s="19">
        <v>26.43</v>
      </c>
      <c r="E15" s="19">
        <v>27.6</v>
      </c>
      <c r="F15" s="19">
        <v>7.71</v>
      </c>
      <c r="G15" s="19">
        <v>37.2</v>
      </c>
      <c r="H15" s="19">
        <v>6.6</v>
      </c>
      <c r="I15" s="11">
        <v>60</v>
      </c>
      <c r="J15" s="19">
        <v>7.5</v>
      </c>
      <c r="K15" s="5">
        <v>2.33</v>
      </c>
      <c r="L15" s="4">
        <v>1963</v>
      </c>
      <c r="M15" s="4">
        <v>314</v>
      </c>
      <c r="N15" s="5">
        <v>0.037</v>
      </c>
      <c r="O15" s="5">
        <v>0.039</v>
      </c>
      <c r="P15" s="5">
        <v>0.313</v>
      </c>
      <c r="Q15" s="5">
        <v>0.062</v>
      </c>
      <c r="R15" s="4">
        <v>30454</v>
      </c>
      <c r="S15" s="5">
        <v>123.2</v>
      </c>
      <c r="T15" s="5">
        <v>3298.4</v>
      </c>
    </row>
    <row x14ac:dyDescent="0.25" r="16" customHeight="1" ht="18.75">
      <c r="A16" s="4" t="s">
        <v>124</v>
      </c>
      <c r="B16" s="2" t="s">
        <v>32</v>
      </c>
      <c r="C16" s="5">
        <v>99.142</v>
      </c>
      <c r="D16" s="11">
        <v>25</v>
      </c>
      <c r="E16" s="19">
        <v>26.07</v>
      </c>
      <c r="F16" s="19">
        <v>7.6</v>
      </c>
      <c r="G16" s="19">
        <v>37.1</v>
      </c>
      <c r="H16" s="19">
        <v>5.6</v>
      </c>
      <c r="I16" s="19">
        <v>58.7</v>
      </c>
      <c r="J16" s="11">
        <v>8</v>
      </c>
      <c r="K16" s="5">
        <v>2.23</v>
      </c>
      <c r="L16" s="4">
        <v>1990</v>
      </c>
      <c r="M16" s="5">
        <v>314.5</v>
      </c>
      <c r="N16" s="5">
        <v>0.041</v>
      </c>
      <c r="O16" s="5">
        <v>0.039</v>
      </c>
      <c r="P16" s="5">
        <v>0.279</v>
      </c>
      <c r="Q16" s="5">
        <v>0.066</v>
      </c>
      <c r="R16" s="5">
        <v>30469.600000000002</v>
      </c>
      <c r="S16" s="5">
        <v>155.20000000000002</v>
      </c>
      <c r="T16" s="5">
        <v>3537.6</v>
      </c>
    </row>
    <row x14ac:dyDescent="0.25" r="17" customHeight="1" ht="18.75">
      <c r="A17" s="4" t="s">
        <v>125</v>
      </c>
      <c r="B17" s="2" t="s">
        <v>33</v>
      </c>
      <c r="C17" s="2" t="s">
        <v>34</v>
      </c>
      <c r="D17" s="11">
        <v>25</v>
      </c>
      <c r="E17" s="19">
        <v>26.11</v>
      </c>
      <c r="F17" s="19">
        <v>7.6</v>
      </c>
      <c r="G17" s="11">
        <v>38</v>
      </c>
      <c r="H17" s="19">
        <v>5.4</v>
      </c>
      <c r="I17" s="19">
        <v>60.7</v>
      </c>
      <c r="J17" s="19">
        <v>8.6</v>
      </c>
      <c r="K17" s="5">
        <v>2.43</v>
      </c>
      <c r="L17" s="4">
        <v>1988</v>
      </c>
      <c r="M17" s="5">
        <v>315.5</v>
      </c>
      <c r="N17" s="5">
        <v>0.041</v>
      </c>
      <c r="O17" s="5">
        <v>0.039</v>
      </c>
      <c r="P17" s="5">
        <v>0.299</v>
      </c>
      <c r="Q17" s="5">
        <v>0.066</v>
      </c>
      <c r="R17" s="5">
        <v>29669.600000000002</v>
      </c>
      <c r="S17" s="5">
        <v>147.2</v>
      </c>
      <c r="T17" s="4">
        <v>3528</v>
      </c>
    </row>
    <row x14ac:dyDescent="0.25" r="18" customHeight="1" ht="18.75">
      <c r="A18" s="4" t="s">
        <v>126</v>
      </c>
      <c r="B18" s="2" t="s">
        <v>35</v>
      </c>
      <c r="C18" s="2" t="s">
        <v>36</v>
      </c>
      <c r="D18" s="11">
        <v>25</v>
      </c>
      <c r="E18" s="19">
        <v>25.99</v>
      </c>
      <c r="F18" s="19">
        <v>7.68</v>
      </c>
      <c r="G18" s="19">
        <v>37.5</v>
      </c>
      <c r="H18" s="19">
        <v>5.2</v>
      </c>
      <c r="I18" s="19">
        <v>59.4</v>
      </c>
      <c r="J18" s="19">
        <v>11.9</v>
      </c>
      <c r="K18" s="5">
        <v>2.28</v>
      </c>
      <c r="L18" s="4">
        <v>1987</v>
      </c>
      <c r="M18" s="5">
        <v>318.8</v>
      </c>
      <c r="N18" s="5">
        <v>0.042</v>
      </c>
      <c r="O18" s="5">
        <v>0.039</v>
      </c>
      <c r="P18" s="5">
        <v>0.289</v>
      </c>
      <c r="Q18" s="5">
        <v>0.061</v>
      </c>
      <c r="R18" s="5">
        <v>29669.600000000002</v>
      </c>
      <c r="S18" s="5">
        <v>148.5</v>
      </c>
      <c r="T18" s="5">
        <v>3519.2</v>
      </c>
    </row>
    <row x14ac:dyDescent="0.25" r="19" customHeight="1" ht="18.75">
      <c r="A19" s="4" t="s">
        <v>127</v>
      </c>
      <c r="B19" s="2" t="s">
        <v>37</v>
      </c>
      <c r="C19" s="2" t="s">
        <v>38</v>
      </c>
      <c r="D19" s="19">
        <v>20.5</v>
      </c>
      <c r="E19" s="11">
        <v>31</v>
      </c>
      <c r="F19" s="19">
        <v>7.47</v>
      </c>
      <c r="G19" s="19">
        <v>35.9</v>
      </c>
      <c r="H19" s="19">
        <v>3.8</v>
      </c>
      <c r="I19" s="19">
        <v>57.2</v>
      </c>
      <c r="J19" s="11">
        <v>10</v>
      </c>
      <c r="K19" s="5">
        <v>2.32</v>
      </c>
      <c r="L19" s="4">
        <v>1987</v>
      </c>
      <c r="M19" s="5">
        <v>318.7</v>
      </c>
      <c r="N19" s="5">
        <v>0.045</v>
      </c>
      <c r="O19" s="5">
        <v>0.039</v>
      </c>
      <c r="P19" s="5">
        <v>0.296</v>
      </c>
      <c r="Q19" s="5">
        <v>0.062</v>
      </c>
      <c r="R19" s="5">
        <v>29669.600000000002</v>
      </c>
      <c r="S19" s="5">
        <v>149.2</v>
      </c>
      <c r="T19" s="5">
        <v>3550.3999999999996</v>
      </c>
    </row>
    <row x14ac:dyDescent="0.25" r="20" customHeight="1" ht="18.75">
      <c r="A20" s="4" t="s">
        <v>128</v>
      </c>
      <c r="B20" s="2" t="s">
        <v>39</v>
      </c>
      <c r="C20" s="2" t="s">
        <v>40</v>
      </c>
      <c r="D20" s="11">
        <v>22</v>
      </c>
      <c r="E20" s="19">
        <v>32.4</v>
      </c>
      <c r="F20" s="19">
        <v>7.46</v>
      </c>
      <c r="G20" s="19">
        <v>35.5</v>
      </c>
      <c r="H20" s="19">
        <v>4.2</v>
      </c>
      <c r="I20" s="19">
        <v>56.9</v>
      </c>
      <c r="J20" s="11">
        <v>12</v>
      </c>
      <c r="K20" s="5">
        <v>2.26</v>
      </c>
      <c r="L20" s="4">
        <v>1986</v>
      </c>
      <c r="M20" s="5">
        <v>318.9</v>
      </c>
      <c r="N20" s="5">
        <v>0.046</v>
      </c>
      <c r="O20" s="5">
        <v>0.039</v>
      </c>
      <c r="P20" s="5">
        <v>0.287</v>
      </c>
      <c r="Q20" s="5">
        <v>0.063</v>
      </c>
      <c r="R20" s="5">
        <v>29669.600000000002</v>
      </c>
      <c r="S20" s="5">
        <v>147.5</v>
      </c>
      <c r="T20" s="5">
        <v>3585.6000000000004</v>
      </c>
    </row>
    <row x14ac:dyDescent="0.25" r="21" customHeight="1" ht="18.75">
      <c r="A21" s="4" t="s">
        <v>129</v>
      </c>
      <c r="B21" s="2" t="s">
        <v>41</v>
      </c>
      <c r="C21" s="2" t="s">
        <v>42</v>
      </c>
      <c r="D21" s="11">
        <v>25</v>
      </c>
      <c r="E21" s="19">
        <v>26.7</v>
      </c>
      <c r="F21" s="19">
        <v>7.65</v>
      </c>
      <c r="G21" s="19">
        <v>37.5</v>
      </c>
      <c r="H21" s="19">
        <v>6.5</v>
      </c>
      <c r="I21" s="19">
        <v>59.4</v>
      </c>
      <c r="J21" s="11">
        <v>6</v>
      </c>
      <c r="K21" s="5">
        <v>2.21</v>
      </c>
      <c r="L21" s="4">
        <v>1982</v>
      </c>
      <c r="M21" s="5">
        <v>318.1</v>
      </c>
      <c r="N21" s="5">
        <v>0.042</v>
      </c>
      <c r="O21" s="5">
        <v>0.039</v>
      </c>
      <c r="P21" s="5">
        <v>0.305</v>
      </c>
      <c r="Q21" s="5">
        <v>0.063</v>
      </c>
      <c r="R21" s="5">
        <v>29669.600000000002</v>
      </c>
      <c r="S21" s="5">
        <v>147.2</v>
      </c>
      <c r="T21" s="5">
        <v>3546.3999999999996</v>
      </c>
    </row>
    <row x14ac:dyDescent="0.25" r="22" customHeight="1" ht="18.75">
      <c r="A22" s="4" t="s">
        <v>130</v>
      </c>
      <c r="B22" s="2" t="s">
        <v>43</v>
      </c>
      <c r="C22" s="2" t="s">
        <v>44</v>
      </c>
      <c r="D22" s="11">
        <v>22</v>
      </c>
      <c r="E22" s="19">
        <v>25.8</v>
      </c>
      <c r="F22" s="19">
        <v>7.5</v>
      </c>
      <c r="G22" s="19">
        <v>36.5</v>
      </c>
      <c r="H22" s="19">
        <v>5.8</v>
      </c>
      <c r="I22" s="19">
        <v>57.1</v>
      </c>
      <c r="J22" s="11">
        <v>4</v>
      </c>
      <c r="K22" s="5">
        <v>2.28</v>
      </c>
      <c r="L22" s="4">
        <v>1983</v>
      </c>
      <c r="M22" s="5">
        <v>317.9</v>
      </c>
      <c r="N22" s="5">
        <v>0.041</v>
      </c>
      <c r="O22" s="5">
        <v>0.039</v>
      </c>
      <c r="P22" s="5">
        <v>0.296</v>
      </c>
      <c r="Q22" s="5">
        <v>0.064</v>
      </c>
      <c r="R22" s="5">
        <v>29669.600000000002</v>
      </c>
      <c r="S22" s="5">
        <v>149.18</v>
      </c>
      <c r="T22" s="5">
        <v>3596.8</v>
      </c>
    </row>
    <row x14ac:dyDescent="0.25" r="23" customHeight="1" ht="18.75">
      <c r="A23" s="4" t="s">
        <v>131</v>
      </c>
      <c r="B23" s="2" t="s">
        <v>45</v>
      </c>
      <c r="C23" s="2" t="s">
        <v>46</v>
      </c>
      <c r="D23" s="11">
        <v>22</v>
      </c>
      <c r="E23" s="11">
        <v>25</v>
      </c>
      <c r="F23" s="19">
        <v>7.54</v>
      </c>
      <c r="G23" s="11">
        <v>38</v>
      </c>
      <c r="H23" s="11">
        <v>5</v>
      </c>
      <c r="I23" s="11">
        <v>57</v>
      </c>
      <c r="J23" s="11">
        <v>9</v>
      </c>
      <c r="K23" s="5">
        <v>2.66</v>
      </c>
      <c r="L23" s="4">
        <v>1981</v>
      </c>
      <c r="M23" s="4">
        <v>318</v>
      </c>
      <c r="N23" s="5">
        <v>0.039</v>
      </c>
      <c r="O23" s="5">
        <v>0.039</v>
      </c>
      <c r="P23" s="5">
        <v>0.312</v>
      </c>
      <c r="Q23" s="5">
        <v>0.065</v>
      </c>
      <c r="R23" s="5">
        <v>29669.600000000002</v>
      </c>
      <c r="S23" s="5">
        <v>148.22</v>
      </c>
      <c r="T23" s="5">
        <v>3590.4000000000005</v>
      </c>
    </row>
    <row x14ac:dyDescent="0.25" r="24" customHeight="1" ht="18.75">
      <c r="A24" s="4" t="s">
        <v>132</v>
      </c>
      <c r="B24" s="2" t="s">
        <v>47</v>
      </c>
      <c r="C24" s="2" t="s">
        <v>48</v>
      </c>
      <c r="D24" s="11">
        <v>22</v>
      </c>
      <c r="E24" s="11">
        <v>22</v>
      </c>
      <c r="F24" s="19">
        <v>7.51</v>
      </c>
      <c r="G24" s="19">
        <v>34.7</v>
      </c>
      <c r="H24" s="19">
        <v>3.5</v>
      </c>
      <c r="I24" s="19">
        <v>56.9</v>
      </c>
      <c r="J24" s="11">
        <v>10</v>
      </c>
      <c r="K24" s="5">
        <v>2.45</v>
      </c>
      <c r="L24" s="4">
        <v>1984</v>
      </c>
      <c r="M24" s="5">
        <v>310.2</v>
      </c>
      <c r="N24" s="5">
        <v>0.036</v>
      </c>
      <c r="O24" s="5">
        <v>0.039</v>
      </c>
      <c r="P24" s="5">
        <v>0.307</v>
      </c>
      <c r="Q24" s="5">
        <v>0.069</v>
      </c>
      <c r="R24" s="5">
        <v>29669.600000000002</v>
      </c>
      <c r="S24" s="4">
        <v>139</v>
      </c>
      <c r="T24" s="5">
        <v>3597.6</v>
      </c>
    </row>
    <row x14ac:dyDescent="0.25" r="25" customHeight="1" ht="18.75">
      <c r="A25" s="4" t="s">
        <v>133</v>
      </c>
      <c r="B25" s="2" t="s">
        <v>49</v>
      </c>
      <c r="C25" s="2" t="s">
        <v>50</v>
      </c>
      <c r="D25" s="11">
        <v>22</v>
      </c>
      <c r="E25" s="19">
        <v>20.9</v>
      </c>
      <c r="F25" s="19">
        <v>7.48</v>
      </c>
      <c r="G25" s="19">
        <v>36.4</v>
      </c>
      <c r="H25" s="19">
        <v>4.5</v>
      </c>
      <c r="I25" s="19">
        <v>55.8</v>
      </c>
      <c r="J25" s="19">
        <v>12.1</v>
      </c>
      <c r="K25" s="5">
        <v>2.51</v>
      </c>
      <c r="L25" s="4">
        <v>1985</v>
      </c>
      <c r="M25" s="5">
        <v>311.8</v>
      </c>
      <c r="N25" s="5">
        <v>0.04</v>
      </c>
      <c r="O25" s="5">
        <v>0.039</v>
      </c>
      <c r="P25" s="5">
        <v>0.311</v>
      </c>
      <c r="Q25" s="5">
        <v>0.068</v>
      </c>
      <c r="R25" s="5">
        <v>29669.600000000002</v>
      </c>
      <c r="S25" s="5">
        <v>140.8</v>
      </c>
      <c r="T25" s="5">
        <v>3534.4</v>
      </c>
    </row>
    <row x14ac:dyDescent="0.25" r="26" customHeight="1" ht="18.75">
      <c r="A26" s="4" t="s">
        <v>134</v>
      </c>
      <c r="B26" s="2" t="s">
        <v>51</v>
      </c>
      <c r="C26" s="2" t="s">
        <v>52</v>
      </c>
      <c r="D26" s="11">
        <v>25</v>
      </c>
      <c r="E26" s="19">
        <v>26.7</v>
      </c>
      <c r="F26" s="19">
        <v>7.63</v>
      </c>
      <c r="G26" s="19">
        <v>36.3</v>
      </c>
      <c r="H26" s="19">
        <v>7.4</v>
      </c>
      <c r="I26" s="19">
        <v>59.2</v>
      </c>
      <c r="J26" s="11">
        <v>12</v>
      </c>
      <c r="K26" s="5">
        <v>2.63</v>
      </c>
      <c r="L26" s="4">
        <v>1989</v>
      </c>
      <c r="M26" s="5">
        <v>319.3</v>
      </c>
      <c r="N26" s="5">
        <v>0.041</v>
      </c>
      <c r="O26" s="5">
        <v>0.039</v>
      </c>
      <c r="P26" s="5">
        <v>0.288</v>
      </c>
      <c r="Q26" s="5">
        <v>0.066</v>
      </c>
      <c r="R26" s="5">
        <v>31787.2</v>
      </c>
      <c r="S26" s="5">
        <v>139.9</v>
      </c>
      <c r="T26" s="4">
        <v>3564</v>
      </c>
    </row>
    <row x14ac:dyDescent="0.25" r="27" customHeight="1" ht="18.75">
      <c r="A27" s="4" t="s">
        <v>135</v>
      </c>
      <c r="B27" s="2" t="s">
        <v>53</v>
      </c>
      <c r="C27" s="2" t="s">
        <v>54</v>
      </c>
      <c r="D27" s="11">
        <v>25</v>
      </c>
      <c r="E27" s="19">
        <v>26.7</v>
      </c>
      <c r="F27" s="19">
        <v>7.68</v>
      </c>
      <c r="G27" s="19">
        <v>37.6</v>
      </c>
      <c r="H27" s="19">
        <v>7.1</v>
      </c>
      <c r="I27" s="19">
        <v>59.5</v>
      </c>
      <c r="J27" s="19">
        <v>10.6</v>
      </c>
      <c r="K27" s="5">
        <v>2.47</v>
      </c>
      <c r="L27" s="4">
        <v>1974</v>
      </c>
      <c r="M27" s="5">
        <v>312.8</v>
      </c>
      <c r="N27" s="5">
        <v>0.039</v>
      </c>
      <c r="O27" s="5">
        <v>0.039</v>
      </c>
      <c r="P27" s="5">
        <v>0.276</v>
      </c>
      <c r="Q27" s="5">
        <v>0.065</v>
      </c>
      <c r="R27" s="4">
        <v>30492</v>
      </c>
      <c r="S27" s="5">
        <v>138.9</v>
      </c>
      <c r="T27" s="5">
        <v>3886.3999999999996</v>
      </c>
    </row>
    <row x14ac:dyDescent="0.25" r="28" customHeight="1" ht="18.75">
      <c r="A28" s="4" t="s">
        <v>136</v>
      </c>
      <c r="B28" s="2" t="s">
        <v>55</v>
      </c>
      <c r="C28" s="2" t="s">
        <v>56</v>
      </c>
      <c r="D28" s="11">
        <v>25</v>
      </c>
      <c r="E28" s="19">
        <v>26.17</v>
      </c>
      <c r="F28" s="19">
        <v>7.78</v>
      </c>
      <c r="G28" s="19">
        <v>38.6</v>
      </c>
      <c r="H28" s="19">
        <v>5.3</v>
      </c>
      <c r="I28" s="19">
        <v>56.9</v>
      </c>
      <c r="J28" s="11">
        <v>10</v>
      </c>
      <c r="K28" s="5">
        <v>2.68</v>
      </c>
      <c r="L28" s="4">
        <v>1942</v>
      </c>
      <c r="M28" s="5">
        <v>311.2</v>
      </c>
      <c r="N28" s="5">
        <v>0.038</v>
      </c>
      <c r="O28" s="5">
        <v>0.039</v>
      </c>
      <c r="P28" s="5">
        <v>0.281</v>
      </c>
      <c r="Q28" s="5">
        <v>0.063</v>
      </c>
      <c r="R28" s="5">
        <v>27616.8</v>
      </c>
      <c r="S28" s="5">
        <v>136.75</v>
      </c>
      <c r="T28" s="5">
        <v>3526.4</v>
      </c>
    </row>
    <row x14ac:dyDescent="0.25" r="29" customHeight="1" ht="18.75">
      <c r="A29" s="4" t="s">
        <v>137</v>
      </c>
      <c r="B29" s="2" t="s">
        <v>57</v>
      </c>
      <c r="C29" s="2" t="s">
        <v>58</v>
      </c>
      <c r="D29" s="11">
        <v>25</v>
      </c>
      <c r="E29" s="19">
        <v>26.4</v>
      </c>
      <c r="F29" s="19">
        <v>7.66</v>
      </c>
      <c r="G29" s="11">
        <v>37</v>
      </c>
      <c r="H29" s="19">
        <v>6.2</v>
      </c>
      <c r="I29" s="19">
        <v>57.4</v>
      </c>
      <c r="J29" s="19">
        <v>8.6</v>
      </c>
      <c r="K29" s="5">
        <v>2.57</v>
      </c>
      <c r="L29" s="4">
        <v>1903</v>
      </c>
      <c r="M29" s="5">
        <v>300.1</v>
      </c>
      <c r="N29" s="5">
        <v>0.037</v>
      </c>
      <c r="O29" s="5">
        <v>0.039</v>
      </c>
      <c r="P29" s="5">
        <v>0.268</v>
      </c>
      <c r="Q29" s="5">
        <v>0.061</v>
      </c>
      <c r="R29" s="5">
        <v>29572.000000000004</v>
      </c>
      <c r="S29" s="4">
        <v>140</v>
      </c>
      <c r="T29" s="4">
        <v>3692</v>
      </c>
    </row>
    <row x14ac:dyDescent="0.25" r="30" customHeight="1" ht="18.75">
      <c r="A30" s="4" t="s">
        <v>138</v>
      </c>
      <c r="B30" s="2" t="s">
        <v>59</v>
      </c>
      <c r="C30" s="2" t="s">
        <v>60</v>
      </c>
      <c r="D30" s="11">
        <v>25</v>
      </c>
      <c r="E30" s="19">
        <v>26.7</v>
      </c>
      <c r="F30" s="19">
        <v>7.67</v>
      </c>
      <c r="G30" s="19">
        <v>38.1</v>
      </c>
      <c r="H30" s="19">
        <v>5.9</v>
      </c>
      <c r="I30" s="19">
        <v>60.3</v>
      </c>
      <c r="J30" s="19">
        <v>8.6</v>
      </c>
      <c r="K30" s="5">
        <v>2.61</v>
      </c>
      <c r="L30" s="4">
        <v>1914</v>
      </c>
      <c r="M30" s="5">
        <v>305.6</v>
      </c>
      <c r="N30" s="5">
        <v>0.037</v>
      </c>
      <c r="O30" s="5">
        <v>0.039</v>
      </c>
      <c r="P30" s="5">
        <v>0.193</v>
      </c>
      <c r="Q30" s="5">
        <v>0.062</v>
      </c>
      <c r="R30" s="5">
        <v>30349.6</v>
      </c>
      <c r="S30" s="5">
        <v>207.20000000000002</v>
      </c>
      <c r="T30" s="5">
        <v>3811.9999999999995</v>
      </c>
    </row>
    <row x14ac:dyDescent="0.25" r="31" customHeight="1" ht="18.75">
      <c r="A31" s="4" t="s">
        <v>139</v>
      </c>
      <c r="B31" s="2" t="s">
        <v>61</v>
      </c>
      <c r="C31" s="2" t="s">
        <v>62</v>
      </c>
      <c r="D31" s="11">
        <v>25</v>
      </c>
      <c r="E31" s="19">
        <v>26.12</v>
      </c>
      <c r="F31" s="19">
        <v>7.6</v>
      </c>
      <c r="G31" s="19">
        <v>38.2</v>
      </c>
      <c r="H31" s="19">
        <v>5.9</v>
      </c>
      <c r="I31" s="19">
        <v>60.6</v>
      </c>
      <c r="J31" s="19">
        <v>8.6</v>
      </c>
      <c r="K31" s="5">
        <v>2.69</v>
      </c>
      <c r="L31" s="4">
        <v>1918</v>
      </c>
      <c r="M31" s="5">
        <v>304.2</v>
      </c>
      <c r="N31" s="5">
        <v>0.039</v>
      </c>
      <c r="O31" s="5">
        <v>0.039</v>
      </c>
      <c r="P31" s="5">
        <v>0.231</v>
      </c>
      <c r="Q31" s="5">
        <v>0.067</v>
      </c>
      <c r="R31" s="5">
        <v>30814.4</v>
      </c>
      <c r="S31" s="5">
        <v>124.8</v>
      </c>
      <c r="T31" s="5">
        <v>3839.2000000000003</v>
      </c>
    </row>
    <row x14ac:dyDescent="0.25" r="32" customHeight="1" ht="18.75">
      <c r="A32" s="20" t="s">
        <v>140</v>
      </c>
      <c r="B32" s="2" t="s">
        <v>63</v>
      </c>
      <c r="C32" s="2" t="s">
        <v>64</v>
      </c>
      <c r="D32" s="11">
        <v>35</v>
      </c>
      <c r="E32" s="19">
        <v>26.14</v>
      </c>
      <c r="F32" s="19">
        <v>7.61</v>
      </c>
      <c r="G32" s="11">
        <v>38</v>
      </c>
      <c r="H32" s="19">
        <v>5.8</v>
      </c>
      <c r="I32" s="19">
        <v>60.4</v>
      </c>
      <c r="J32" s="19">
        <v>8.5</v>
      </c>
      <c r="K32" s="5">
        <v>2.44</v>
      </c>
      <c r="L32" s="4">
        <v>1916</v>
      </c>
      <c r="M32" s="5">
        <v>304.6</v>
      </c>
      <c r="N32" s="5">
        <v>0.038</v>
      </c>
      <c r="O32" s="5">
        <v>0.039</v>
      </c>
      <c r="P32" s="5">
        <v>0.21</v>
      </c>
      <c r="Q32" s="5">
        <v>0.062</v>
      </c>
      <c r="R32" s="4">
        <v>31468</v>
      </c>
      <c r="S32" s="5">
        <v>124.8</v>
      </c>
      <c r="T32" s="5">
        <v>3849.6000000000004</v>
      </c>
    </row>
    <row x14ac:dyDescent="0.25" r="33" customHeight="1" ht="18.75">
      <c r="A33" s="20" t="s">
        <v>140</v>
      </c>
      <c r="B33" s="2" t="s">
        <v>65</v>
      </c>
      <c r="C33" s="5">
        <v>9.821</v>
      </c>
      <c r="D33" s="11">
        <v>25</v>
      </c>
      <c r="E33" s="11">
        <v>26</v>
      </c>
      <c r="F33" s="19">
        <v>7.65</v>
      </c>
      <c r="G33" s="19">
        <v>36.7</v>
      </c>
      <c r="H33" s="19">
        <v>6.8</v>
      </c>
      <c r="I33" s="19">
        <v>59.2</v>
      </c>
      <c r="J33" s="19">
        <v>3.5</v>
      </c>
      <c r="K33" s="5">
        <v>2.3</v>
      </c>
      <c r="L33" s="4">
        <v>1944</v>
      </c>
      <c r="M33" s="5">
        <v>308.4</v>
      </c>
      <c r="N33" s="5">
        <v>0.035</v>
      </c>
      <c r="O33" s="5">
        <v>0.039</v>
      </c>
      <c r="P33" s="5">
        <v>0.232</v>
      </c>
      <c r="Q33" s="5">
        <v>0.06</v>
      </c>
      <c r="R33" s="4">
        <v>31469</v>
      </c>
      <c r="S33" s="5">
        <v>150.4</v>
      </c>
      <c r="T33" s="4">
        <v>3840</v>
      </c>
    </row>
    <row x14ac:dyDescent="0.25" r="34" customHeight="1" ht="18.75">
      <c r="A34" s="20" t="s">
        <v>140</v>
      </c>
      <c r="B34" s="2" t="s">
        <v>66</v>
      </c>
      <c r="C34" s="2" t="s">
        <v>67</v>
      </c>
      <c r="D34" s="11">
        <v>25</v>
      </c>
      <c r="E34" s="19">
        <v>25.89</v>
      </c>
      <c r="F34" s="19">
        <v>7.6</v>
      </c>
      <c r="G34" s="19">
        <v>37.4</v>
      </c>
      <c r="H34" s="19">
        <v>6.93</v>
      </c>
      <c r="I34" s="19">
        <v>59.8</v>
      </c>
      <c r="J34" s="19">
        <v>2.3</v>
      </c>
      <c r="K34" s="5">
        <v>2.31</v>
      </c>
      <c r="L34" s="4">
        <v>1930</v>
      </c>
      <c r="M34" s="5">
        <v>308.4</v>
      </c>
      <c r="N34" s="5">
        <v>0.036</v>
      </c>
      <c r="O34" s="5">
        <v>0.039</v>
      </c>
      <c r="P34" s="5">
        <v>0.191</v>
      </c>
      <c r="Q34" s="5">
        <v>0.061</v>
      </c>
      <c r="R34" s="4">
        <v>31568</v>
      </c>
      <c r="S34" s="4">
        <v>144</v>
      </c>
      <c r="T34" s="4">
        <v>3904</v>
      </c>
    </row>
    <row x14ac:dyDescent="0.25" r="35" customHeight="1" ht="18.75">
      <c r="A35" s="20" t="s">
        <v>140</v>
      </c>
      <c r="B35" s="2" t="s">
        <v>68</v>
      </c>
      <c r="C35" s="2" t="s">
        <v>69</v>
      </c>
      <c r="D35" s="11">
        <v>25</v>
      </c>
      <c r="E35" s="19">
        <v>25.8</v>
      </c>
      <c r="F35" s="19">
        <v>7.6</v>
      </c>
      <c r="G35" s="19">
        <v>37.3</v>
      </c>
      <c r="H35" s="19">
        <v>6.9</v>
      </c>
      <c r="I35" s="19">
        <v>59.7</v>
      </c>
      <c r="J35" s="19">
        <v>2.5</v>
      </c>
      <c r="K35" s="5">
        <v>2.27</v>
      </c>
      <c r="L35" s="4">
        <v>1985</v>
      </c>
      <c r="M35" s="5">
        <v>313.3</v>
      </c>
      <c r="N35" s="5">
        <v>0.033</v>
      </c>
      <c r="O35" s="5">
        <v>0.039</v>
      </c>
      <c r="P35" s="5">
        <v>0.101</v>
      </c>
      <c r="Q35" s="5">
        <v>0.061</v>
      </c>
      <c r="R35" s="4">
        <v>31546</v>
      </c>
      <c r="S35" s="4">
        <v>120</v>
      </c>
      <c r="T35" s="4">
        <v>3560</v>
      </c>
    </row>
    <row x14ac:dyDescent="0.25" r="36" customHeight="1" ht="18.75">
      <c r="A36" s="20" t="s">
        <v>140</v>
      </c>
      <c r="B36" s="2" t="s">
        <v>70</v>
      </c>
      <c r="C36" s="2" t="s">
        <v>71</v>
      </c>
      <c r="D36" s="11">
        <v>25</v>
      </c>
      <c r="E36" s="19">
        <v>25.97</v>
      </c>
      <c r="F36" s="19">
        <v>7.57</v>
      </c>
      <c r="G36" s="19">
        <v>38.6</v>
      </c>
      <c r="H36" s="19">
        <v>5.8</v>
      </c>
      <c r="I36" s="19">
        <v>61.4</v>
      </c>
      <c r="J36" s="19">
        <v>4.6</v>
      </c>
      <c r="K36" s="5">
        <v>2.67</v>
      </c>
      <c r="L36" s="4">
        <v>1952</v>
      </c>
      <c r="M36" s="5">
        <v>308.3</v>
      </c>
      <c r="N36" s="5">
        <v>0.032</v>
      </c>
      <c r="O36" s="5">
        <v>0.039</v>
      </c>
      <c r="P36" s="5">
        <v>0.101</v>
      </c>
      <c r="Q36" s="5">
        <v>0.065</v>
      </c>
      <c r="R36" s="4">
        <v>31695</v>
      </c>
      <c r="S36" s="4">
        <v>104</v>
      </c>
      <c r="T36" s="4">
        <v>3456</v>
      </c>
    </row>
    <row x14ac:dyDescent="0.25" r="37" customHeight="1" ht="18.75">
      <c r="A37" s="20" t="s">
        <v>140</v>
      </c>
      <c r="B37" s="2" t="s">
        <v>72</v>
      </c>
      <c r="C37" s="2" t="s">
        <v>73</v>
      </c>
      <c r="D37" s="11">
        <v>25</v>
      </c>
      <c r="E37" s="19">
        <v>26.19</v>
      </c>
      <c r="F37" s="19">
        <v>7.65</v>
      </c>
      <c r="G37" s="19">
        <v>38.9</v>
      </c>
      <c r="H37" s="19">
        <v>6.3</v>
      </c>
      <c r="I37" s="19">
        <v>61.9</v>
      </c>
      <c r="J37" s="19">
        <v>3.3</v>
      </c>
      <c r="K37" s="5">
        <v>2.94</v>
      </c>
      <c r="L37" s="4">
        <v>1936</v>
      </c>
      <c r="M37" s="5">
        <v>309.3</v>
      </c>
      <c r="N37" s="5">
        <v>0.038</v>
      </c>
      <c r="O37" s="5">
        <v>0.039</v>
      </c>
      <c r="P37" s="5">
        <v>0.101</v>
      </c>
      <c r="Q37" s="5">
        <v>0.067</v>
      </c>
      <c r="R37" s="4">
        <v>31564</v>
      </c>
      <c r="S37" s="5">
        <v>112.79999999999998</v>
      </c>
      <c r="T37" s="5">
        <v>3511.9999999999995</v>
      </c>
    </row>
    <row x14ac:dyDescent="0.25" r="38" customHeight="1" ht="18.75">
      <c r="A38" s="20" t="s">
        <v>140</v>
      </c>
      <c r="B38" s="5">
        <v>371.583</v>
      </c>
      <c r="C38" s="2" t="s">
        <v>74</v>
      </c>
      <c r="D38" s="11">
        <v>25</v>
      </c>
      <c r="E38" s="19">
        <v>26.24</v>
      </c>
      <c r="F38" s="19">
        <v>7.63</v>
      </c>
      <c r="G38" s="11">
        <v>39</v>
      </c>
      <c r="H38" s="19">
        <v>5.6</v>
      </c>
      <c r="I38" s="19">
        <v>61.8</v>
      </c>
      <c r="J38" s="19">
        <v>4.9</v>
      </c>
      <c r="K38" s="5">
        <v>2.88</v>
      </c>
      <c r="L38" s="4">
        <v>1933</v>
      </c>
      <c r="M38" s="5">
        <v>306.3</v>
      </c>
      <c r="N38" s="5">
        <v>0.038</v>
      </c>
      <c r="O38" s="5">
        <v>0.039</v>
      </c>
      <c r="P38" s="5">
        <v>0.105</v>
      </c>
      <c r="Q38" s="5">
        <v>0.068</v>
      </c>
      <c r="R38" s="4">
        <v>31564</v>
      </c>
      <c r="S38" s="5">
        <v>105.60000000000001</v>
      </c>
      <c r="T38" s="4">
        <v>3824</v>
      </c>
    </row>
    <row x14ac:dyDescent="0.25" r="39" customHeight="1" ht="18.75">
      <c r="A39" s="20" t="s">
        <v>140</v>
      </c>
      <c r="B39" s="2" t="s">
        <v>75</v>
      </c>
      <c r="C39" s="2" t="s">
        <v>76</v>
      </c>
      <c r="D39" s="11">
        <v>25</v>
      </c>
      <c r="E39" s="19">
        <v>26.34</v>
      </c>
      <c r="F39" s="19">
        <v>7.59</v>
      </c>
      <c r="G39" s="19">
        <v>38.3</v>
      </c>
      <c r="H39" s="19">
        <v>5.4</v>
      </c>
      <c r="I39" s="19">
        <v>59.8</v>
      </c>
      <c r="J39" s="19">
        <v>4.5</v>
      </c>
      <c r="K39" s="5">
        <v>2.69</v>
      </c>
      <c r="L39" s="4">
        <v>1932</v>
      </c>
      <c r="M39" s="5">
        <v>311.6</v>
      </c>
      <c r="N39" s="5">
        <v>0.034</v>
      </c>
      <c r="O39" s="5">
        <v>0.039</v>
      </c>
      <c r="P39" s="5">
        <v>0.124</v>
      </c>
      <c r="Q39" s="5">
        <v>0.064</v>
      </c>
      <c r="R39" s="4">
        <v>31566</v>
      </c>
      <c r="S39" s="4">
        <v>104</v>
      </c>
      <c r="T39" s="5">
        <v>3752.0000000000005</v>
      </c>
    </row>
    <row x14ac:dyDescent="0.25" r="40" customHeight="1" ht="18.75">
      <c r="A40" s="20" t="s">
        <v>140</v>
      </c>
      <c r="B40" s="2" t="s">
        <v>77</v>
      </c>
      <c r="C40" s="2" t="s">
        <v>78</v>
      </c>
      <c r="D40" s="11">
        <v>25</v>
      </c>
      <c r="E40" s="19">
        <v>26.22</v>
      </c>
      <c r="F40" s="19">
        <v>7.61</v>
      </c>
      <c r="G40" s="19">
        <v>38.9</v>
      </c>
      <c r="H40" s="19">
        <v>6.2</v>
      </c>
      <c r="I40" s="19">
        <v>60.3</v>
      </c>
      <c r="J40" s="19">
        <v>4.2</v>
      </c>
      <c r="K40" s="5">
        <v>2.42</v>
      </c>
      <c r="L40" s="4">
        <v>1941</v>
      </c>
      <c r="M40" s="5">
        <v>312.8</v>
      </c>
      <c r="N40" s="5">
        <v>0.036</v>
      </c>
      <c r="O40" s="5">
        <v>0.039</v>
      </c>
      <c r="P40" s="5">
        <v>0.141</v>
      </c>
      <c r="Q40" s="5">
        <v>0.065</v>
      </c>
      <c r="R40" s="4">
        <v>31564</v>
      </c>
      <c r="S40" s="4">
        <v>96</v>
      </c>
      <c r="T40" s="4">
        <v>3824</v>
      </c>
    </row>
    <row x14ac:dyDescent="0.25" r="41" customHeight="1" ht="18.75">
      <c r="A41" s="20" t="s">
        <v>140</v>
      </c>
      <c r="B41" s="2" t="s">
        <v>79</v>
      </c>
      <c r="C41" s="2" t="s">
        <v>80</v>
      </c>
      <c r="D41" s="11">
        <v>25</v>
      </c>
      <c r="E41" s="19">
        <v>26.24</v>
      </c>
      <c r="F41" s="19">
        <v>7.64</v>
      </c>
      <c r="G41" s="11">
        <v>37</v>
      </c>
      <c r="H41" s="19">
        <v>5.6</v>
      </c>
      <c r="I41" s="19">
        <v>59.8</v>
      </c>
      <c r="J41" s="19">
        <v>3.9</v>
      </c>
      <c r="K41" s="5">
        <v>1.83</v>
      </c>
      <c r="L41" s="4">
        <v>1952</v>
      </c>
      <c r="M41" s="5">
        <v>315.9</v>
      </c>
      <c r="N41" s="5">
        <v>0.039</v>
      </c>
      <c r="O41" s="5">
        <v>0.039</v>
      </c>
      <c r="P41" s="5">
        <v>0.121</v>
      </c>
      <c r="Q41" s="5">
        <v>0.067</v>
      </c>
      <c r="R41" s="4">
        <v>31556</v>
      </c>
      <c r="S41" s="4">
        <v>88</v>
      </c>
      <c r="T41" s="4">
        <v>3960</v>
      </c>
    </row>
    <row x14ac:dyDescent="0.25" r="42" customHeight="1" ht="18.75">
      <c r="A42" s="4"/>
      <c r="B42" s="2" t="s">
        <v>81</v>
      </c>
      <c r="C42" s="2" t="s">
        <v>82</v>
      </c>
      <c r="D42" s="11">
        <v>25</v>
      </c>
      <c r="E42" s="11">
        <v>22</v>
      </c>
      <c r="F42" s="19">
        <v>7.5</v>
      </c>
      <c r="G42" s="19">
        <v>3.64</v>
      </c>
      <c r="H42" s="19">
        <v>3.6</v>
      </c>
      <c r="I42" s="19">
        <v>54.8</v>
      </c>
      <c r="J42" s="11">
        <v>4</v>
      </c>
      <c r="K42" s="5">
        <v>1.93</v>
      </c>
      <c r="L42" s="4">
        <v>1953</v>
      </c>
      <c r="M42" s="5">
        <v>317.8</v>
      </c>
      <c r="N42" s="5">
        <v>0.034</v>
      </c>
      <c r="O42" s="5">
        <v>0.039</v>
      </c>
      <c r="P42" s="5">
        <v>0.109</v>
      </c>
      <c r="Q42" s="5">
        <v>0.069</v>
      </c>
      <c r="R42" s="4">
        <v>31564</v>
      </c>
      <c r="S42" s="5">
        <v>100.8</v>
      </c>
      <c r="T42" s="5">
        <v>3647.9999999999995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46"/>
  <sheetViews>
    <sheetView workbookViewId="0"/>
  </sheetViews>
  <sheetFormatPr defaultRowHeight="15" x14ac:dyDescent="0.25"/>
  <cols>
    <col min="1" max="1" style="6" width="17.719285714285714" customWidth="1" bestFit="1"/>
    <col min="2" max="2" style="7" width="17.719285714285714" customWidth="1" bestFit="1"/>
    <col min="3" max="3" style="7" width="17.719285714285714" customWidth="1" bestFit="1"/>
    <col min="4" max="4" style="18" width="13.576428571428572" customWidth="1" bestFit="1"/>
    <col min="5" max="5" style="18" width="13.576428571428572" customWidth="1" bestFit="1"/>
    <col min="6" max="6" style="18" width="13.576428571428572" customWidth="1" bestFit="1"/>
    <col min="7" max="7" style="18" width="13.576428571428572" customWidth="1" bestFit="1"/>
  </cols>
  <sheetData>
    <row x14ac:dyDescent="0.25" r="1" customHeight="1" ht="18.75">
      <c r="A1" s="1" t="s">
        <v>87</v>
      </c>
      <c r="B1" s="2" t="s">
        <v>1</v>
      </c>
      <c r="C1" s="2" t="s">
        <v>2</v>
      </c>
      <c r="D1" s="16" t="s">
        <v>97</v>
      </c>
      <c r="E1" s="16" t="s">
        <v>98</v>
      </c>
      <c r="F1" s="16" t="s">
        <v>99</v>
      </c>
      <c r="G1" s="16" t="s">
        <v>100</v>
      </c>
    </row>
    <row x14ac:dyDescent="0.25" r="2" customHeight="1" ht="18.75">
      <c r="A2" s="4">
        <v>1</v>
      </c>
      <c r="B2" s="2" t="s">
        <v>7</v>
      </c>
      <c r="C2" s="2" t="s">
        <v>8</v>
      </c>
      <c r="D2" s="5">
        <v>0.045</v>
      </c>
      <c r="E2" s="5">
        <v>0.034</v>
      </c>
      <c r="F2" s="5">
        <v>0.268</v>
      </c>
      <c r="G2" s="4">
        <v>0</v>
      </c>
    </row>
    <row x14ac:dyDescent="0.25" r="3" customHeight="1" ht="18.75">
      <c r="A3" s="4">
        <v>2</v>
      </c>
      <c r="B3" s="2" t="s">
        <v>9</v>
      </c>
      <c r="C3" s="2" t="s">
        <v>10</v>
      </c>
      <c r="D3" s="5">
        <v>0.043</v>
      </c>
      <c r="E3" s="5">
        <v>0.034</v>
      </c>
      <c r="F3" s="5">
        <v>0.301</v>
      </c>
      <c r="G3" s="5">
        <v>0.063</v>
      </c>
    </row>
    <row x14ac:dyDescent="0.25" r="4" customHeight="1" ht="18.75">
      <c r="A4" s="4">
        <v>3</v>
      </c>
      <c r="B4" s="2" t="s">
        <v>11</v>
      </c>
      <c r="C4" s="2" t="s">
        <v>12</v>
      </c>
      <c r="D4" s="5">
        <v>0.042</v>
      </c>
      <c r="E4" s="5">
        <v>0.038</v>
      </c>
      <c r="F4" s="5">
        <v>0.302</v>
      </c>
      <c r="G4" s="4">
        <v>0</v>
      </c>
    </row>
    <row x14ac:dyDescent="0.25" r="5" customHeight="1" ht="18.75">
      <c r="A5" s="4">
        <v>4</v>
      </c>
      <c r="B5" s="2" t="s">
        <v>13</v>
      </c>
      <c r="C5" s="2" t="s">
        <v>14</v>
      </c>
      <c r="D5" s="5">
        <v>0.043</v>
      </c>
      <c r="E5" s="5">
        <v>0.035</v>
      </c>
      <c r="F5" s="5">
        <v>0.3</v>
      </c>
      <c r="G5" s="5">
        <v>0.066</v>
      </c>
    </row>
    <row x14ac:dyDescent="0.25" r="6" customHeight="1" ht="18.75">
      <c r="A6" s="4">
        <v>5</v>
      </c>
      <c r="B6" s="5">
        <v>37.238</v>
      </c>
      <c r="C6" s="2" t="s">
        <v>15</v>
      </c>
      <c r="D6" s="5">
        <v>0.041</v>
      </c>
      <c r="E6" s="5">
        <v>0.034</v>
      </c>
      <c r="F6" s="5">
        <v>0.307</v>
      </c>
      <c r="G6" s="5">
        <v>0.065</v>
      </c>
    </row>
    <row x14ac:dyDescent="0.25" r="7" customHeight="1" ht="18.75">
      <c r="A7" s="4">
        <v>6</v>
      </c>
      <c r="B7" s="2" t="s">
        <v>16</v>
      </c>
      <c r="C7" s="2" t="s">
        <v>17</v>
      </c>
      <c r="D7" s="5">
        <v>0.041</v>
      </c>
      <c r="E7" s="5">
        <v>0.032</v>
      </c>
      <c r="F7" s="5">
        <v>0.313</v>
      </c>
      <c r="G7" s="5">
        <v>0.063</v>
      </c>
    </row>
    <row x14ac:dyDescent="0.25" r="8" customHeight="1" ht="18.75">
      <c r="A8" s="4">
        <v>7</v>
      </c>
      <c r="B8" s="2" t="s">
        <v>18</v>
      </c>
      <c r="C8" s="2" t="s">
        <v>19</v>
      </c>
      <c r="D8" s="5">
        <v>0.042</v>
      </c>
      <c r="E8" s="5">
        <v>0.031</v>
      </c>
      <c r="F8" s="5">
        <v>0.313</v>
      </c>
      <c r="G8" s="5">
        <v>0.065</v>
      </c>
    </row>
    <row x14ac:dyDescent="0.25" r="9" customHeight="1" ht="18.75">
      <c r="A9" s="4">
        <v>8</v>
      </c>
      <c r="B9" s="2" t="s">
        <v>20</v>
      </c>
      <c r="C9" s="2" t="s">
        <v>21</v>
      </c>
      <c r="D9" s="5">
        <v>0.043</v>
      </c>
      <c r="E9" s="5">
        <v>0.032</v>
      </c>
      <c r="F9" s="5">
        <v>0.313</v>
      </c>
      <c r="G9" s="5">
        <v>0.062</v>
      </c>
    </row>
    <row x14ac:dyDescent="0.25" r="10" customHeight="1" ht="18.75">
      <c r="A10" s="4">
        <v>9</v>
      </c>
      <c r="B10" s="2" t="s">
        <v>22</v>
      </c>
      <c r="C10" s="2" t="s">
        <v>23</v>
      </c>
      <c r="D10" s="5">
        <v>0.044</v>
      </c>
      <c r="E10" s="5">
        <v>0.034</v>
      </c>
      <c r="F10" s="5">
        <v>0.316</v>
      </c>
      <c r="G10" s="5">
        <v>0.061</v>
      </c>
    </row>
    <row x14ac:dyDescent="0.25" r="11" customHeight="1" ht="18.75">
      <c r="A11" s="4">
        <v>10</v>
      </c>
      <c r="B11" s="2" t="s">
        <v>24</v>
      </c>
      <c r="C11" s="2" t="s">
        <v>25</v>
      </c>
      <c r="D11" s="5">
        <v>0.041</v>
      </c>
      <c r="E11" s="5">
        <v>0.036</v>
      </c>
      <c r="F11" s="5">
        <v>0.314</v>
      </c>
      <c r="G11" s="5">
        <v>0.059</v>
      </c>
    </row>
    <row x14ac:dyDescent="0.25" r="12" customHeight="1" ht="18.75">
      <c r="A12" s="4">
        <v>11</v>
      </c>
      <c r="B12" s="2" t="s">
        <v>26</v>
      </c>
      <c r="C12" s="2" t="s">
        <v>27</v>
      </c>
      <c r="D12" s="5">
        <v>0.038</v>
      </c>
      <c r="E12" s="5">
        <v>0.039</v>
      </c>
      <c r="F12" s="5">
        <v>0.303</v>
      </c>
      <c r="G12" s="5">
        <v>0.051</v>
      </c>
    </row>
    <row x14ac:dyDescent="0.25" r="13" customHeight="1" ht="18.75">
      <c r="A13" s="4">
        <v>12</v>
      </c>
      <c r="B13" s="2" t="s">
        <v>26</v>
      </c>
      <c r="C13" s="5">
        <v>985.885</v>
      </c>
      <c r="D13" s="5">
        <v>0.039</v>
      </c>
      <c r="E13" s="5">
        <v>0.039</v>
      </c>
      <c r="F13" s="5">
        <v>0.307</v>
      </c>
      <c r="G13" s="5">
        <v>0.051</v>
      </c>
    </row>
    <row x14ac:dyDescent="0.25" r="14" customHeight="1" ht="18.75">
      <c r="A14" s="4">
        <v>13</v>
      </c>
      <c r="B14" s="2" t="s">
        <v>28</v>
      </c>
      <c r="C14" s="2" t="s">
        <v>29</v>
      </c>
      <c r="D14" s="5">
        <v>0.039</v>
      </c>
      <c r="E14" s="5">
        <v>0.039</v>
      </c>
      <c r="F14" s="5">
        <v>0.31</v>
      </c>
      <c r="G14" s="5">
        <v>0.051</v>
      </c>
    </row>
    <row x14ac:dyDescent="0.25" r="15" customHeight="1" ht="18.75">
      <c r="A15" s="4">
        <v>14</v>
      </c>
      <c r="B15" s="2" t="s">
        <v>30</v>
      </c>
      <c r="C15" s="2" t="s">
        <v>31</v>
      </c>
      <c r="D15" s="5">
        <v>0.037</v>
      </c>
      <c r="E15" s="5">
        <v>0.039</v>
      </c>
      <c r="F15" s="5">
        <v>0.313</v>
      </c>
      <c r="G15" s="5">
        <v>0.062</v>
      </c>
    </row>
    <row x14ac:dyDescent="0.25" r="16" customHeight="1" ht="18.75">
      <c r="A16" s="4">
        <v>15</v>
      </c>
      <c r="B16" s="2" t="s">
        <v>32</v>
      </c>
      <c r="C16" s="5">
        <v>99.142</v>
      </c>
      <c r="D16" s="5">
        <v>0.041</v>
      </c>
      <c r="E16" s="5">
        <v>0.039</v>
      </c>
      <c r="F16" s="5">
        <v>0.279</v>
      </c>
      <c r="G16" s="5">
        <v>0.066</v>
      </c>
    </row>
    <row x14ac:dyDescent="0.25" r="17" customHeight="1" ht="18.75">
      <c r="A17" s="4">
        <v>16</v>
      </c>
      <c r="B17" s="2" t="s">
        <v>33</v>
      </c>
      <c r="C17" s="2" t="s">
        <v>34</v>
      </c>
      <c r="D17" s="5">
        <v>0.041</v>
      </c>
      <c r="E17" s="5">
        <v>0.039</v>
      </c>
      <c r="F17" s="5">
        <v>0.299</v>
      </c>
      <c r="G17" s="5">
        <v>0.066</v>
      </c>
    </row>
    <row x14ac:dyDescent="0.25" r="18" customHeight="1" ht="18.75">
      <c r="A18" s="4">
        <v>17</v>
      </c>
      <c r="B18" s="2" t="s">
        <v>35</v>
      </c>
      <c r="C18" s="2" t="s">
        <v>36</v>
      </c>
      <c r="D18" s="5">
        <v>0.042</v>
      </c>
      <c r="E18" s="5">
        <v>0.039</v>
      </c>
      <c r="F18" s="5">
        <v>0.289</v>
      </c>
      <c r="G18" s="5">
        <v>0.061</v>
      </c>
    </row>
    <row x14ac:dyDescent="0.25" r="19" customHeight="1" ht="18.75">
      <c r="A19" s="4">
        <v>18</v>
      </c>
      <c r="B19" s="2" t="s">
        <v>37</v>
      </c>
      <c r="C19" s="2" t="s">
        <v>38</v>
      </c>
      <c r="D19" s="5">
        <v>0.045</v>
      </c>
      <c r="E19" s="5">
        <v>0.039</v>
      </c>
      <c r="F19" s="5">
        <v>0.296</v>
      </c>
      <c r="G19" s="5">
        <v>0.062</v>
      </c>
    </row>
    <row x14ac:dyDescent="0.25" r="20" customHeight="1" ht="18.75">
      <c r="A20" s="4">
        <v>19</v>
      </c>
      <c r="B20" s="2" t="s">
        <v>39</v>
      </c>
      <c r="C20" s="2" t="s">
        <v>40</v>
      </c>
      <c r="D20" s="5">
        <v>0.046</v>
      </c>
      <c r="E20" s="5">
        <v>0.039</v>
      </c>
      <c r="F20" s="5">
        <v>0.287</v>
      </c>
      <c r="G20" s="5">
        <v>0.063</v>
      </c>
    </row>
    <row x14ac:dyDescent="0.25" r="21" customHeight="1" ht="18.75">
      <c r="A21" s="4">
        <v>20</v>
      </c>
      <c r="B21" s="2" t="s">
        <v>41</v>
      </c>
      <c r="C21" s="2" t="s">
        <v>42</v>
      </c>
      <c r="D21" s="5">
        <v>0.042</v>
      </c>
      <c r="E21" s="5">
        <v>0.039</v>
      </c>
      <c r="F21" s="5">
        <v>0.305</v>
      </c>
      <c r="G21" s="5">
        <v>0.063</v>
      </c>
    </row>
    <row x14ac:dyDescent="0.25" r="22" customHeight="1" ht="18.75">
      <c r="A22" s="4">
        <v>21</v>
      </c>
      <c r="B22" s="2" t="s">
        <v>43</v>
      </c>
      <c r="C22" s="2" t="s">
        <v>44</v>
      </c>
      <c r="D22" s="5">
        <v>0.041</v>
      </c>
      <c r="E22" s="5">
        <v>0.039</v>
      </c>
      <c r="F22" s="5">
        <v>0.296</v>
      </c>
      <c r="G22" s="5">
        <v>0.064</v>
      </c>
    </row>
    <row x14ac:dyDescent="0.25" r="23" customHeight="1" ht="18.75">
      <c r="A23" s="4">
        <v>22</v>
      </c>
      <c r="B23" s="2" t="s">
        <v>45</v>
      </c>
      <c r="C23" s="2" t="s">
        <v>46</v>
      </c>
      <c r="D23" s="5">
        <v>0.039</v>
      </c>
      <c r="E23" s="5">
        <v>0.039</v>
      </c>
      <c r="F23" s="5">
        <v>0.312</v>
      </c>
      <c r="G23" s="5">
        <v>0.065</v>
      </c>
    </row>
    <row x14ac:dyDescent="0.25" r="24" customHeight="1" ht="18.75">
      <c r="A24" s="4">
        <v>23</v>
      </c>
      <c r="B24" s="2" t="s">
        <v>47</v>
      </c>
      <c r="C24" s="2" t="s">
        <v>48</v>
      </c>
      <c r="D24" s="5">
        <v>0.036</v>
      </c>
      <c r="E24" s="5">
        <v>0.039</v>
      </c>
      <c r="F24" s="5">
        <v>0.307</v>
      </c>
      <c r="G24" s="5">
        <v>0.069</v>
      </c>
    </row>
    <row x14ac:dyDescent="0.25" r="25" customHeight="1" ht="18.75">
      <c r="A25" s="4">
        <v>24</v>
      </c>
      <c r="B25" s="2" t="s">
        <v>49</v>
      </c>
      <c r="C25" s="2" t="s">
        <v>50</v>
      </c>
      <c r="D25" s="5">
        <v>0.04</v>
      </c>
      <c r="E25" s="5">
        <v>0.039</v>
      </c>
      <c r="F25" s="5">
        <v>0.311</v>
      </c>
      <c r="G25" s="5">
        <v>0.068</v>
      </c>
    </row>
    <row x14ac:dyDescent="0.25" r="26" customHeight="1" ht="18.75">
      <c r="A26" s="4">
        <v>25</v>
      </c>
      <c r="B26" s="2" t="s">
        <v>51</v>
      </c>
      <c r="C26" s="2" t="s">
        <v>52</v>
      </c>
      <c r="D26" s="5">
        <v>0.041</v>
      </c>
      <c r="E26" s="5">
        <v>0.039</v>
      </c>
      <c r="F26" s="5">
        <v>0.288</v>
      </c>
      <c r="G26" s="5">
        <v>0.066</v>
      </c>
    </row>
    <row x14ac:dyDescent="0.25" r="27" customHeight="1" ht="18.75">
      <c r="A27" s="4">
        <v>26</v>
      </c>
      <c r="B27" s="2" t="s">
        <v>53</v>
      </c>
      <c r="C27" s="2" t="s">
        <v>54</v>
      </c>
      <c r="D27" s="5">
        <v>0.039</v>
      </c>
      <c r="E27" s="5">
        <v>0.039</v>
      </c>
      <c r="F27" s="5">
        <v>0.276</v>
      </c>
      <c r="G27" s="5">
        <v>0.065</v>
      </c>
    </row>
    <row x14ac:dyDescent="0.25" r="28" customHeight="1" ht="18.75">
      <c r="A28" s="4">
        <v>27</v>
      </c>
      <c r="B28" s="2" t="s">
        <v>55</v>
      </c>
      <c r="C28" s="2" t="s">
        <v>56</v>
      </c>
      <c r="D28" s="5">
        <v>0.038</v>
      </c>
      <c r="E28" s="5">
        <v>0.039</v>
      </c>
      <c r="F28" s="5">
        <v>0.281</v>
      </c>
      <c r="G28" s="5">
        <v>0.063</v>
      </c>
    </row>
    <row x14ac:dyDescent="0.25" r="29" customHeight="1" ht="18.75">
      <c r="A29" s="4">
        <v>28</v>
      </c>
      <c r="B29" s="2" t="s">
        <v>57</v>
      </c>
      <c r="C29" s="2" t="s">
        <v>58</v>
      </c>
      <c r="D29" s="5">
        <v>0.037</v>
      </c>
      <c r="E29" s="5">
        <v>0.039</v>
      </c>
      <c r="F29" s="5">
        <v>0.268</v>
      </c>
      <c r="G29" s="5">
        <v>0.061</v>
      </c>
    </row>
    <row x14ac:dyDescent="0.25" r="30" customHeight="1" ht="18.75">
      <c r="A30" s="4">
        <v>29</v>
      </c>
      <c r="B30" s="2" t="s">
        <v>59</v>
      </c>
      <c r="C30" s="2" t="s">
        <v>60</v>
      </c>
      <c r="D30" s="5">
        <v>0.037</v>
      </c>
      <c r="E30" s="5">
        <v>0.039</v>
      </c>
      <c r="F30" s="5">
        <v>0.193</v>
      </c>
      <c r="G30" s="5">
        <v>0.062</v>
      </c>
    </row>
    <row x14ac:dyDescent="0.25" r="31" customHeight="1" ht="18.75">
      <c r="A31" s="4">
        <v>30</v>
      </c>
      <c r="B31" s="2" t="s">
        <v>61</v>
      </c>
      <c r="C31" s="2" t="s">
        <v>62</v>
      </c>
      <c r="D31" s="5">
        <v>0.039</v>
      </c>
      <c r="E31" s="5">
        <v>0.039</v>
      </c>
      <c r="F31" s="5">
        <v>0.231</v>
      </c>
      <c r="G31" s="5">
        <v>0.067</v>
      </c>
    </row>
    <row x14ac:dyDescent="0.25" r="32" customHeight="1" ht="18.75">
      <c r="A32" s="4">
        <v>31</v>
      </c>
      <c r="B32" s="2" t="s">
        <v>63</v>
      </c>
      <c r="C32" s="2" t="s">
        <v>64</v>
      </c>
      <c r="D32" s="5">
        <v>0.038</v>
      </c>
      <c r="E32" s="5">
        <v>0.039</v>
      </c>
      <c r="F32" s="5">
        <v>0.21</v>
      </c>
      <c r="G32" s="5">
        <v>0.062</v>
      </c>
    </row>
    <row x14ac:dyDescent="0.25" r="33" customHeight="1" ht="18.75">
      <c r="A33" s="4">
        <v>32</v>
      </c>
      <c r="B33" s="2" t="s">
        <v>65</v>
      </c>
      <c r="C33" s="5">
        <v>9.821</v>
      </c>
      <c r="D33" s="5">
        <v>0.035</v>
      </c>
      <c r="E33" s="5">
        <v>0.039</v>
      </c>
      <c r="F33" s="5">
        <v>0.232</v>
      </c>
      <c r="G33" s="5">
        <v>0.06</v>
      </c>
    </row>
    <row x14ac:dyDescent="0.25" r="34" customHeight="1" ht="18.75">
      <c r="A34" s="4">
        <v>33</v>
      </c>
      <c r="B34" s="2" t="s">
        <v>66</v>
      </c>
      <c r="C34" s="2" t="s">
        <v>67</v>
      </c>
      <c r="D34" s="5">
        <v>0.036</v>
      </c>
      <c r="E34" s="5">
        <v>0.039</v>
      </c>
      <c r="F34" s="5">
        <v>0.191</v>
      </c>
      <c r="G34" s="5">
        <v>0.061</v>
      </c>
    </row>
    <row x14ac:dyDescent="0.25" r="35" customHeight="1" ht="18.75">
      <c r="A35" s="4">
        <v>34</v>
      </c>
      <c r="B35" s="2" t="s">
        <v>68</v>
      </c>
      <c r="C35" s="2" t="s">
        <v>69</v>
      </c>
      <c r="D35" s="5">
        <v>0.033</v>
      </c>
      <c r="E35" s="5">
        <v>0.039</v>
      </c>
      <c r="F35" s="5">
        <v>0.101</v>
      </c>
      <c r="G35" s="5">
        <v>0.061</v>
      </c>
    </row>
    <row x14ac:dyDescent="0.25" r="36" customHeight="1" ht="18.75">
      <c r="A36" s="4">
        <v>35</v>
      </c>
      <c r="B36" s="2" t="s">
        <v>70</v>
      </c>
      <c r="C36" s="2" t="s">
        <v>71</v>
      </c>
      <c r="D36" s="5">
        <v>0.032</v>
      </c>
      <c r="E36" s="5">
        <v>0.039</v>
      </c>
      <c r="F36" s="5">
        <v>0.101</v>
      </c>
      <c r="G36" s="5">
        <v>0.065</v>
      </c>
    </row>
    <row x14ac:dyDescent="0.25" r="37" customHeight="1" ht="18.75">
      <c r="A37" s="4">
        <v>36</v>
      </c>
      <c r="B37" s="2" t="s">
        <v>72</v>
      </c>
      <c r="C37" s="2" t="s">
        <v>73</v>
      </c>
      <c r="D37" s="5">
        <v>0.038</v>
      </c>
      <c r="E37" s="5">
        <v>0.039</v>
      </c>
      <c r="F37" s="5">
        <v>0.101</v>
      </c>
      <c r="G37" s="5">
        <v>0.067</v>
      </c>
    </row>
    <row x14ac:dyDescent="0.25" r="38" customHeight="1" ht="18.75">
      <c r="A38" s="4">
        <v>37</v>
      </c>
      <c r="B38" s="5">
        <v>371.583</v>
      </c>
      <c r="C38" s="2" t="s">
        <v>74</v>
      </c>
      <c r="D38" s="5">
        <v>0.038</v>
      </c>
      <c r="E38" s="5">
        <v>0.039</v>
      </c>
      <c r="F38" s="5">
        <v>0.105</v>
      </c>
      <c r="G38" s="5">
        <v>0.068</v>
      </c>
    </row>
    <row x14ac:dyDescent="0.25" r="39" customHeight="1" ht="18.75">
      <c r="A39" s="4">
        <v>38</v>
      </c>
      <c r="B39" s="2" t="s">
        <v>75</v>
      </c>
      <c r="C39" s="2" t="s">
        <v>76</v>
      </c>
      <c r="D39" s="5">
        <v>0.034</v>
      </c>
      <c r="E39" s="5">
        <v>0.039</v>
      </c>
      <c r="F39" s="5">
        <v>0.124</v>
      </c>
      <c r="G39" s="5">
        <v>0.064</v>
      </c>
    </row>
    <row x14ac:dyDescent="0.25" r="40" customHeight="1" ht="18.75">
      <c r="A40" s="4">
        <v>39</v>
      </c>
      <c r="B40" s="2" t="s">
        <v>77</v>
      </c>
      <c r="C40" s="2" t="s">
        <v>78</v>
      </c>
      <c r="D40" s="5">
        <v>0.036</v>
      </c>
      <c r="E40" s="5">
        <v>0.039</v>
      </c>
      <c r="F40" s="5">
        <v>0.141</v>
      </c>
      <c r="G40" s="5">
        <v>0.065</v>
      </c>
    </row>
    <row x14ac:dyDescent="0.25" r="41" customHeight="1" ht="18.75">
      <c r="A41" s="4">
        <v>40</v>
      </c>
      <c r="B41" s="2" t="s">
        <v>79</v>
      </c>
      <c r="C41" s="2" t="s">
        <v>80</v>
      </c>
      <c r="D41" s="5">
        <v>0.039</v>
      </c>
      <c r="E41" s="5">
        <v>0.039</v>
      </c>
      <c r="F41" s="5">
        <v>0.121</v>
      </c>
      <c r="G41" s="5">
        <v>0.067</v>
      </c>
    </row>
    <row x14ac:dyDescent="0.25" r="42" customHeight="1" ht="18.75">
      <c r="A42" s="4">
        <v>41</v>
      </c>
      <c r="B42" s="2" t="s">
        <v>81</v>
      </c>
      <c r="C42" s="2" t="s">
        <v>82</v>
      </c>
      <c r="D42" s="5">
        <v>0.034</v>
      </c>
      <c r="E42" s="5">
        <v>0.039</v>
      </c>
      <c r="F42" s="5">
        <v>0.109</v>
      </c>
      <c r="G42" s="5">
        <v>0.069</v>
      </c>
    </row>
    <row x14ac:dyDescent="0.25" r="43" customHeight="1" ht="18.75">
      <c r="A43" s="1" t="s">
        <v>83</v>
      </c>
      <c r="B43" s="2"/>
      <c r="C43" s="2"/>
      <c r="D43" s="5">
        <f>AVERAGE(D2:D42)</f>
      </c>
      <c r="E43" s="5">
        <f>AVERAGE(E2:E42)</f>
      </c>
      <c r="F43" s="5">
        <f>AVERAGE(F2:F42)</f>
      </c>
      <c r="G43" s="5">
        <f>AVERAGE(G2:G42)</f>
      </c>
    </row>
    <row x14ac:dyDescent="0.25" r="44" customHeight="1" ht="18.75">
      <c r="A44" s="1" t="s">
        <v>84</v>
      </c>
      <c r="B44" s="2"/>
      <c r="C44" s="2"/>
      <c r="D44" s="5">
        <f>MAX(D2:D42)</f>
      </c>
      <c r="E44" s="5">
        <f>MAX(E2:E42)</f>
      </c>
      <c r="F44" s="5">
        <f>MAX(F2:F42)</f>
      </c>
      <c r="G44" s="5">
        <f>MAX(G2:G42)</f>
      </c>
    </row>
    <row x14ac:dyDescent="0.25" r="45" customHeight="1" ht="18.75">
      <c r="A45" s="1" t="s">
        <v>85</v>
      </c>
      <c r="B45" s="2"/>
      <c r="C45" s="2"/>
      <c r="D45" s="5">
        <f>MIN(D2:D42)</f>
      </c>
      <c r="E45" s="5">
        <f>MIN(E2:E42)</f>
      </c>
      <c r="F45" s="5">
        <f>MIN(F2:F42)</f>
      </c>
      <c r="G45" s="4">
        <f>MIN(G2:G42)</f>
      </c>
    </row>
    <row x14ac:dyDescent="0.25" r="46" customHeight="1" ht="18.75">
      <c r="A46" s="1" t="s">
        <v>86</v>
      </c>
      <c r="B46" s="2"/>
      <c r="C46" s="2"/>
      <c r="D46" s="17">
        <f>_xlfn.STDEV.S(D2:D42)</f>
      </c>
      <c r="E46" s="17">
        <f>_xlfn.STDEV.S(E2:E42)</f>
      </c>
      <c r="F46" s="17">
        <f>_xlfn.STDEV.S(F2:F42)</f>
      </c>
      <c r="G46" s="17">
        <f>_xlfn.STDEV.S(G2:G42)</f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42"/>
  <sheetViews>
    <sheetView workbookViewId="0"/>
  </sheetViews>
  <sheetFormatPr defaultRowHeight="15" x14ac:dyDescent="0.25"/>
  <cols>
    <col min="1" max="1" style="13" width="13.576428571428572" customWidth="1" bestFit="1"/>
    <col min="2" max="2" style="8" width="13.576428571428572" customWidth="1" bestFit="1"/>
    <col min="3" max="3" style="8" width="13.576428571428572" customWidth="1" bestFit="1"/>
    <col min="4" max="4" style="7" width="13.576428571428572" customWidth="1" bestFit="1"/>
    <col min="5" max="5" style="6" width="13.576428571428572" customWidth="1" bestFit="1"/>
    <col min="6" max="6" style="6" width="13.576428571428572" customWidth="1" bestFit="1"/>
    <col min="7" max="7" style="14" width="13.576428571428572" customWidth="1" bestFit="1"/>
    <col min="8" max="8" style="14" width="13.576428571428572" customWidth="1" bestFit="1"/>
    <col min="9" max="9" style="6" width="13.576428571428572" customWidth="1" bestFit="1"/>
    <col min="10" max="10" style="15" width="18.576428571428572" customWidth="1" bestFit="1"/>
  </cols>
  <sheetData>
    <row x14ac:dyDescent="0.25" r="1" customHeight="1" ht="18.75">
      <c r="A1" s="9" t="s">
        <v>0</v>
      </c>
      <c r="B1" s="3" t="s">
        <v>91</v>
      </c>
      <c r="C1" s="3" t="s">
        <v>92</v>
      </c>
      <c r="D1" s="2" t="s">
        <v>88</v>
      </c>
      <c r="E1" s="1" t="s">
        <v>89</v>
      </c>
      <c r="F1" s="1" t="s">
        <v>90</v>
      </c>
      <c r="G1" s="10" t="s">
        <v>93</v>
      </c>
      <c r="H1" s="10" t="s">
        <v>94</v>
      </c>
      <c r="I1" s="1" t="s">
        <v>95</v>
      </c>
      <c r="J1" s="11" t="s">
        <v>96</v>
      </c>
    </row>
    <row x14ac:dyDescent="0.25" r="2" customHeight="1" ht="18.75">
      <c r="A2" s="4">
        <v>1</v>
      </c>
      <c r="B2" s="5">
        <v>1.978</v>
      </c>
      <c r="C2" s="5">
        <v>0.317</v>
      </c>
      <c r="D2" s="2"/>
      <c r="E2" s="1"/>
      <c r="F2" s="1"/>
      <c r="G2" s="10"/>
      <c r="H2" s="10"/>
      <c r="I2" s="1"/>
      <c r="J2" s="11">
        <v>58600</v>
      </c>
    </row>
    <row x14ac:dyDescent="0.25" r="3" customHeight="1" ht="18.75">
      <c r="A3" s="4">
        <v>2</v>
      </c>
      <c r="B3" s="5">
        <v>1.961</v>
      </c>
      <c r="C3" s="5">
        <v>0.316</v>
      </c>
      <c r="D3" s="2"/>
      <c r="E3" s="1"/>
      <c r="F3" s="1"/>
      <c r="G3" s="10"/>
      <c r="H3" s="10"/>
      <c r="I3" s="1"/>
      <c r="J3" s="11">
        <v>55600</v>
      </c>
    </row>
    <row x14ac:dyDescent="0.25" r="4" customHeight="1" ht="18.75">
      <c r="A4" s="4">
        <v>3</v>
      </c>
      <c r="B4" s="5">
        <v>1.97</v>
      </c>
      <c r="C4" s="5">
        <v>0.315</v>
      </c>
      <c r="D4" s="2"/>
      <c r="E4" s="1"/>
      <c r="F4" s="1"/>
      <c r="G4" s="10"/>
      <c r="H4" s="10"/>
      <c r="I4" s="11">
        <v>53800</v>
      </c>
      <c r="J4" s="12"/>
    </row>
    <row x14ac:dyDescent="0.25" r="5" customHeight="1" ht="18.75">
      <c r="A5" s="4">
        <v>4</v>
      </c>
      <c r="B5" s="5">
        <v>1.975</v>
      </c>
      <c r="C5" s="5">
        <v>0.318</v>
      </c>
      <c r="D5" s="2"/>
      <c r="E5" s="1"/>
      <c r="F5" s="1"/>
      <c r="G5" s="10"/>
      <c r="H5" s="10"/>
      <c r="I5" s="11">
        <v>61000</v>
      </c>
      <c r="J5" s="12"/>
    </row>
    <row x14ac:dyDescent="0.25" r="6" customHeight="1" ht="18.75">
      <c r="A6" s="4">
        <v>5</v>
      </c>
      <c r="B6" s="5">
        <v>1.972</v>
      </c>
      <c r="C6" s="5">
        <v>0.3145</v>
      </c>
      <c r="D6" s="2"/>
      <c r="E6" s="1"/>
      <c r="F6" s="1"/>
      <c r="G6" s="10"/>
      <c r="H6" s="10"/>
      <c r="I6" s="11">
        <v>61000</v>
      </c>
      <c r="J6" s="12"/>
    </row>
    <row x14ac:dyDescent="0.25" r="7" customHeight="1" ht="18.75">
      <c r="A7" s="4">
        <v>6</v>
      </c>
      <c r="B7" s="5">
        <v>1.969</v>
      </c>
      <c r="C7" s="5">
        <v>0.3135</v>
      </c>
      <c r="D7" s="2"/>
      <c r="E7" s="1"/>
      <c r="F7" s="1"/>
      <c r="G7" s="10"/>
      <c r="H7" s="10"/>
      <c r="I7" s="11">
        <v>60700</v>
      </c>
      <c r="J7" s="12"/>
    </row>
    <row x14ac:dyDescent="0.25" r="8" customHeight="1" ht="18.75">
      <c r="A8" s="4">
        <v>7</v>
      </c>
      <c r="B8" s="5">
        <v>1.959</v>
      </c>
      <c r="C8" s="5">
        <v>0.313</v>
      </c>
      <c r="D8" s="5">
        <f>37.087*800</f>
      </c>
      <c r="E8" s="5">
        <f>0.184*800</f>
      </c>
      <c r="F8" s="5">
        <f>4.422*800</f>
      </c>
      <c r="G8" s="10"/>
      <c r="H8" s="10"/>
      <c r="I8" s="11">
        <v>60400</v>
      </c>
      <c r="J8" s="12"/>
    </row>
    <row x14ac:dyDescent="0.25" r="9" customHeight="1" ht="18.75">
      <c r="A9" s="4">
        <v>8</v>
      </c>
      <c r="B9" s="5">
        <v>1.981</v>
      </c>
      <c r="C9" s="5">
        <v>0.314</v>
      </c>
      <c r="D9" s="2"/>
      <c r="E9" s="1"/>
      <c r="F9" s="1"/>
      <c r="G9" s="10"/>
      <c r="H9" s="10"/>
      <c r="I9" s="11">
        <v>60300</v>
      </c>
      <c r="J9" s="12"/>
    </row>
    <row x14ac:dyDescent="0.25" r="10" customHeight="1" ht="18.75">
      <c r="A10" s="4">
        <v>9</v>
      </c>
      <c r="B10" s="5">
        <v>1.985</v>
      </c>
      <c r="C10" s="5">
        <v>0.3125</v>
      </c>
      <c r="D10" s="2"/>
      <c r="E10" s="1"/>
      <c r="F10" s="1"/>
      <c r="G10" s="10"/>
      <c r="H10" s="10"/>
      <c r="I10" s="11">
        <v>60900</v>
      </c>
      <c r="J10" s="12"/>
    </row>
    <row x14ac:dyDescent="0.25" r="11" customHeight="1" ht="18.75">
      <c r="A11" s="4">
        <v>10</v>
      </c>
      <c r="B11" s="5">
        <v>1.983</v>
      </c>
      <c r="C11" s="5">
        <v>0.3135</v>
      </c>
      <c r="D11" s="2"/>
      <c r="E11" s="1"/>
      <c r="F11" s="1"/>
      <c r="G11" s="10"/>
      <c r="H11" s="10"/>
      <c r="I11" s="11">
        <v>61700</v>
      </c>
      <c r="J11" s="12"/>
    </row>
    <row x14ac:dyDescent="0.25" r="12" customHeight="1" ht="18.75">
      <c r="A12" s="4">
        <v>11</v>
      </c>
      <c r="B12" s="5">
        <v>1.971</v>
      </c>
      <c r="C12" s="5">
        <v>0.31360000000000005</v>
      </c>
      <c r="D12" s="2"/>
      <c r="E12" s="1"/>
      <c r="F12" s="1"/>
      <c r="G12" s="10"/>
      <c r="H12" s="10"/>
      <c r="I12" s="11">
        <v>59300</v>
      </c>
      <c r="J12" s="12"/>
    </row>
    <row x14ac:dyDescent="0.25" r="13" customHeight="1" ht="18.75">
      <c r="A13" s="4">
        <v>12</v>
      </c>
      <c r="B13" s="5">
        <v>1.971</v>
      </c>
      <c r="C13" s="5">
        <v>0.31389999999999996</v>
      </c>
      <c r="D13" s="2"/>
      <c r="E13" s="1"/>
      <c r="F13" s="1"/>
      <c r="G13" s="10"/>
      <c r="H13" s="10"/>
      <c r="I13" s="11">
        <v>60800</v>
      </c>
      <c r="J13" s="12"/>
    </row>
    <row x14ac:dyDescent="0.25" r="14" customHeight="1" ht="18.75">
      <c r="A14" s="4">
        <v>13</v>
      </c>
      <c r="B14" s="5">
        <v>1.968</v>
      </c>
      <c r="C14" s="5">
        <v>0.3137</v>
      </c>
      <c r="D14" s="2"/>
      <c r="E14" s="1"/>
      <c r="F14" s="1"/>
      <c r="G14" s="10"/>
      <c r="H14" s="10"/>
      <c r="I14" s="11">
        <v>58900</v>
      </c>
      <c r="J14" s="12"/>
    </row>
    <row x14ac:dyDescent="0.25" r="15" customHeight="1" ht="18.75">
      <c r="A15" s="4">
        <v>14</v>
      </c>
      <c r="B15" s="5">
        <v>1.963</v>
      </c>
      <c r="C15" s="5">
        <v>0.314</v>
      </c>
      <c r="D15" s="2"/>
      <c r="E15" s="1"/>
      <c r="F15" s="1"/>
      <c r="G15" s="10"/>
      <c r="H15" s="10"/>
      <c r="I15" s="11">
        <v>60000</v>
      </c>
      <c r="J15" s="12"/>
    </row>
    <row x14ac:dyDescent="0.25" r="16" customHeight="1" ht="18.75">
      <c r="A16" s="4">
        <v>15</v>
      </c>
      <c r="B16" s="5">
        <v>1.99</v>
      </c>
      <c r="C16" s="5">
        <v>0.3145</v>
      </c>
      <c r="D16" s="2"/>
      <c r="E16" s="1"/>
      <c r="F16" s="1"/>
      <c r="G16" s="10"/>
      <c r="H16" s="10"/>
      <c r="I16" s="11">
        <v>58700</v>
      </c>
      <c r="J16" s="12"/>
    </row>
    <row x14ac:dyDescent="0.25" r="17" customHeight="1" ht="18.75">
      <c r="A17" s="4">
        <v>16</v>
      </c>
      <c r="B17" s="5">
        <v>1.988</v>
      </c>
      <c r="C17" s="5">
        <v>0.3155</v>
      </c>
      <c r="D17" s="2"/>
      <c r="E17" s="1"/>
      <c r="F17" s="1"/>
      <c r="G17" s="10"/>
      <c r="H17" s="10"/>
      <c r="I17" s="11">
        <v>60700</v>
      </c>
      <c r="J17" s="12"/>
    </row>
    <row x14ac:dyDescent="0.25" r="18" customHeight="1" ht="18.75">
      <c r="A18" s="4">
        <v>17</v>
      </c>
      <c r="B18" s="5">
        <v>1.987</v>
      </c>
      <c r="C18" s="5">
        <v>0.31880000000000003</v>
      </c>
      <c r="D18" s="2"/>
      <c r="E18" s="1"/>
      <c r="F18" s="1"/>
      <c r="G18" s="10"/>
      <c r="H18" s="10"/>
      <c r="I18" s="11">
        <v>59400</v>
      </c>
      <c r="J18" s="12"/>
    </row>
    <row x14ac:dyDescent="0.25" r="19" customHeight="1" ht="18.75">
      <c r="A19" s="4">
        <v>18</v>
      </c>
      <c r="B19" s="5">
        <v>1.987</v>
      </c>
      <c r="C19" s="5">
        <v>0.3187</v>
      </c>
      <c r="D19" s="2"/>
      <c r="E19" s="1"/>
      <c r="F19" s="1"/>
      <c r="G19" s="10"/>
      <c r="H19" s="10"/>
      <c r="I19" s="11">
        <v>57200</v>
      </c>
      <c r="J19" s="12"/>
    </row>
    <row x14ac:dyDescent="0.25" r="20" customHeight="1" ht="18.75">
      <c r="A20" s="4">
        <v>19</v>
      </c>
      <c r="B20" s="5">
        <v>1.986</v>
      </c>
      <c r="C20" s="5">
        <v>0.31889999999999996</v>
      </c>
      <c r="D20" s="2"/>
      <c r="E20" s="1"/>
      <c r="F20" s="1"/>
      <c r="G20" s="10"/>
      <c r="H20" s="10"/>
      <c r="I20" s="11">
        <v>56900</v>
      </c>
      <c r="J20" s="12"/>
    </row>
    <row x14ac:dyDescent="0.25" r="21" customHeight="1" ht="18.75">
      <c r="A21" s="4">
        <v>20</v>
      </c>
      <c r="B21" s="5">
        <v>1.982</v>
      </c>
      <c r="C21" s="5">
        <v>0.31810000000000005</v>
      </c>
      <c r="D21" s="2"/>
      <c r="E21" s="1"/>
      <c r="F21" s="1"/>
      <c r="G21" s="10"/>
      <c r="H21" s="10"/>
      <c r="I21" s="11">
        <v>59400</v>
      </c>
      <c r="J21" s="12"/>
    </row>
    <row x14ac:dyDescent="0.25" r="22" customHeight="1" ht="18.75">
      <c r="A22" s="4">
        <v>21</v>
      </c>
      <c r="B22" s="5">
        <v>1.983</v>
      </c>
      <c r="C22" s="5">
        <v>0.31789999999999996</v>
      </c>
      <c r="D22" s="2"/>
      <c r="E22" s="1"/>
      <c r="F22" s="1"/>
      <c r="G22" s="10"/>
      <c r="H22" s="10"/>
      <c r="I22" s="11">
        <v>57100</v>
      </c>
      <c r="J22" s="12"/>
    </row>
    <row x14ac:dyDescent="0.25" r="23" customHeight="1" ht="18.75">
      <c r="A23" s="4">
        <v>22</v>
      </c>
      <c r="B23" s="5">
        <v>1.981</v>
      </c>
      <c r="C23" s="5">
        <v>0.318</v>
      </c>
      <c r="D23" s="2"/>
      <c r="E23" s="1"/>
      <c r="F23" s="1"/>
      <c r="G23" s="10"/>
      <c r="H23" s="10"/>
      <c r="I23" s="11">
        <v>57000</v>
      </c>
      <c r="J23" s="12"/>
    </row>
    <row x14ac:dyDescent="0.25" r="24" customHeight="1" ht="18.75">
      <c r="A24" s="4">
        <v>23</v>
      </c>
      <c r="B24" s="5">
        <v>1.984</v>
      </c>
      <c r="C24" s="5">
        <v>0.3102</v>
      </c>
      <c r="D24" s="2"/>
      <c r="E24" s="1"/>
      <c r="F24" s="1"/>
      <c r="G24" s="10"/>
      <c r="H24" s="10"/>
      <c r="I24" s="11">
        <v>56900</v>
      </c>
      <c r="J24" s="12"/>
    </row>
    <row x14ac:dyDescent="0.25" r="25" customHeight="1" ht="18.75">
      <c r="A25" s="4">
        <v>24</v>
      </c>
      <c r="B25" s="5">
        <v>1.985</v>
      </c>
      <c r="C25" s="5">
        <v>0.3118</v>
      </c>
      <c r="D25" s="2"/>
      <c r="E25" s="1"/>
      <c r="F25" s="1"/>
      <c r="G25" s="10"/>
      <c r="H25" s="10"/>
      <c r="I25" s="11">
        <v>55800</v>
      </c>
      <c r="J25" s="12"/>
    </row>
    <row x14ac:dyDescent="0.25" r="26" customHeight="1" ht="18.75">
      <c r="A26" s="4">
        <v>25</v>
      </c>
      <c r="B26" s="5">
        <v>1.989</v>
      </c>
      <c r="C26" s="5">
        <v>0.31930000000000003</v>
      </c>
      <c r="D26" s="5">
        <f>39.734*800</f>
      </c>
      <c r="E26" s="5">
        <f>0.177*800</f>
      </c>
      <c r="F26" s="4">
        <f>4.455*800</f>
      </c>
      <c r="G26" s="10"/>
      <c r="H26" s="10"/>
      <c r="I26" s="11">
        <v>59200</v>
      </c>
      <c r="J26" s="12"/>
    </row>
    <row x14ac:dyDescent="0.25" r="27" customHeight="1" ht="18.75">
      <c r="A27" s="4">
        <v>26</v>
      </c>
      <c r="B27" s="5">
        <v>1.974</v>
      </c>
      <c r="C27" s="5">
        <v>0.3128</v>
      </c>
      <c r="D27" s="4">
        <f>38.115*800</f>
      </c>
      <c r="E27" s="5">
        <f>0.197*800</f>
      </c>
      <c r="F27" s="5">
        <f>4.858*800</f>
      </c>
      <c r="G27" s="10"/>
      <c r="H27" s="10"/>
      <c r="I27" s="11">
        <v>59500</v>
      </c>
      <c r="J27" s="12"/>
    </row>
    <row x14ac:dyDescent="0.25" r="28" customHeight="1" ht="18.75">
      <c r="A28" s="4">
        <v>27</v>
      </c>
      <c r="B28" s="5">
        <v>1.942</v>
      </c>
      <c r="C28" s="5">
        <v>0.3112</v>
      </c>
      <c r="D28" s="5">
        <f>34.521*800</f>
      </c>
      <c r="E28" s="5">
        <f>0.152*800</f>
      </c>
      <c r="F28" s="5">
        <f>4.408*800</f>
      </c>
      <c r="G28" s="10"/>
      <c r="H28" s="10"/>
      <c r="I28" s="11">
        <v>56900</v>
      </c>
      <c r="J28" s="12"/>
    </row>
    <row x14ac:dyDescent="0.25" r="29" customHeight="1" ht="18.75">
      <c r="A29" s="4">
        <v>28</v>
      </c>
      <c r="B29" s="5">
        <v>1.903</v>
      </c>
      <c r="C29" s="5">
        <v>0.30010000000000003</v>
      </c>
      <c r="D29" s="5">
        <f>36.965*800</f>
      </c>
      <c r="E29" s="4">
        <f>0.175*800</f>
      </c>
      <c r="F29" s="4">
        <f>4.615*800</f>
      </c>
      <c r="G29" s="10"/>
      <c r="H29" s="10"/>
      <c r="I29" s="11">
        <v>57400</v>
      </c>
      <c r="J29" s="12"/>
    </row>
    <row x14ac:dyDescent="0.25" r="30" customHeight="1" ht="18.75">
      <c r="A30" s="4">
        <v>29</v>
      </c>
      <c r="B30" s="5">
        <v>1.914</v>
      </c>
      <c r="C30" s="5">
        <v>0.30560000000000004</v>
      </c>
      <c r="D30" s="5">
        <f>37.937*800</f>
      </c>
      <c r="E30" s="5">
        <f>0.259*800</f>
      </c>
      <c r="F30" s="5">
        <f>4.803*800</f>
      </c>
      <c r="G30" s="10"/>
      <c r="H30" s="10"/>
      <c r="I30" s="11">
        <v>60300</v>
      </c>
      <c r="J30" s="12"/>
    </row>
    <row x14ac:dyDescent="0.25" r="31" customHeight="1" ht="18.75">
      <c r="A31" s="4">
        <v>30</v>
      </c>
      <c r="B31" s="5">
        <v>1.918</v>
      </c>
      <c r="C31" s="5">
        <v>0.30419999999999997</v>
      </c>
      <c r="D31" s="5">
        <f>38.518*800</f>
      </c>
      <c r="E31" s="5">
        <f>0.156*800</f>
      </c>
      <c r="F31" s="5">
        <f>4.849*800</f>
      </c>
      <c r="G31" s="10"/>
      <c r="H31" s="10"/>
      <c r="I31" s="11">
        <v>60600</v>
      </c>
      <c r="J31" s="12"/>
    </row>
    <row x14ac:dyDescent="0.25" r="32" customHeight="1" ht="18.75">
      <c r="A32" s="4">
        <v>31</v>
      </c>
      <c r="B32" s="5">
        <v>1.916</v>
      </c>
      <c r="C32" s="5">
        <v>0.30460000000000004</v>
      </c>
      <c r="D32" s="2"/>
      <c r="E32" s="1"/>
      <c r="F32" s="1"/>
      <c r="G32" s="10"/>
      <c r="H32" s="10"/>
      <c r="I32" s="1"/>
      <c r="J32" s="11">
        <v>60400</v>
      </c>
    </row>
    <row x14ac:dyDescent="0.25" r="33" customHeight="1" ht="18.75">
      <c r="A33" s="4">
        <v>32</v>
      </c>
      <c r="B33" s="5">
        <v>1.944</v>
      </c>
      <c r="C33" s="5">
        <v>0.30839999999999995</v>
      </c>
      <c r="D33" s="5">
        <f>38.416*800</f>
      </c>
      <c r="E33" s="5">
        <f>0.188*800</f>
      </c>
      <c r="F33" s="5">
        <f>4.843*800</f>
      </c>
      <c r="G33" s="10"/>
      <c r="H33" s="10"/>
      <c r="I33" s="1"/>
      <c r="J33" s="11">
        <v>59200</v>
      </c>
    </row>
    <row x14ac:dyDescent="0.25" r="34" customHeight="1" ht="18.75">
      <c r="A34" s="4">
        <v>33</v>
      </c>
      <c r="B34" s="5">
        <v>1.93</v>
      </c>
      <c r="C34" s="5">
        <v>0.30839999999999995</v>
      </c>
      <c r="D34" s="5">
        <f>38.024*800</f>
      </c>
      <c r="E34" s="4">
        <f>0.18*800</f>
      </c>
      <c r="F34" s="5">
        <f>4.813*800</f>
      </c>
      <c r="G34" s="10"/>
      <c r="H34" s="10"/>
      <c r="I34" s="1"/>
      <c r="J34" s="11">
        <v>59800</v>
      </c>
    </row>
    <row x14ac:dyDescent="0.25" r="35" customHeight="1" ht="18.75">
      <c r="A35" s="4">
        <v>34</v>
      </c>
      <c r="B35" s="5">
        <v>1.985</v>
      </c>
      <c r="C35" s="5">
        <v>0.3133</v>
      </c>
      <c r="D35" s="5">
        <f>39.384*800</f>
      </c>
      <c r="E35" s="4">
        <f>0.15*800</f>
      </c>
      <c r="F35" s="4">
        <f>4.99*800</f>
      </c>
      <c r="G35" s="10"/>
      <c r="H35" s="10"/>
      <c r="I35" s="1"/>
      <c r="J35" s="11">
        <v>59700</v>
      </c>
    </row>
    <row x14ac:dyDescent="0.25" r="36" customHeight="1" ht="18.75">
      <c r="A36" s="4">
        <v>35</v>
      </c>
      <c r="B36" s="5">
        <v>1.952</v>
      </c>
      <c r="C36" s="5">
        <v>0.3083</v>
      </c>
      <c r="D36" s="2"/>
      <c r="E36" s="1"/>
      <c r="F36" s="1"/>
      <c r="G36" s="10"/>
      <c r="H36" s="10"/>
      <c r="I36" s="1"/>
      <c r="J36" s="11">
        <v>61400</v>
      </c>
    </row>
    <row x14ac:dyDescent="0.25" r="37" customHeight="1" ht="18.75">
      <c r="A37" s="4">
        <v>36</v>
      </c>
      <c r="B37" s="5">
        <v>1.936</v>
      </c>
      <c r="C37" s="5">
        <v>0.3093</v>
      </c>
      <c r="D37" s="2"/>
      <c r="E37" s="1"/>
      <c r="F37" s="1"/>
      <c r="G37" s="10"/>
      <c r="H37" s="10"/>
      <c r="I37" s="1"/>
      <c r="J37" s="11">
        <v>61900</v>
      </c>
    </row>
    <row x14ac:dyDescent="0.25" r="38" customHeight="1" ht="18.75">
      <c r="A38" s="4">
        <v>37</v>
      </c>
      <c r="B38" s="5">
        <v>1.933</v>
      </c>
      <c r="C38" s="5">
        <v>0.3063</v>
      </c>
      <c r="D38" s="2"/>
      <c r="E38" s="1"/>
      <c r="F38" s="1"/>
      <c r="G38" s="10"/>
      <c r="H38" s="10"/>
      <c r="I38" s="1"/>
      <c r="J38" s="11">
        <v>61800</v>
      </c>
    </row>
    <row x14ac:dyDescent="0.25" r="39" customHeight="1" ht="18.75">
      <c r="A39" s="4">
        <v>38</v>
      </c>
      <c r="B39" s="5">
        <v>1.932</v>
      </c>
      <c r="C39" s="5">
        <v>0.31160000000000004</v>
      </c>
      <c r="D39" s="2"/>
      <c r="E39" s="1"/>
      <c r="F39" s="1"/>
      <c r="G39" s="10"/>
      <c r="H39" s="10"/>
      <c r="I39" s="1"/>
      <c r="J39" s="11">
        <v>59800</v>
      </c>
    </row>
    <row x14ac:dyDescent="0.25" r="40" customHeight="1" ht="18.75">
      <c r="A40" s="4">
        <v>39</v>
      </c>
      <c r="B40" s="5">
        <v>1.941</v>
      </c>
      <c r="C40" s="5">
        <v>0.3128</v>
      </c>
      <c r="D40" s="2"/>
      <c r="E40" s="1"/>
      <c r="F40" s="1"/>
      <c r="G40" s="10"/>
      <c r="H40" s="10"/>
      <c r="I40" s="1"/>
      <c r="J40" s="11">
        <v>60300</v>
      </c>
    </row>
    <row x14ac:dyDescent="0.25" r="41" customHeight="1" ht="18.75">
      <c r="A41" s="4">
        <v>40</v>
      </c>
      <c r="B41" s="5">
        <v>1.952</v>
      </c>
      <c r="C41" s="5">
        <v>0.31589999999999996</v>
      </c>
      <c r="D41" s="2"/>
      <c r="E41" s="1"/>
      <c r="F41" s="1"/>
      <c r="G41" s="10"/>
      <c r="H41" s="10"/>
      <c r="I41" s="1"/>
      <c r="J41" s="11">
        <v>59800</v>
      </c>
    </row>
    <row x14ac:dyDescent="0.25" r="42" customHeight="1" ht="18.75">
      <c r="A42" s="4">
        <v>41</v>
      </c>
      <c r="B42" s="5">
        <v>1.953</v>
      </c>
      <c r="C42" s="5">
        <v>0.3178</v>
      </c>
      <c r="D42" s="2"/>
      <c r="E42" s="1"/>
      <c r="F42" s="1"/>
      <c r="G42" s="10"/>
      <c r="H42" s="10"/>
      <c r="I42" s="1"/>
      <c r="J42" s="11">
        <v>54800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46"/>
  <sheetViews>
    <sheetView workbookViewId="0"/>
  </sheetViews>
  <sheetFormatPr defaultRowHeight="15" x14ac:dyDescent="0.25"/>
  <cols>
    <col min="1" max="1" style="6" width="18.005" customWidth="1" bestFit="1"/>
    <col min="2" max="2" style="7" width="15.290714285714287" customWidth="1" bestFit="1"/>
    <col min="3" max="3" style="7" width="15.719285714285713" customWidth="1" bestFit="1"/>
    <col min="4" max="4" style="8" width="13.576428571428572" customWidth="1" bestFit="1"/>
    <col min="5" max="5" style="8" width="15.719285714285713" customWidth="1" bestFit="1"/>
    <col min="6" max="6" style="8" width="15.005" customWidth="1" bestFit="1"/>
  </cols>
  <sheetData>
    <row x14ac:dyDescent="0.25" r="1" customHeight="1" ht="18.75">
      <c r="A1" s="1" t="s">
        <v>87</v>
      </c>
      <c r="B1" s="2" t="s">
        <v>1</v>
      </c>
      <c r="C1" s="2" t="s">
        <v>2</v>
      </c>
      <c r="D1" s="3" t="s">
        <v>88</v>
      </c>
      <c r="E1" s="3" t="s">
        <v>89</v>
      </c>
      <c r="F1" s="3" t="s">
        <v>90</v>
      </c>
    </row>
    <row x14ac:dyDescent="0.25" r="2" customHeight="1" ht="18.75">
      <c r="A2" s="4">
        <v>1</v>
      </c>
      <c r="B2" s="2" t="s">
        <v>7</v>
      </c>
      <c r="C2" s="2" t="s">
        <v>8</v>
      </c>
      <c r="D2" s="4">
        <v>28721</v>
      </c>
      <c r="E2" s="5">
        <v>146.11</v>
      </c>
      <c r="F2" s="5">
        <v>3246.8</v>
      </c>
    </row>
    <row x14ac:dyDescent="0.25" r="3" customHeight="1" ht="18.75">
      <c r="A3" s="4">
        <v>2</v>
      </c>
      <c r="B3" s="2" t="s">
        <v>9</v>
      </c>
      <c r="C3" s="2" t="s">
        <v>10</v>
      </c>
      <c r="D3" s="4">
        <v>28764</v>
      </c>
      <c r="E3" s="5">
        <v>146.23</v>
      </c>
      <c r="F3" s="5">
        <v>3211.9</v>
      </c>
    </row>
    <row x14ac:dyDescent="0.25" r="4" customHeight="1" ht="18.75">
      <c r="A4" s="4">
        <v>3</v>
      </c>
      <c r="B4" s="2" t="s">
        <v>11</v>
      </c>
      <c r="C4" s="2" t="s">
        <v>12</v>
      </c>
      <c r="D4" s="4">
        <v>28459</v>
      </c>
      <c r="E4" s="5">
        <v>146.45</v>
      </c>
      <c r="F4" s="5">
        <v>3196.6</v>
      </c>
    </row>
    <row x14ac:dyDescent="0.25" r="5" customHeight="1" ht="18.75">
      <c r="A5" s="4">
        <v>4</v>
      </c>
      <c r="B5" s="2" t="s">
        <v>13</v>
      </c>
      <c r="C5" s="2" t="s">
        <v>14</v>
      </c>
      <c r="D5" s="4">
        <v>28476</v>
      </c>
      <c r="E5" s="5">
        <v>146.18</v>
      </c>
      <c r="F5" s="5">
        <v>3176.4</v>
      </c>
    </row>
    <row x14ac:dyDescent="0.25" r="6" customHeight="1" ht="18.75">
      <c r="A6" s="4">
        <v>5</v>
      </c>
      <c r="B6" s="5">
        <v>37.238</v>
      </c>
      <c r="C6" s="2" t="s">
        <v>15</v>
      </c>
      <c r="D6" s="4">
        <v>29456</v>
      </c>
      <c r="E6" s="5">
        <v>145.9</v>
      </c>
      <c r="F6" s="4">
        <v>3200</v>
      </c>
    </row>
    <row x14ac:dyDescent="0.25" r="7" customHeight="1" ht="18.75">
      <c r="A7" s="4">
        <v>6</v>
      </c>
      <c r="B7" s="2" t="s">
        <v>16</v>
      </c>
      <c r="C7" s="2" t="s">
        <v>17</v>
      </c>
      <c r="D7" s="4">
        <v>29564</v>
      </c>
      <c r="E7" s="4">
        <v>146</v>
      </c>
      <c r="F7" s="5">
        <v>3199.9</v>
      </c>
    </row>
    <row x14ac:dyDescent="0.25" r="8" customHeight="1" ht="18.75">
      <c r="A8" s="4">
        <v>7</v>
      </c>
      <c r="B8" s="2" t="s">
        <v>18</v>
      </c>
      <c r="C8" s="2" t="s">
        <v>19</v>
      </c>
      <c r="D8" s="5">
        <f>37.087*800</f>
      </c>
      <c r="E8" s="5">
        <f>0.184*800</f>
      </c>
      <c r="F8" s="5">
        <f>4.422*800</f>
      </c>
    </row>
    <row x14ac:dyDescent="0.25" r="9" customHeight="1" ht="18.75">
      <c r="A9" s="4">
        <v>8</v>
      </c>
      <c r="B9" s="2" t="s">
        <v>20</v>
      </c>
      <c r="C9" s="2" t="s">
        <v>21</v>
      </c>
      <c r="D9" s="5">
        <f>39.087*800</f>
      </c>
      <c r="E9" s="5">
        <f>0.184*800</f>
      </c>
      <c r="F9" s="4">
        <f>4.5*800</f>
      </c>
    </row>
    <row x14ac:dyDescent="0.25" r="10" customHeight="1" ht="18.75">
      <c r="A10" s="4">
        <v>9</v>
      </c>
      <c r="B10" s="2" t="s">
        <v>22</v>
      </c>
      <c r="C10" s="2" t="s">
        <v>23</v>
      </c>
      <c r="D10" s="4">
        <v>30985</v>
      </c>
      <c r="E10" s="5">
        <f>0.184*800</f>
      </c>
      <c r="F10" s="5">
        <f>4.892*800</f>
      </c>
    </row>
    <row x14ac:dyDescent="0.25" r="11" customHeight="1" ht="18.75">
      <c r="A11" s="4">
        <v>10</v>
      </c>
      <c r="B11" s="2" t="s">
        <v>24</v>
      </c>
      <c r="C11" s="2" t="s">
        <v>25</v>
      </c>
      <c r="D11" s="4">
        <v>30275</v>
      </c>
      <c r="E11" s="5">
        <f>0.164*800</f>
      </c>
      <c r="F11" s="5">
        <f>4.378*800</f>
      </c>
    </row>
    <row x14ac:dyDescent="0.25" r="12" customHeight="1" ht="18.75">
      <c r="A12" s="4">
        <v>11</v>
      </c>
      <c r="B12" s="2" t="s">
        <v>26</v>
      </c>
      <c r="C12" s="2" t="s">
        <v>27</v>
      </c>
      <c r="D12" s="4">
        <v>30456</v>
      </c>
      <c r="E12" s="5">
        <f>0.174*800</f>
      </c>
      <c r="F12" s="5">
        <f>4.15*800</f>
      </c>
    </row>
    <row x14ac:dyDescent="0.25" r="13" customHeight="1" ht="18.75">
      <c r="A13" s="4">
        <v>12</v>
      </c>
      <c r="B13" s="2" t="s">
        <v>26</v>
      </c>
      <c r="C13" s="5">
        <v>985.885</v>
      </c>
      <c r="D13" s="4">
        <v>30562</v>
      </c>
      <c r="E13" s="5">
        <f>0.164*800</f>
      </c>
      <c r="F13" s="5">
        <f>4.422*800</f>
      </c>
    </row>
    <row x14ac:dyDescent="0.25" r="14" customHeight="1" ht="18.75">
      <c r="A14" s="4">
        <v>13</v>
      </c>
      <c r="B14" s="2" t="s">
        <v>28</v>
      </c>
      <c r="C14" s="2" t="s">
        <v>29</v>
      </c>
      <c r="D14" s="4">
        <v>30455</v>
      </c>
      <c r="E14" s="5">
        <f>0.182*800</f>
      </c>
      <c r="F14" s="4">
        <f>4.245*800</f>
      </c>
    </row>
    <row x14ac:dyDescent="0.25" r="15" customHeight="1" ht="18.75">
      <c r="A15" s="4">
        <v>14</v>
      </c>
      <c r="B15" s="2" t="s">
        <v>30</v>
      </c>
      <c r="C15" s="2" t="s">
        <v>31</v>
      </c>
      <c r="D15" s="4">
        <v>30454</v>
      </c>
      <c r="E15" s="5">
        <f>0.154*800</f>
      </c>
      <c r="F15" s="5">
        <f>4.123*800</f>
      </c>
    </row>
    <row x14ac:dyDescent="0.25" r="16" customHeight="1" ht="18.75">
      <c r="A16" s="4">
        <v>15</v>
      </c>
      <c r="B16" s="2" t="s">
        <v>32</v>
      </c>
      <c r="C16" s="5">
        <v>99.142</v>
      </c>
      <c r="D16" s="5">
        <f>38.087*800</f>
      </c>
      <c r="E16" s="5">
        <f>0.194*800</f>
      </c>
      <c r="F16" s="5">
        <f>4.422*800</f>
      </c>
    </row>
    <row x14ac:dyDescent="0.25" r="17" customHeight="1" ht="18.75">
      <c r="A17" s="4">
        <v>16</v>
      </c>
      <c r="B17" s="2" t="s">
        <v>33</v>
      </c>
      <c r="C17" s="2" t="s">
        <v>34</v>
      </c>
      <c r="D17" s="5">
        <f>37.087*800</f>
      </c>
      <c r="E17" s="5">
        <f>0.184*800</f>
      </c>
      <c r="F17" s="4">
        <f>4.41*800</f>
      </c>
    </row>
    <row x14ac:dyDescent="0.25" r="18" customHeight="1" ht="18.75">
      <c r="A18" s="4">
        <v>17</v>
      </c>
      <c r="B18" s="2" t="s">
        <v>35</v>
      </c>
      <c r="C18" s="2" t="s">
        <v>36</v>
      </c>
      <c r="D18" s="5">
        <f>37.087*800</f>
      </c>
      <c r="E18" s="5">
        <v>148.5</v>
      </c>
      <c r="F18" s="5">
        <f>4.399*800</f>
      </c>
    </row>
    <row x14ac:dyDescent="0.25" r="19" customHeight="1" ht="18.75">
      <c r="A19" s="4">
        <v>18</v>
      </c>
      <c r="B19" s="2" t="s">
        <v>37</v>
      </c>
      <c r="C19" s="2" t="s">
        <v>38</v>
      </c>
      <c r="D19" s="5">
        <f>37.087*800</f>
      </c>
      <c r="E19" s="5">
        <v>149.2</v>
      </c>
      <c r="F19" s="5">
        <f>4.438*800</f>
      </c>
    </row>
    <row x14ac:dyDescent="0.25" r="20" customHeight="1" ht="18.75">
      <c r="A20" s="4">
        <v>19</v>
      </c>
      <c r="B20" s="2" t="s">
        <v>39</v>
      </c>
      <c r="C20" s="2" t="s">
        <v>40</v>
      </c>
      <c r="D20" s="5">
        <f>37.087*800</f>
      </c>
      <c r="E20" s="5">
        <v>147.5</v>
      </c>
      <c r="F20" s="5">
        <f>4.482*800</f>
      </c>
    </row>
    <row x14ac:dyDescent="0.25" r="21" customHeight="1" ht="18.75">
      <c r="A21" s="4">
        <v>20</v>
      </c>
      <c r="B21" s="2" t="s">
        <v>41</v>
      </c>
      <c r="C21" s="2" t="s">
        <v>42</v>
      </c>
      <c r="D21" s="5">
        <f>37.087*800</f>
      </c>
      <c r="E21" s="5">
        <v>147.2</v>
      </c>
      <c r="F21" s="5">
        <f>4.433*800</f>
      </c>
    </row>
    <row x14ac:dyDescent="0.25" r="22" customHeight="1" ht="18.75">
      <c r="A22" s="4">
        <v>21</v>
      </c>
      <c r="B22" s="2" t="s">
        <v>43</v>
      </c>
      <c r="C22" s="2" t="s">
        <v>44</v>
      </c>
      <c r="D22" s="5">
        <f>37.087*800</f>
      </c>
      <c r="E22" s="5">
        <v>149.18</v>
      </c>
      <c r="F22" s="5">
        <f>4.496*800</f>
      </c>
    </row>
    <row x14ac:dyDescent="0.25" r="23" customHeight="1" ht="18.75">
      <c r="A23" s="4">
        <v>22</v>
      </c>
      <c r="B23" s="2" t="s">
        <v>45</v>
      </c>
      <c r="C23" s="2" t="s">
        <v>46</v>
      </c>
      <c r="D23" s="5">
        <f>37.087*800</f>
      </c>
      <c r="E23" s="5">
        <v>148.22</v>
      </c>
      <c r="F23" s="5">
        <f>4.488*800</f>
      </c>
    </row>
    <row x14ac:dyDescent="0.25" r="24" customHeight="1" ht="18.75">
      <c r="A24" s="4">
        <v>23</v>
      </c>
      <c r="B24" s="2" t="s">
        <v>47</v>
      </c>
      <c r="C24" s="2" t="s">
        <v>48</v>
      </c>
      <c r="D24" s="5">
        <f>37.087*800</f>
      </c>
      <c r="E24" s="4">
        <v>139</v>
      </c>
      <c r="F24" s="5">
        <f>4.497*800</f>
      </c>
    </row>
    <row x14ac:dyDescent="0.25" r="25" customHeight="1" ht="18.75">
      <c r="A25" s="4">
        <v>24</v>
      </c>
      <c r="B25" s="2" t="s">
        <v>49</v>
      </c>
      <c r="C25" s="2" t="s">
        <v>50</v>
      </c>
      <c r="D25" s="5">
        <f>37.087*800</f>
      </c>
      <c r="E25" s="5">
        <v>140.8</v>
      </c>
      <c r="F25" s="5">
        <f>4.418*800</f>
      </c>
    </row>
    <row x14ac:dyDescent="0.25" r="26" customHeight="1" ht="18.75">
      <c r="A26" s="4">
        <v>25</v>
      </c>
      <c r="B26" s="2" t="s">
        <v>51</v>
      </c>
      <c r="C26" s="2" t="s">
        <v>52</v>
      </c>
      <c r="D26" s="5">
        <f>39.734*800</f>
      </c>
      <c r="E26" s="5">
        <v>139.9</v>
      </c>
      <c r="F26" s="4">
        <f>4.455*800</f>
      </c>
    </row>
    <row x14ac:dyDescent="0.25" r="27" customHeight="1" ht="18.75">
      <c r="A27" s="4">
        <v>26</v>
      </c>
      <c r="B27" s="2" t="s">
        <v>53</v>
      </c>
      <c r="C27" s="2" t="s">
        <v>54</v>
      </c>
      <c r="D27" s="4">
        <f>38.115*800</f>
      </c>
      <c r="E27" s="5">
        <v>138.9</v>
      </c>
      <c r="F27" s="5">
        <f>4.858*800</f>
      </c>
    </row>
    <row x14ac:dyDescent="0.25" r="28" customHeight="1" ht="18.75">
      <c r="A28" s="4">
        <v>27</v>
      </c>
      <c r="B28" s="2" t="s">
        <v>55</v>
      </c>
      <c r="C28" s="2" t="s">
        <v>56</v>
      </c>
      <c r="D28" s="5">
        <f>34.521*800</f>
      </c>
      <c r="E28" s="5">
        <v>136.75</v>
      </c>
      <c r="F28" s="5">
        <f>4.408*800</f>
      </c>
    </row>
    <row x14ac:dyDescent="0.25" r="29" customHeight="1" ht="18.75">
      <c r="A29" s="4">
        <v>28</v>
      </c>
      <c r="B29" s="2" t="s">
        <v>57</v>
      </c>
      <c r="C29" s="2" t="s">
        <v>58</v>
      </c>
      <c r="D29" s="5">
        <f>36.965*800</f>
      </c>
      <c r="E29" s="4">
        <f>0.175*800</f>
      </c>
      <c r="F29" s="4">
        <f>4.615*800</f>
      </c>
    </row>
    <row x14ac:dyDescent="0.25" r="30" customHeight="1" ht="18.75">
      <c r="A30" s="4">
        <v>29</v>
      </c>
      <c r="B30" s="2" t="s">
        <v>59</v>
      </c>
      <c r="C30" s="2" t="s">
        <v>60</v>
      </c>
      <c r="D30" s="5">
        <f>37.937*800</f>
      </c>
      <c r="E30" s="5">
        <f>0.259*800</f>
      </c>
      <c r="F30" s="5">
        <f>4.765*800</f>
      </c>
    </row>
    <row x14ac:dyDescent="0.25" r="31" customHeight="1" ht="18.75">
      <c r="A31" s="4">
        <v>30</v>
      </c>
      <c r="B31" s="2" t="s">
        <v>61</v>
      </c>
      <c r="C31" s="2" t="s">
        <v>62</v>
      </c>
      <c r="D31" s="5">
        <f>38.518*800</f>
      </c>
      <c r="E31" s="5">
        <f>0.156*800</f>
      </c>
      <c r="F31" s="5">
        <f>4.799*800</f>
      </c>
    </row>
    <row x14ac:dyDescent="0.25" r="32" customHeight="1" ht="18.75">
      <c r="A32" s="4">
        <v>31</v>
      </c>
      <c r="B32" s="2" t="s">
        <v>63</v>
      </c>
      <c r="C32" s="2" t="s">
        <v>64</v>
      </c>
      <c r="D32" s="4">
        <v>31468</v>
      </c>
      <c r="E32" s="5">
        <f>0.156*800</f>
      </c>
      <c r="F32" s="5">
        <f>4.812*800</f>
      </c>
    </row>
    <row x14ac:dyDescent="0.25" r="33" customHeight="1" ht="18.75">
      <c r="A33" s="4">
        <v>32</v>
      </c>
      <c r="B33" s="2" t="s">
        <v>65</v>
      </c>
      <c r="C33" s="5">
        <v>9.821</v>
      </c>
      <c r="D33" s="4">
        <v>31469</v>
      </c>
      <c r="E33" s="5">
        <f>0.188*800</f>
      </c>
      <c r="F33" s="4">
        <f>4.8*800</f>
      </c>
    </row>
    <row x14ac:dyDescent="0.25" r="34" customHeight="1" ht="18.75">
      <c r="A34" s="4">
        <v>33</v>
      </c>
      <c r="B34" s="2" t="s">
        <v>66</v>
      </c>
      <c r="C34" s="2" t="s">
        <v>67</v>
      </c>
      <c r="D34" s="4">
        <v>31568</v>
      </c>
      <c r="E34" s="4">
        <f>0.18*800</f>
      </c>
      <c r="F34" s="4">
        <f>4.88*800</f>
      </c>
    </row>
    <row x14ac:dyDescent="0.25" r="35" customHeight="1" ht="18.75">
      <c r="A35" s="4">
        <v>34</v>
      </c>
      <c r="B35" s="2" t="s">
        <v>68</v>
      </c>
      <c r="C35" s="2" t="s">
        <v>69</v>
      </c>
      <c r="D35" s="4">
        <v>31546</v>
      </c>
      <c r="E35" s="4">
        <f>0.15*800</f>
      </c>
      <c r="F35" s="4">
        <f>4.45*800</f>
      </c>
    </row>
    <row x14ac:dyDescent="0.25" r="36" customHeight="1" ht="18.75">
      <c r="A36" s="4">
        <v>35</v>
      </c>
      <c r="B36" s="2" t="s">
        <v>70</v>
      </c>
      <c r="C36" s="2" t="s">
        <v>71</v>
      </c>
      <c r="D36" s="4">
        <v>31695</v>
      </c>
      <c r="E36" s="4">
        <f>0.13*800</f>
      </c>
      <c r="F36" s="4">
        <f>4.32*800</f>
      </c>
    </row>
    <row x14ac:dyDescent="0.25" r="37" customHeight="1" ht="18.75">
      <c r="A37" s="4">
        <v>36</v>
      </c>
      <c r="B37" s="2" t="s">
        <v>72</v>
      </c>
      <c r="C37" s="2" t="s">
        <v>73</v>
      </c>
      <c r="D37" s="4">
        <v>31564</v>
      </c>
      <c r="E37" s="5">
        <f>0.141*800</f>
      </c>
      <c r="F37" s="5">
        <f>4.39*800</f>
      </c>
    </row>
    <row x14ac:dyDescent="0.25" r="38" customHeight="1" ht="18.75">
      <c r="A38" s="4">
        <v>37</v>
      </c>
      <c r="B38" s="5">
        <v>371.583</v>
      </c>
      <c r="C38" s="2" t="s">
        <v>74</v>
      </c>
      <c r="D38" s="4">
        <v>31564</v>
      </c>
      <c r="E38" s="5">
        <f>0.132*800</f>
      </c>
      <c r="F38" s="4">
        <f>4.78*800</f>
      </c>
    </row>
    <row x14ac:dyDescent="0.25" r="39" customHeight="1" ht="18.75">
      <c r="A39" s="4">
        <v>38</v>
      </c>
      <c r="B39" s="2" t="s">
        <v>75</v>
      </c>
      <c r="C39" s="2" t="s">
        <v>76</v>
      </c>
      <c r="D39" s="4">
        <v>31566</v>
      </c>
      <c r="E39" s="4">
        <f>0.13*800</f>
      </c>
      <c r="F39" s="5">
        <f>4.69*800</f>
      </c>
    </row>
    <row x14ac:dyDescent="0.25" r="40" customHeight="1" ht="18.75">
      <c r="A40" s="4">
        <v>39</v>
      </c>
      <c r="B40" s="2" t="s">
        <v>77</v>
      </c>
      <c r="C40" s="2" t="s">
        <v>78</v>
      </c>
      <c r="D40" s="4">
        <v>31564</v>
      </c>
      <c r="E40" s="4">
        <f>0.12*800</f>
      </c>
      <c r="F40" s="4">
        <f>4.78*800</f>
      </c>
    </row>
    <row x14ac:dyDescent="0.25" r="41" customHeight="1" ht="18.75">
      <c r="A41" s="4">
        <v>40</v>
      </c>
      <c r="B41" s="2" t="s">
        <v>79</v>
      </c>
      <c r="C41" s="2" t="s">
        <v>80</v>
      </c>
      <c r="D41" s="4">
        <v>31556</v>
      </c>
      <c r="E41" s="4">
        <f>0.11*800</f>
      </c>
      <c r="F41" s="4">
        <f>4.95*800</f>
      </c>
    </row>
    <row x14ac:dyDescent="0.25" r="42" customHeight="1" ht="18.75">
      <c r="A42" s="4">
        <v>41</v>
      </c>
      <c r="B42" s="2" t="s">
        <v>81</v>
      </c>
      <c r="C42" s="2" t="s">
        <v>82</v>
      </c>
      <c r="D42" s="4">
        <v>31564</v>
      </c>
      <c r="E42" s="5">
        <f>0.126*800</f>
      </c>
      <c r="F42" s="5">
        <f>4.56*800</f>
      </c>
    </row>
    <row x14ac:dyDescent="0.25" r="43" customHeight="1" ht="18.75">
      <c r="A43" s="1" t="s">
        <v>83</v>
      </c>
      <c r="B43" s="2"/>
      <c r="C43" s="2"/>
      <c r="D43" s="5">
        <f>AVERAGE(D2:D42)</f>
      </c>
      <c r="E43" s="5">
        <f>AVERAGE(E2:E42)</f>
      </c>
      <c r="F43" s="5">
        <f>AVERAGE(F2:F42)</f>
      </c>
    </row>
    <row x14ac:dyDescent="0.25" r="44" customHeight="1" ht="18.75">
      <c r="A44" s="1" t="s">
        <v>84</v>
      </c>
      <c r="B44" s="2"/>
      <c r="C44" s="2"/>
      <c r="D44" s="5">
        <f>MAX(D2:D42)</f>
      </c>
      <c r="E44" s="5">
        <f>MAX(E2:E42)</f>
      </c>
      <c r="F44" s="5">
        <f>MAX(F2:F42)</f>
      </c>
    </row>
    <row x14ac:dyDescent="0.25" r="45" customHeight="1" ht="18.75">
      <c r="A45" s="1" t="s">
        <v>85</v>
      </c>
      <c r="B45" s="2"/>
      <c r="C45" s="2"/>
      <c r="D45" s="5">
        <f>MIN(D2:D42)</f>
      </c>
      <c r="E45" s="5">
        <f>MIN(E2:E42)</f>
      </c>
      <c r="F45" s="5">
        <f>MIN(F2:F42)</f>
      </c>
    </row>
    <row x14ac:dyDescent="0.25" r="46" customHeight="1" ht="18.75">
      <c r="A46" s="1" t="s">
        <v>86</v>
      </c>
      <c r="B46" s="2"/>
      <c r="C46" s="2"/>
      <c r="D46" s="5">
        <f>_xlfn.STDEV.S(D2:D42)</f>
      </c>
      <c r="E46" s="5">
        <f>_xlfn.STDEV.S(E2:E42)</f>
      </c>
      <c r="F46" s="5">
        <f>_xlfn.STDEV.S(F2:F42)</f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46"/>
  <sheetViews>
    <sheetView workbookViewId="0"/>
  </sheetViews>
  <sheetFormatPr defaultRowHeight="15" x14ac:dyDescent="0.25"/>
  <cols>
    <col min="1" max="1" style="6" width="14.719285714285713" customWidth="1" bestFit="1"/>
    <col min="2" max="2" style="7" width="14.719285714285713" customWidth="1" bestFit="1"/>
    <col min="3" max="3" style="7" width="14.719285714285713" customWidth="1" bestFit="1"/>
    <col min="4" max="4" style="8" width="11.576428571428572" customWidth="1" bestFit="1"/>
    <col min="5" max="5" style="8" width="11.576428571428572" customWidth="1" bestFit="1"/>
    <col min="6" max="6" style="8" width="13.576428571428572" customWidth="1" bestFit="1"/>
    <col min="7" max="7" style="8" width="11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x14ac:dyDescent="0.25" r="2" customHeight="1" ht="18.75">
      <c r="A2" s="4">
        <v>1</v>
      </c>
      <c r="B2" s="2" t="s">
        <v>7</v>
      </c>
      <c r="C2" s="2" t="s">
        <v>8</v>
      </c>
      <c r="D2" s="4">
        <v>1978</v>
      </c>
      <c r="E2" s="4">
        <v>317</v>
      </c>
      <c r="F2" s="4">
        <v>530</v>
      </c>
      <c r="G2" s="4">
        <v>1478</v>
      </c>
    </row>
    <row x14ac:dyDescent="0.25" r="3" customHeight="1" ht="18.75">
      <c r="A3" s="4">
        <v>2</v>
      </c>
      <c r="B3" s="2" t="s">
        <v>9</v>
      </c>
      <c r="C3" s="2" t="s">
        <v>10</v>
      </c>
      <c r="D3" s="4">
        <v>1961</v>
      </c>
      <c r="E3" s="4">
        <v>316</v>
      </c>
      <c r="F3" s="4">
        <v>522</v>
      </c>
      <c r="G3" s="4">
        <v>1465</v>
      </c>
    </row>
    <row x14ac:dyDescent="0.25" r="4" customHeight="1" ht="18.75">
      <c r="A4" s="4">
        <v>3</v>
      </c>
      <c r="B4" s="2" t="s">
        <v>11</v>
      </c>
      <c r="C4" s="2" t="s">
        <v>12</v>
      </c>
      <c r="D4" s="4">
        <v>1970</v>
      </c>
      <c r="E4" s="4">
        <v>315</v>
      </c>
      <c r="F4" s="5">
        <v>511.6</v>
      </c>
      <c r="G4" s="4">
        <v>1431</v>
      </c>
    </row>
    <row x14ac:dyDescent="0.25" r="5" customHeight="1" ht="18.75">
      <c r="A5" s="4">
        <v>4</v>
      </c>
      <c r="B5" s="2" t="s">
        <v>13</v>
      </c>
      <c r="C5" s="2" t="s">
        <v>14</v>
      </c>
      <c r="D5" s="4">
        <v>1975</v>
      </c>
      <c r="E5" s="4">
        <v>318</v>
      </c>
      <c r="F5" s="5">
        <v>518.3</v>
      </c>
      <c r="G5" s="4">
        <v>1430</v>
      </c>
    </row>
    <row x14ac:dyDescent="0.25" r="6" customHeight="1" ht="18.75">
      <c r="A6" s="4">
        <v>5</v>
      </c>
      <c r="B6" s="5">
        <v>37.238</v>
      </c>
      <c r="C6" s="2" t="s">
        <v>15</v>
      </c>
      <c r="D6" s="4">
        <v>1972</v>
      </c>
      <c r="E6" s="5">
        <v>314.5</v>
      </c>
      <c r="F6" s="5">
        <v>523.7</v>
      </c>
      <c r="G6" s="4">
        <v>1426</v>
      </c>
    </row>
    <row x14ac:dyDescent="0.25" r="7" customHeight="1" ht="18.75">
      <c r="A7" s="4">
        <v>6</v>
      </c>
      <c r="B7" s="2" t="s">
        <v>16</v>
      </c>
      <c r="C7" s="2" t="s">
        <v>17</v>
      </c>
      <c r="D7" s="4">
        <v>1969</v>
      </c>
      <c r="E7" s="5">
        <v>313.5</v>
      </c>
      <c r="F7" s="5">
        <v>541.6</v>
      </c>
      <c r="G7" s="4">
        <v>1320</v>
      </c>
    </row>
    <row x14ac:dyDescent="0.25" r="8" customHeight="1" ht="18.75">
      <c r="A8" s="4">
        <v>7</v>
      </c>
      <c r="B8" s="2" t="s">
        <v>18</v>
      </c>
      <c r="C8" s="2" t="s">
        <v>19</v>
      </c>
      <c r="D8" s="4">
        <v>1959</v>
      </c>
      <c r="E8" s="4">
        <v>313</v>
      </c>
      <c r="F8" s="4">
        <v>530</v>
      </c>
      <c r="G8" s="4">
        <v>1500</v>
      </c>
    </row>
    <row x14ac:dyDescent="0.25" r="9" customHeight="1" ht="18.75">
      <c r="A9" s="4">
        <v>8</v>
      </c>
      <c r="B9" s="2" t="s">
        <v>20</v>
      </c>
      <c r="C9" s="2" t="s">
        <v>21</v>
      </c>
      <c r="D9" s="4">
        <v>1981</v>
      </c>
      <c r="E9" s="4">
        <v>314</v>
      </c>
      <c r="F9" s="5">
        <v>523.8</v>
      </c>
      <c r="G9" s="4">
        <v>1500</v>
      </c>
    </row>
    <row x14ac:dyDescent="0.25" r="10" customHeight="1" ht="18.75">
      <c r="A10" s="4">
        <v>9</v>
      </c>
      <c r="B10" s="2" t="s">
        <v>22</v>
      </c>
      <c r="C10" s="2" t="s">
        <v>23</v>
      </c>
      <c r="D10" s="4">
        <v>1985</v>
      </c>
      <c r="E10" s="5">
        <v>312.5</v>
      </c>
      <c r="F10" s="5">
        <v>501.3</v>
      </c>
      <c r="G10" s="5">
        <v>1495.5</v>
      </c>
    </row>
    <row x14ac:dyDescent="0.25" r="11" customHeight="1" ht="18.75">
      <c r="A11" s="4">
        <v>10</v>
      </c>
      <c r="B11" s="2" t="s">
        <v>24</v>
      </c>
      <c r="C11" s="2" t="s">
        <v>25</v>
      </c>
      <c r="D11" s="4">
        <v>1983</v>
      </c>
      <c r="E11" s="5">
        <v>313.5</v>
      </c>
      <c r="F11" s="5">
        <v>514.23</v>
      </c>
      <c r="G11" s="5">
        <v>1426.11</v>
      </c>
    </row>
    <row x14ac:dyDescent="0.25" r="12" customHeight="1" ht="18.75">
      <c r="A12" s="4">
        <v>11</v>
      </c>
      <c r="B12" s="2" t="s">
        <v>26</v>
      </c>
      <c r="C12" s="2" t="s">
        <v>27</v>
      </c>
      <c r="D12" s="4">
        <v>1971</v>
      </c>
      <c r="E12" s="5">
        <v>313.6</v>
      </c>
      <c r="F12" s="4">
        <v>510</v>
      </c>
      <c r="G12" s="5">
        <v>1485.8</v>
      </c>
    </row>
    <row x14ac:dyDescent="0.25" r="13" customHeight="1" ht="18.75">
      <c r="A13" s="4">
        <v>12</v>
      </c>
      <c r="B13" s="2" t="s">
        <v>26</v>
      </c>
      <c r="C13" s="5">
        <v>985.885</v>
      </c>
      <c r="D13" s="4">
        <v>1971</v>
      </c>
      <c r="E13" s="5">
        <v>313.9</v>
      </c>
      <c r="F13" s="5">
        <v>517.6</v>
      </c>
      <c r="G13" s="5">
        <v>1487.7</v>
      </c>
    </row>
    <row x14ac:dyDescent="0.25" r="14" customHeight="1" ht="18.75">
      <c r="A14" s="4">
        <v>13</v>
      </c>
      <c r="B14" s="2" t="s">
        <v>28</v>
      </c>
      <c r="C14" s="2" t="s">
        <v>29</v>
      </c>
      <c r="D14" s="4">
        <v>1968</v>
      </c>
      <c r="E14" s="5">
        <v>313.7</v>
      </c>
      <c r="F14" s="5">
        <v>521.2</v>
      </c>
      <c r="G14" s="5">
        <v>1486.9</v>
      </c>
    </row>
    <row x14ac:dyDescent="0.25" r="15" customHeight="1" ht="18.75">
      <c r="A15" s="4">
        <v>14</v>
      </c>
      <c r="B15" s="2" t="s">
        <v>30</v>
      </c>
      <c r="C15" s="2" t="s">
        <v>31</v>
      </c>
      <c r="D15" s="4">
        <v>1963</v>
      </c>
      <c r="E15" s="4">
        <v>314</v>
      </c>
      <c r="F15" s="5">
        <v>530.6</v>
      </c>
      <c r="G15" s="5">
        <v>1476.6</v>
      </c>
    </row>
    <row x14ac:dyDescent="0.25" r="16" customHeight="1" ht="18.75">
      <c r="A16" s="4">
        <v>15</v>
      </c>
      <c r="B16" s="2" t="s">
        <v>32</v>
      </c>
      <c r="C16" s="5">
        <v>99.142</v>
      </c>
      <c r="D16" s="4">
        <v>1990</v>
      </c>
      <c r="E16" s="5">
        <v>314.5</v>
      </c>
      <c r="F16" s="5">
        <v>526.6</v>
      </c>
      <c r="G16" s="5">
        <v>1475.5</v>
      </c>
    </row>
    <row x14ac:dyDescent="0.25" r="17" customHeight="1" ht="18.75">
      <c r="A17" s="4">
        <v>16</v>
      </c>
      <c r="B17" s="2" t="s">
        <v>33</v>
      </c>
      <c r="C17" s="2" t="s">
        <v>34</v>
      </c>
      <c r="D17" s="4">
        <v>1988</v>
      </c>
      <c r="E17" s="5">
        <v>315.5</v>
      </c>
      <c r="F17" s="5">
        <v>526.12</v>
      </c>
      <c r="G17" s="5">
        <v>1477.9</v>
      </c>
    </row>
    <row x14ac:dyDescent="0.25" r="18" customHeight="1" ht="18.75">
      <c r="A18" s="4">
        <v>17</v>
      </c>
      <c r="B18" s="2" t="s">
        <v>35</v>
      </c>
      <c r="C18" s="2" t="s">
        <v>36</v>
      </c>
      <c r="D18" s="4">
        <v>1987</v>
      </c>
      <c r="E18" s="5">
        <v>318.8</v>
      </c>
      <c r="F18" s="5">
        <v>514.5</v>
      </c>
      <c r="G18" s="4">
        <v>1480</v>
      </c>
    </row>
    <row x14ac:dyDescent="0.25" r="19" customHeight="1" ht="18.75">
      <c r="A19" s="4">
        <v>18</v>
      </c>
      <c r="B19" s="2" t="s">
        <v>37</v>
      </c>
      <c r="C19" s="2" t="s">
        <v>38</v>
      </c>
      <c r="D19" s="4">
        <v>1987</v>
      </c>
      <c r="E19" s="5">
        <v>318.7</v>
      </c>
      <c r="F19" s="5">
        <v>514.7</v>
      </c>
      <c r="G19" s="4">
        <v>1500</v>
      </c>
    </row>
    <row x14ac:dyDescent="0.25" r="20" customHeight="1" ht="18.75">
      <c r="A20" s="4">
        <v>19</v>
      </c>
      <c r="B20" s="2" t="s">
        <v>39</v>
      </c>
      <c r="C20" s="2" t="s">
        <v>40</v>
      </c>
      <c r="D20" s="4">
        <v>1986</v>
      </c>
      <c r="E20" s="5">
        <v>318.9</v>
      </c>
      <c r="F20" s="5">
        <v>513.6</v>
      </c>
      <c r="G20" s="4">
        <v>1503</v>
      </c>
    </row>
    <row x14ac:dyDescent="0.25" r="21" customHeight="1" ht="18.75">
      <c r="A21" s="4">
        <v>20</v>
      </c>
      <c r="B21" s="2" t="s">
        <v>41</v>
      </c>
      <c r="C21" s="2" t="s">
        <v>42</v>
      </c>
      <c r="D21" s="4">
        <v>1982</v>
      </c>
      <c r="E21" s="5">
        <v>318.1</v>
      </c>
      <c r="F21" s="5">
        <v>519.9</v>
      </c>
      <c r="G21" s="5">
        <v>1495.9</v>
      </c>
    </row>
    <row x14ac:dyDescent="0.25" r="22" customHeight="1" ht="18.75">
      <c r="A22" s="4">
        <v>21</v>
      </c>
      <c r="B22" s="2" t="s">
        <v>43</v>
      </c>
      <c r="C22" s="2" t="s">
        <v>44</v>
      </c>
      <c r="D22" s="4">
        <v>1983</v>
      </c>
      <c r="E22" s="5">
        <v>317.9</v>
      </c>
      <c r="F22" s="5">
        <v>520.2</v>
      </c>
      <c r="G22" s="4">
        <v>1478</v>
      </c>
    </row>
    <row x14ac:dyDescent="0.25" r="23" customHeight="1" ht="18.75">
      <c r="A23" s="4">
        <v>22</v>
      </c>
      <c r="B23" s="2" t="s">
        <v>45</v>
      </c>
      <c r="C23" s="2" t="s">
        <v>46</v>
      </c>
      <c r="D23" s="4">
        <v>1981</v>
      </c>
      <c r="E23" s="4">
        <v>318</v>
      </c>
      <c r="F23" s="5">
        <v>523.8</v>
      </c>
      <c r="G23" s="5">
        <v>1478.6</v>
      </c>
    </row>
    <row x14ac:dyDescent="0.25" r="24" customHeight="1" ht="18.75">
      <c r="A24" s="4">
        <v>23</v>
      </c>
      <c r="B24" s="2" t="s">
        <v>47</v>
      </c>
      <c r="C24" s="2" t="s">
        <v>48</v>
      </c>
      <c r="D24" s="4">
        <v>1984</v>
      </c>
      <c r="E24" s="5">
        <v>310.2</v>
      </c>
      <c r="F24" s="4">
        <v>522</v>
      </c>
      <c r="G24" s="4">
        <v>1488</v>
      </c>
    </row>
    <row x14ac:dyDescent="0.25" r="25" customHeight="1" ht="18.75">
      <c r="A25" s="4">
        <v>24</v>
      </c>
      <c r="B25" s="2" t="s">
        <v>49</v>
      </c>
      <c r="C25" s="2" t="s">
        <v>50</v>
      </c>
      <c r="D25" s="4">
        <v>1985</v>
      </c>
      <c r="E25" s="5">
        <v>311.8</v>
      </c>
      <c r="F25" s="5">
        <v>521.8</v>
      </c>
      <c r="G25" s="5">
        <v>1482.11</v>
      </c>
    </row>
    <row x14ac:dyDescent="0.25" r="26" customHeight="1" ht="18.75">
      <c r="A26" s="4">
        <v>25</v>
      </c>
      <c r="B26" s="2" t="s">
        <v>51</v>
      </c>
      <c r="C26" s="2" t="s">
        <v>52</v>
      </c>
      <c r="D26" s="4">
        <v>1989</v>
      </c>
      <c r="E26" s="5">
        <v>319.3</v>
      </c>
      <c r="F26" s="4">
        <v>521</v>
      </c>
      <c r="G26" s="4">
        <v>1490</v>
      </c>
    </row>
    <row x14ac:dyDescent="0.25" r="27" customHeight="1" ht="18.75">
      <c r="A27" s="4">
        <v>26</v>
      </c>
      <c r="B27" s="2" t="s">
        <v>53</v>
      </c>
      <c r="C27" s="2" t="s">
        <v>54</v>
      </c>
      <c r="D27" s="4">
        <v>1974</v>
      </c>
      <c r="E27" s="5">
        <v>312.8</v>
      </c>
      <c r="F27" s="5">
        <v>511.6</v>
      </c>
      <c r="G27" s="4">
        <v>1492</v>
      </c>
    </row>
    <row x14ac:dyDescent="0.25" r="28" customHeight="1" ht="18.75">
      <c r="A28" s="4">
        <v>27</v>
      </c>
      <c r="B28" s="2" t="s">
        <v>55</v>
      </c>
      <c r="C28" s="2" t="s">
        <v>56</v>
      </c>
      <c r="D28" s="4">
        <v>1942</v>
      </c>
      <c r="E28" s="5">
        <v>311.2</v>
      </c>
      <c r="F28" s="5">
        <v>532.8</v>
      </c>
      <c r="G28" s="5">
        <v>1492.2</v>
      </c>
    </row>
    <row x14ac:dyDescent="0.25" r="29" customHeight="1" ht="18.75">
      <c r="A29" s="4">
        <v>28</v>
      </c>
      <c r="B29" s="2" t="s">
        <v>57</v>
      </c>
      <c r="C29" s="2" t="s">
        <v>58</v>
      </c>
      <c r="D29" s="4">
        <v>1903</v>
      </c>
      <c r="E29" s="5">
        <v>300.1</v>
      </c>
      <c r="F29" s="5">
        <v>495.6</v>
      </c>
      <c r="G29" s="4">
        <v>1491</v>
      </c>
    </row>
    <row x14ac:dyDescent="0.25" r="30" customHeight="1" ht="18.75">
      <c r="A30" s="4">
        <v>29</v>
      </c>
      <c r="B30" s="2" t="s">
        <v>59</v>
      </c>
      <c r="C30" s="2" t="s">
        <v>60</v>
      </c>
      <c r="D30" s="4">
        <v>1914</v>
      </c>
      <c r="E30" s="5">
        <v>305.6</v>
      </c>
      <c r="F30" s="5">
        <v>520.11</v>
      </c>
      <c r="G30" s="4">
        <v>1500</v>
      </c>
    </row>
    <row x14ac:dyDescent="0.25" r="31" customHeight="1" ht="18.75">
      <c r="A31" s="4">
        <v>30</v>
      </c>
      <c r="B31" s="2" t="s">
        <v>61</v>
      </c>
      <c r="C31" s="2" t="s">
        <v>62</v>
      </c>
      <c r="D31" s="4">
        <v>1918</v>
      </c>
      <c r="E31" s="5">
        <v>304.2</v>
      </c>
      <c r="F31" s="5">
        <v>531.2</v>
      </c>
      <c r="G31" s="5">
        <v>1495.8</v>
      </c>
    </row>
    <row x14ac:dyDescent="0.25" r="32" customHeight="1" ht="18.75">
      <c r="A32" s="4">
        <v>31</v>
      </c>
      <c r="B32" s="2" t="s">
        <v>63</v>
      </c>
      <c r="C32" s="2" t="s">
        <v>64</v>
      </c>
      <c r="D32" s="4">
        <v>1916</v>
      </c>
      <c r="E32" s="5">
        <v>304.6</v>
      </c>
      <c r="F32" s="4">
        <v>521</v>
      </c>
      <c r="G32" s="5">
        <v>1511.2</v>
      </c>
    </row>
    <row x14ac:dyDescent="0.25" r="33" customHeight="1" ht="18.75">
      <c r="A33" s="4">
        <v>32</v>
      </c>
      <c r="B33" s="2" t="s">
        <v>65</v>
      </c>
      <c r="C33" s="5">
        <v>9.821</v>
      </c>
      <c r="D33" s="4">
        <v>1944</v>
      </c>
      <c r="E33" s="5">
        <v>308.4</v>
      </c>
      <c r="F33" s="5">
        <v>528.9</v>
      </c>
      <c r="G33" s="4">
        <v>1496</v>
      </c>
    </row>
    <row x14ac:dyDescent="0.25" r="34" customHeight="1" ht="18.75">
      <c r="A34" s="4">
        <v>33</v>
      </c>
      <c r="B34" s="2" t="s">
        <v>66</v>
      </c>
      <c r="C34" s="2" t="s">
        <v>67</v>
      </c>
      <c r="D34" s="4">
        <v>1930</v>
      </c>
      <c r="E34" s="5">
        <v>308.4</v>
      </c>
      <c r="F34" s="5">
        <v>526.2</v>
      </c>
      <c r="G34" s="4">
        <v>1499</v>
      </c>
    </row>
    <row x14ac:dyDescent="0.25" r="35" customHeight="1" ht="18.75">
      <c r="A35" s="4">
        <v>34</v>
      </c>
      <c r="B35" s="2" t="s">
        <v>68</v>
      </c>
      <c r="C35" s="2" t="s">
        <v>69</v>
      </c>
      <c r="D35" s="4">
        <v>1985</v>
      </c>
      <c r="E35" s="5">
        <v>313.3</v>
      </c>
      <c r="F35" s="5">
        <v>525.6</v>
      </c>
      <c r="G35" s="5">
        <v>1495.7</v>
      </c>
    </row>
    <row x14ac:dyDescent="0.25" r="36" customHeight="1" ht="18.75">
      <c r="A36" s="4">
        <v>35</v>
      </c>
      <c r="B36" s="2" t="s">
        <v>70</v>
      </c>
      <c r="C36" s="2" t="s">
        <v>71</v>
      </c>
      <c r="D36" s="4">
        <v>1952</v>
      </c>
      <c r="E36" s="5">
        <v>308.3</v>
      </c>
      <c r="F36" s="4">
        <v>525</v>
      </c>
      <c r="G36" s="5">
        <v>1462.2</v>
      </c>
    </row>
    <row x14ac:dyDescent="0.25" r="37" customHeight="1" ht="18.75">
      <c r="A37" s="4">
        <v>36</v>
      </c>
      <c r="B37" s="2" t="s">
        <v>72</v>
      </c>
      <c r="C37" s="2" t="s">
        <v>73</v>
      </c>
      <c r="D37" s="4">
        <v>1936</v>
      </c>
      <c r="E37" s="5">
        <v>309.3</v>
      </c>
      <c r="F37" s="5">
        <v>524.8</v>
      </c>
      <c r="G37" s="4">
        <v>1492</v>
      </c>
    </row>
    <row x14ac:dyDescent="0.25" r="38" customHeight="1" ht="18.75">
      <c r="A38" s="4">
        <v>37</v>
      </c>
      <c r="B38" s="5">
        <v>371.583</v>
      </c>
      <c r="C38" s="2" t="s">
        <v>74</v>
      </c>
      <c r="D38" s="4">
        <v>1933</v>
      </c>
      <c r="E38" s="5">
        <v>306.3</v>
      </c>
      <c r="F38" s="4">
        <v>526</v>
      </c>
      <c r="G38" s="4">
        <v>1499</v>
      </c>
    </row>
    <row x14ac:dyDescent="0.25" r="39" customHeight="1" ht="18.75">
      <c r="A39" s="4">
        <v>38</v>
      </c>
      <c r="B39" s="2" t="s">
        <v>75</v>
      </c>
      <c r="C39" s="2" t="s">
        <v>76</v>
      </c>
      <c r="D39" s="4">
        <v>1932</v>
      </c>
      <c r="E39" s="5">
        <v>311.6</v>
      </c>
      <c r="F39" s="5">
        <v>526.7</v>
      </c>
      <c r="G39" s="4">
        <v>1500</v>
      </c>
    </row>
    <row x14ac:dyDescent="0.25" r="40" customHeight="1" ht="18.75">
      <c r="A40" s="4">
        <v>39</v>
      </c>
      <c r="B40" s="2" t="s">
        <v>77</v>
      </c>
      <c r="C40" s="2" t="s">
        <v>78</v>
      </c>
      <c r="D40" s="4">
        <v>1941</v>
      </c>
      <c r="E40" s="5">
        <v>312.8</v>
      </c>
      <c r="F40" s="5">
        <v>527.3</v>
      </c>
      <c r="G40" s="4">
        <v>1501</v>
      </c>
    </row>
    <row x14ac:dyDescent="0.25" r="41" customHeight="1" ht="18.75">
      <c r="A41" s="4">
        <v>40</v>
      </c>
      <c r="B41" s="2" t="s">
        <v>79</v>
      </c>
      <c r="C41" s="2" t="s">
        <v>80</v>
      </c>
      <c r="D41" s="4">
        <v>1952</v>
      </c>
      <c r="E41" s="5">
        <v>315.9</v>
      </c>
      <c r="F41" s="5">
        <v>528.2</v>
      </c>
      <c r="G41" s="4">
        <v>1500</v>
      </c>
    </row>
    <row x14ac:dyDescent="0.25" r="42" customHeight="1" ht="18.75">
      <c r="A42" s="4">
        <v>41</v>
      </c>
      <c r="B42" s="2" t="s">
        <v>81</v>
      </c>
      <c r="C42" s="2" t="s">
        <v>82</v>
      </c>
      <c r="D42" s="4">
        <v>1953</v>
      </c>
      <c r="E42" s="5">
        <v>317.8</v>
      </c>
      <c r="F42" s="4">
        <v>528</v>
      </c>
      <c r="G42" s="5">
        <v>1495.4</v>
      </c>
    </row>
    <row x14ac:dyDescent="0.25" r="43" customHeight="1" ht="18.75">
      <c r="A43" s="1" t="s">
        <v>83</v>
      </c>
      <c r="B43" s="2"/>
      <c r="C43" s="2"/>
      <c r="D43" s="5">
        <f>AVERAGE(D2:D42)</f>
      </c>
      <c r="E43" s="5">
        <f>AVERAGE(E2:E42)</f>
      </c>
      <c r="F43" s="5">
        <f>AVERAGE(F2:F42)</f>
      </c>
      <c r="G43" s="5">
        <f>AVERAGE(G2:G42)</f>
      </c>
    </row>
    <row x14ac:dyDescent="0.25" r="44" customHeight="1" ht="18.75">
      <c r="A44" s="1" t="s">
        <v>84</v>
      </c>
      <c r="B44" s="2"/>
      <c r="C44" s="2"/>
      <c r="D44" s="4">
        <f>MAX(D2:D42)</f>
      </c>
      <c r="E44" s="5">
        <f>MAX(E2:E42)</f>
      </c>
      <c r="F44" s="5">
        <f>MAX(F2:F42)</f>
      </c>
      <c r="G44" s="5">
        <f>MAX(G2:G42)</f>
      </c>
    </row>
    <row x14ac:dyDescent="0.25" r="45" customHeight="1" ht="18.75">
      <c r="A45" s="1" t="s">
        <v>85</v>
      </c>
      <c r="B45" s="2"/>
      <c r="C45" s="2"/>
      <c r="D45" s="4">
        <f>MIN(D2:D42)</f>
      </c>
      <c r="E45" s="5">
        <f>MIN(E2:E42)</f>
      </c>
      <c r="F45" s="5">
        <f>MIN(F2:F42)</f>
      </c>
      <c r="G45" s="4">
        <f>MIN(G2:G42)</f>
      </c>
    </row>
    <row x14ac:dyDescent="0.25" r="46" customHeight="1" ht="18.75">
      <c r="A46" s="1" t="s">
        <v>86</v>
      </c>
      <c r="B46" s="2"/>
      <c r="C46" s="2"/>
      <c r="D46" s="5">
        <f>_xlfn.STDEV.S(D2:D42)</f>
      </c>
      <c r="E46" s="5">
        <f>_xlfn.STDEV.S(E2:E42)</f>
      </c>
      <c r="F46" s="5">
        <f>_xlfn.STDEV.S(F2:F42)</f>
      </c>
      <c r="G46" s="5">
        <f>_xlfn.STDEV.S(G2:G42)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Water</vt:lpstr>
      <vt:lpstr>water - trace Metals</vt:lpstr>
      <vt:lpstr>Diagram</vt:lpstr>
      <vt:lpstr>Water -Anions</vt:lpstr>
      <vt:lpstr>water-major elements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2024-05-20T21:13:35.411Z</dcterms:created>
  <dcterms:modified xsi:type="dcterms:W3CDTF">2024-05-20T21:13:35.411Z</dcterms:modified>
</cp:coreProperties>
</file>