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BSIF:
If no, use the "Cost of Debt Derived from Notes" Table to find Cost of Debt and Estimated Market Value</t>
      </text>
    </comment>
    <comment authorId="0" ref="D5">
      <text>
        <t xml:space="preserve">BSIF:
From 10-K Annual Report Footnotes
Example- Lorillard Page 66</t>
      </text>
    </comment>
    <comment authorId="0" ref="C6">
      <text>
        <t xml:space="preserve">BSIF:
If Yes, use cell D6 to insert WACC</t>
      </text>
    </comment>
    <comment authorId="0" ref="C7">
      <text>
        <t xml:space="preserve">BSIF:
If yes, enter value after tax.
Ex-
(Pretax Rd)*(1-TaxRate)
</t>
      </text>
    </comment>
    <comment authorId="0" ref="E10">
      <text>
        <t xml:space="preserve">BSIF:
Derived from stated long term debt issuances outlined in annual report
Include all outstanding issuances of debt, Value of Issuance, and Interest Rate
Ex-Lorillard 2013 10-K Page 66</t>
      </text>
    </comment>
    <comment authorId="0" ref="B12">
      <text>
        <t xml:space="preserve">BSIF:
Morningstar.com Key Ratios</t>
      </text>
    </comment>
    <comment authorId="0" ref="B13">
      <text>
        <t xml:space="preserve">BSIF:
20 Year AAA Rate
http://finance.yahoo.com/bonds/composite_bond_rates</t>
      </text>
    </comment>
    <comment authorId="0" ref="B14">
      <text>
        <t xml:space="preserve">BSIF:
Damodaran Website Data
2013: 5.80%</t>
      </text>
    </comment>
    <comment authorId="0" ref="B21">
      <text>
        <t xml:space="preserve">BSIF:
From 10-K Annual Report Footnotes</t>
      </text>
    </comment>
    <comment authorId="0" ref="D26">
      <text>
        <t xml:space="preserve">BSIF:
Pre-Tax Cost of Debt</t>
      </text>
    </comment>
    <comment authorId="0" ref="D27">
      <text>
        <t xml:space="preserve">BSIF:
After Tax Cost of Debt</t>
      </text>
    </comment>
    <comment authorId="0" ref="A33">
      <text>
        <t xml:space="preserve">BSIF:
Minimum 3 Years, Maximum 10 Years</t>
      </text>
    </comment>
    <comment authorId="0" ref="A34">
      <text>
        <t xml:space="preserve">BSIF: 
Make sure that you can justify this</t>
      </text>
    </comment>
    <comment authorId="0" ref="G35">
      <text>
        <t xml:space="preserve">BSIF:
Other Equity Claims
Ex- Minority Interest, Treasury Stock, Etc.</t>
      </text>
    </comment>
    <comment authorId="0" ref="D36">
      <text>
        <t xml:space="preserve">BSIF:
Current Assets- Current Liabilities</t>
      </text>
    </comment>
    <comment authorId="0" ref="A93">
      <text>
        <t xml:space="preserve">BSIF:
On Morningstar, CapEx is listed as a negative number, however, insert expenditures as positive</t>
      </text>
    </comment>
    <comment authorId="0" ref="D146">
      <text>
        <t xml:space="preserve">BSIF:
This number is one way to select your growth rate of dividends without considering future analysis.  It could be one number used as your growth rate</t>
      </text>
    </comment>
    <comment authorId="0" ref="A153">
      <text>
        <t xml:space="preserve">BSIF:
Could use CAGR from right, an analyst opinion, or other source</t>
      </text>
    </comment>
    <comment authorId="0" ref="A157">
      <text>
        <t xml:space="preserve">BSIF:
Minimum 3 Years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BSIF:
If no, use the "Cost of Debt Derived from Notes" Table to find Cost of Debt and Estimated Market Value</t>
      </text>
    </comment>
    <comment authorId="0" ref="D5">
      <text>
        <t xml:space="preserve">BSIF:
From 10-K Annual Report Footnotes
Example- Lorillard Page 66</t>
      </text>
    </comment>
    <comment authorId="0" ref="C6">
      <text>
        <t xml:space="preserve">BSIF:
If Yes, use cell D6 to insert WACC</t>
      </text>
    </comment>
    <comment authorId="0" ref="C7">
      <text>
        <t xml:space="preserve">BSIF:
If yes, enter value after tax.
Ex-
(Pretax Rd)*(1-TaxRate)
</t>
      </text>
    </comment>
    <comment authorId="0" ref="E10">
      <text>
        <t xml:space="preserve">BSIF:
Derived from stated long term debt issuances outlined in annual report
Include all outstanding issuances of debt, Value of Issuance, and Interest Rate
Ex-Lorillard 2013 10-K Page 66</t>
      </text>
    </comment>
    <comment authorId="0" ref="B12">
      <text>
        <t xml:space="preserve">BSIF:
Morningstar.com Key Ratios</t>
      </text>
    </comment>
    <comment authorId="0" ref="B13">
      <text>
        <t xml:space="preserve">BSIF:
20 Year AAA Rate
http://finance.yahoo.com/bonds/composite_bond_rates</t>
      </text>
    </comment>
    <comment authorId="0" ref="B14">
      <text>
        <t xml:space="preserve">BSIF:
Damodaran Website Data
2013: 5.80%</t>
      </text>
    </comment>
    <comment authorId="0" ref="B21">
      <text>
        <t xml:space="preserve">BSIF:
From 10-K Annual Report Footnotes</t>
      </text>
    </comment>
    <comment authorId="0" ref="D26">
      <text>
        <t xml:space="preserve">BSIF:
Pre-Tax Cost of Debt</t>
      </text>
    </comment>
    <comment authorId="0" ref="D27">
      <text>
        <t xml:space="preserve">BSIF:
After Tax Cost of Debt</t>
      </text>
    </comment>
    <comment authorId="0" ref="A33">
      <text>
        <t xml:space="preserve">BSIF:
Minimum 3 Years, Maximum 10 Years</t>
      </text>
    </comment>
    <comment authorId="0" ref="A34">
      <text>
        <t xml:space="preserve">BSIF: 
Make sure that you can justify this</t>
      </text>
    </comment>
    <comment authorId="0" ref="G35">
      <text>
        <t xml:space="preserve">BSIF:
Other Equity Claims
Ex- Minority Interest, Treasury Stock, Etc.</t>
      </text>
    </comment>
    <comment authorId="0" ref="D36">
      <text>
        <t xml:space="preserve">BSIF:
Current Assets- Current Liabilities</t>
      </text>
    </comment>
    <comment authorId="0" ref="A93">
      <text>
        <t xml:space="preserve">BSIF:
On Morningstar, CapEx is listed as a negative number, however, insert expenditures as positive</t>
      </text>
    </comment>
    <comment authorId="0" ref="D146">
      <text>
        <t xml:space="preserve">BSIF:
This number is one way to select your growth rate of dividends without considering future analysis.  It could be one number used as your growth rate</t>
      </text>
    </comment>
    <comment authorId="0" ref="A153">
      <text>
        <t xml:space="preserve">BSIF:
Could use CAGR from right, an analyst opinion, or other source</t>
      </text>
    </comment>
    <comment authorId="0" ref="A157">
      <text>
        <t xml:space="preserve">BSIF:
Minimum 3 Years</t>
      </text>
    </comment>
  </commentList>
</comments>
</file>

<file path=xl/sharedStrings.xml><?xml version="1.0" encoding="utf-8"?>
<sst xmlns="http://schemas.openxmlformats.org/spreadsheetml/2006/main" count="270" uniqueCount="106">
  <si>
    <t>Name of Company</t>
  </si>
  <si>
    <t>Ticker:</t>
  </si>
  <si>
    <t>NYS:LO</t>
  </si>
  <si>
    <t>Date of Analysis</t>
  </si>
  <si>
    <t>If YES, Input Here</t>
  </si>
  <si>
    <t>Do you have a Market Value of debt?</t>
  </si>
  <si>
    <t>Yes</t>
  </si>
  <si>
    <t>Would you like to directly input a WACC?</t>
  </si>
  <si>
    <t>NO</t>
  </si>
  <si>
    <t>Would you like to directly input a cost of Debt?</t>
  </si>
  <si>
    <t>Would you like to directly input a cost of Equity?</t>
  </si>
  <si>
    <t>WACC</t>
  </si>
  <si>
    <t>Cost of Debt Derived From Notes Outst.</t>
  </si>
  <si>
    <t>Current Share Price</t>
  </si>
  <si>
    <t>Maturity</t>
  </si>
  <si>
    <t>Value</t>
  </si>
  <si>
    <t>Rate</t>
  </si>
  <si>
    <t>Shares Outstanding (Millions)</t>
  </si>
  <si>
    <t>20 Year AAA Corp Bond Rate</t>
  </si>
  <si>
    <t>Equity Market Risk Premium</t>
  </si>
  <si>
    <t>Beta of Equity</t>
  </si>
  <si>
    <t>Corporate Tax Rate</t>
  </si>
  <si>
    <t>Long Term Debt</t>
  </si>
  <si>
    <t>Interest Expense</t>
  </si>
  <si>
    <t>Earnings Per Share</t>
  </si>
  <si>
    <t>Market Value of Debt</t>
  </si>
  <si>
    <t>Cost of Equity</t>
  </si>
  <si>
    <t>Cost of Debt</t>
  </si>
  <si>
    <t>Market Value of Equity</t>
  </si>
  <si>
    <t>Total BV</t>
  </si>
  <si>
    <t>Weight of Debt</t>
  </si>
  <si>
    <t>WA Cost</t>
  </si>
  <si>
    <t>Weight of Equity</t>
  </si>
  <si>
    <t>Cost Debt</t>
  </si>
  <si>
    <t>FCFF</t>
  </si>
  <si>
    <t>High Growth Period</t>
  </si>
  <si>
    <t>EBIT</t>
  </si>
  <si>
    <t>Cash</t>
  </si>
  <si>
    <t>High Growth Period Growth Rate</t>
  </si>
  <si>
    <t>PPE</t>
  </si>
  <si>
    <t>Total Liabilities</t>
  </si>
  <si>
    <t>Horizon Growth Rate</t>
  </si>
  <si>
    <t>Depr &amp; Amor</t>
  </si>
  <si>
    <t>Other Claims</t>
  </si>
  <si>
    <t>NWC</t>
  </si>
  <si>
    <t>Horizon Value</t>
  </si>
  <si>
    <t>FCF</t>
  </si>
  <si>
    <t>FCF to Discount</t>
  </si>
  <si>
    <t>Value of Operating Assets</t>
  </si>
  <si>
    <t>Value of Outstanding Equity</t>
  </si>
  <si>
    <t>Value Per Share (Base Case)</t>
  </si>
  <si>
    <t>For Sensitivity Tables</t>
  </si>
  <si>
    <t>Finish valuation above, then manually type in values for the axes baselines below:</t>
  </si>
  <si>
    <t>READ THIS</t>
  </si>
  <si>
    <t>Hi Growth Period Rate</t>
  </si>
  <si>
    <t>Terminal Growth Rate</t>
  </si>
  <si>
    <t>WACC Range</t>
  </si>
  <si>
    <t>High Growth</t>
  </si>
  <si>
    <t>Period Rate</t>
  </si>
  <si>
    <t>Length of High</t>
  </si>
  <si>
    <t>Growth Period</t>
  </si>
  <si>
    <t>Terminal</t>
  </si>
  <si>
    <t>Growth Rate</t>
  </si>
  <si>
    <t>FCFE</t>
  </si>
  <si>
    <t>Net Income</t>
  </si>
  <si>
    <t>Capital Expenditure</t>
  </si>
  <si>
    <t>Depreciation</t>
  </si>
  <si>
    <t>Working Capital</t>
  </si>
  <si>
    <t>Cash Flows to Discount</t>
  </si>
  <si>
    <t>Value of Equity</t>
  </si>
  <si>
    <t>Other Equity Claims</t>
  </si>
  <si>
    <t>DDM</t>
  </si>
  <si>
    <t>t-5</t>
  </si>
  <si>
    <t>t-4</t>
  </si>
  <si>
    <t>t-3</t>
  </si>
  <si>
    <t>t-2</t>
  </si>
  <si>
    <t>t-1</t>
  </si>
  <si>
    <t>Most Recent Div</t>
  </si>
  <si>
    <t>Historical Dividends</t>
  </si>
  <si>
    <t>Current Payout Ratio</t>
  </si>
  <si>
    <t>CAGR of Divs</t>
  </si>
  <si>
    <t>Would you like to keep POR constant?</t>
  </si>
  <si>
    <t>IF NO:</t>
  </si>
  <si>
    <t>What would you like to use as the POR?</t>
  </si>
  <si>
    <t>Would you like to use the estimates of</t>
  </si>
  <si>
    <t xml:space="preserve"> growth from the FCF analysis?</t>
  </si>
  <si>
    <t>YES</t>
  </si>
  <si>
    <t>FOR DATA TABLES BELOW</t>
  </si>
  <si>
    <t>Manually Enter WACC From Above Here:</t>
  </si>
  <si>
    <t>High Growth Period Rate</t>
  </si>
  <si>
    <t>Manually Enter POR Selected Here:</t>
  </si>
  <si>
    <t>Stable Growth Rate</t>
  </si>
  <si>
    <t>Manually Enter Terminal Growth Rate Here:</t>
  </si>
  <si>
    <t>High Growth Period Length</t>
  </si>
  <si>
    <t>EPS</t>
  </si>
  <si>
    <t>Dividend</t>
  </si>
  <si>
    <t>CF to Discount</t>
  </si>
  <si>
    <t>Value Per Share</t>
  </si>
  <si>
    <t>Payout</t>
  </si>
  <si>
    <t>Ratio</t>
  </si>
  <si>
    <t>Terminal Growth</t>
  </si>
  <si>
    <t>Summary Output</t>
  </si>
  <si>
    <t>FCFF Value</t>
  </si>
  <si>
    <t>FCFE Value</t>
  </si>
  <si>
    <t>DDM Value</t>
  </si>
  <si>
    <t>Average Valuation: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</si>
</sst>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#,###,##0.00"/>
    <numFmt numFmtId="167" formatCode="0.000%"/>
    <numFmt numFmtId="168" formatCode="#,###,##0"/>
    <numFmt numFmtId="169" formatCode="_(* #,##0_);_(* \(#,##0\);_(* &quot;-&quot;??_);_(@_)"/>
    <numFmt numFmtId="170" formatCode="&quot;$&quot;#,##0_);[Red]\(&quot;$&quot;#,##0\)"/>
    <numFmt numFmtId="171" formatCode="&quot;$&quot;#,##0.00_);[Red]\(&quot;$&quot;#,##0.00\)"/>
  </numFmts>
  <fonts count="17">
    <font>
      <sz val="11.0"/>
      <color rgb="FF000000"/>
      <name val="Calibri"/>
    </font>
    <font>
      <b/>
      <sz val="20.0"/>
      <color rgb="FF000000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b/>
      <sz val="18.0"/>
      <color rgb="FF000000"/>
      <name val="Calibri"/>
    </font>
    <font>
      <sz val="11.0"/>
      <color rgb="FFFFFFFF"/>
      <name val="Calibri"/>
    </font>
    <font>
      <sz val="11.0"/>
      <color rgb="FFF8F8F8"/>
      <name val="Calibri"/>
    </font>
    <font>
      <b/>
      <sz val="11.0"/>
      <color rgb="FF002060"/>
      <name val="Calibri"/>
    </font>
    <font>
      <b/>
      <sz val="14.0"/>
      <color rgb="FF3F3151"/>
      <name val="Calibri"/>
    </font>
    <font>
      <sz val="9.0"/>
      <color rgb="FF000000"/>
      <name val="Calibri"/>
    </font>
    <font>
      <sz val="11.0"/>
      <color rgb="FFCCC0D9"/>
      <name val="Calibri"/>
    </font>
    <font>
      <b/>
      <sz val="11.0"/>
      <color rgb="FFFFFFFF"/>
      <name val="Calibri"/>
    </font>
    <font>
      <sz val="18.0"/>
      <color rgb="FFFFFFFF"/>
      <name val="Calibri"/>
    </font>
    <font>
      <sz val="18.0"/>
      <color rgb="FF000000"/>
      <name val="Calibri"/>
    </font>
    <font>
      <b/>
      <sz val="18.0"/>
      <color rgb="FFFFFFFF"/>
      <name val="Calibri"/>
    </font>
    <font>
      <b/>
      <sz val="18.0"/>
      <color rgb="FF00B05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5F497A"/>
        <bgColor rgb="FF5F497A"/>
      </patternFill>
    </fill>
    <fill>
      <patternFill patternType="solid">
        <fgColor rgb="FF8064A2"/>
        <bgColor rgb="FF8064A2"/>
      </patternFill>
    </fill>
    <fill>
      <patternFill patternType="solid">
        <fgColor rgb="FF7030A0"/>
        <bgColor rgb="FF7030A0"/>
      </patternFill>
    </fill>
    <fill>
      <patternFill patternType="solid">
        <fgColor rgb="FF4F81BD"/>
        <bgColor rgb="FF4F81BD"/>
      </patternFill>
    </fill>
    <fill>
      <patternFill patternType="solid">
        <fgColor rgb="FF4BACC6"/>
        <bgColor rgb="FF4BACC6"/>
      </patternFill>
    </fill>
    <fill>
      <patternFill patternType="solid">
        <fgColor rgb="FFE36C09"/>
        <bgColor rgb="FFE36C09"/>
      </patternFill>
    </fill>
    <fill>
      <patternFill patternType="solid">
        <fgColor rgb="FFB2A1C7"/>
        <bgColor rgb="FFB2A1C7"/>
      </patternFill>
    </fill>
    <fill>
      <patternFill patternType="solid">
        <fgColor rgb="FFE5DFEC"/>
        <bgColor rgb="FFE5DFEC"/>
      </patternFill>
    </fill>
  </fills>
  <borders count="13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3" fillId="0" fontId="1" numFmtId="0" xfId="0" applyBorder="1" applyFont="1"/>
    <xf borderId="0" fillId="0" fontId="2" numFmtId="0" xfId="0" applyFont="1"/>
    <xf borderId="0" fillId="2" fontId="1" numFmtId="0" xfId="0" applyBorder="1" applyFill="1" applyFont="1"/>
    <xf borderId="0" fillId="0" fontId="0" numFmtId="0" xfId="0" applyAlignment="1" applyFont="1">
      <alignment horizontal="center"/>
    </xf>
    <xf borderId="0" fillId="2" fontId="0" numFmtId="0" xfId="0" applyBorder="1" applyFont="1"/>
    <xf borderId="0" fillId="3" fontId="0" numFmtId="0" xfId="0" applyAlignment="1" applyBorder="1" applyFill="1" applyFont="1">
      <alignment horizontal="center" wrapText="1"/>
    </xf>
    <xf borderId="1" fillId="2" fontId="0" numFmtId="0" xfId="0" applyBorder="1" applyFont="1"/>
    <xf borderId="0" fillId="4" fontId="0" numFmtId="0" xfId="0" applyBorder="1" applyFill="1" applyFont="1"/>
    <xf borderId="1" fillId="2" fontId="1" numFmtId="0" xfId="0" applyBorder="1" applyFont="1"/>
    <xf borderId="4" fillId="0" fontId="3" numFmtId="0" xfId="0" applyBorder="1" applyFont="1"/>
    <xf borderId="0" fillId="0" fontId="4" numFmtId="14" xfId="0" applyFont="1" applyNumberFormat="1"/>
    <xf borderId="5" fillId="5" fontId="0" numFmtId="164" xfId="0" applyAlignment="1" applyBorder="1" applyFill="1" applyFont="1" applyNumberFormat="1">
      <alignment horizontal="center"/>
    </xf>
    <xf borderId="5" fillId="5" fontId="0" numFmtId="165" xfId="0" applyAlignment="1" applyBorder="1" applyFont="1" applyNumberFormat="1">
      <alignment horizontal="center"/>
    </xf>
    <xf borderId="5" fillId="5" fontId="0" numFmtId="10" xfId="0" applyAlignment="1" applyBorder="1" applyFont="1" applyNumberFormat="1">
      <alignment horizontal="center"/>
    </xf>
    <xf borderId="0" fillId="0" fontId="5" numFmtId="0" xfId="0" applyAlignment="1" applyFont="1">
      <alignment vertical="center"/>
    </xf>
    <xf borderId="0" fillId="6" fontId="6" numFmtId="0" xfId="0" applyBorder="1" applyFill="1" applyFont="1"/>
    <xf borderId="0" fillId="7" fontId="7" numFmtId="0" xfId="0" applyBorder="1" applyFill="1" applyFont="1"/>
    <xf borderId="0" fillId="7" fontId="7" numFmtId="0" xfId="0" applyAlignment="1" applyBorder="1" applyFont="1">
      <alignment horizontal="center"/>
    </xf>
    <xf borderId="0" fillId="7" fontId="0" numFmtId="0" xfId="0" applyBorder="1" applyFont="1"/>
    <xf borderId="0" fillId="0" fontId="0" numFmtId="166" xfId="0" applyFont="1" applyNumberFormat="1"/>
    <xf borderId="5" fillId="5" fontId="0" numFmtId="10" xfId="0" applyBorder="1" applyFont="1" applyNumberFormat="1"/>
    <xf borderId="0" fillId="8" fontId="7" numFmtId="0" xfId="0" applyAlignment="1" applyBorder="1" applyFill="1" applyFont="1">
      <alignment horizontal="center"/>
    </xf>
    <xf borderId="5" fillId="9" fontId="0" numFmtId="166" xfId="0" applyBorder="1" applyFill="1" applyFont="1" applyNumberFormat="1"/>
    <xf borderId="3" fillId="5" fontId="0" numFmtId="0" xfId="0" applyBorder="1" applyFont="1"/>
    <xf borderId="6" fillId="5" fontId="0" numFmtId="0" xfId="0" applyBorder="1" applyFont="1"/>
    <xf borderId="2" fillId="5" fontId="0" numFmtId="167" xfId="0" applyBorder="1" applyFont="1" applyNumberFormat="1"/>
    <xf borderId="7" fillId="5" fontId="0" numFmtId="0" xfId="0" applyBorder="1" applyFont="1"/>
    <xf borderId="5" fillId="5" fontId="0" numFmtId="0" xfId="0" applyBorder="1" applyFont="1"/>
    <xf borderId="8" fillId="5" fontId="0" numFmtId="167" xfId="0" applyBorder="1" applyFont="1" applyNumberFormat="1"/>
    <xf borderId="5" fillId="9" fontId="0" numFmtId="2" xfId="0" applyBorder="1" applyFont="1" applyNumberFormat="1"/>
    <xf borderId="8" fillId="5" fontId="0" numFmtId="0" xfId="0" applyBorder="1" applyFont="1"/>
    <xf borderId="0" fillId="7" fontId="6" numFmtId="165" xfId="0" applyBorder="1" applyFont="1" applyNumberFormat="1"/>
    <xf borderId="0" fillId="7" fontId="6" numFmtId="10" xfId="0" applyBorder="1" applyFont="1" applyNumberFormat="1"/>
    <xf borderId="9" fillId="5" fontId="0" numFmtId="0" xfId="0" applyBorder="1" applyFont="1"/>
    <xf borderId="10" fillId="5" fontId="0" numFmtId="0" xfId="0" applyBorder="1" applyFont="1"/>
    <xf borderId="11" fillId="5" fontId="0" numFmtId="0" xfId="0" applyBorder="1" applyFont="1"/>
    <xf borderId="0" fillId="0" fontId="0" numFmtId="168" xfId="0" applyFont="1" applyNumberFormat="1"/>
    <xf borderId="0" fillId="0" fontId="6" numFmtId="0" xfId="0" applyFont="1"/>
    <xf borderId="5" fillId="5" fontId="0" numFmtId="169" xfId="0" applyBorder="1" applyFont="1" applyNumberFormat="1"/>
    <xf borderId="5" fillId="5" fontId="0" numFmtId="165" xfId="0" applyBorder="1" applyFont="1" applyNumberFormat="1"/>
    <xf borderId="0" fillId="3" fontId="0" numFmtId="0" xfId="0" applyBorder="1" applyFont="1"/>
    <xf borderId="4" fillId="3" fontId="0" numFmtId="0" xfId="0" applyBorder="1" applyFont="1"/>
    <xf borderId="0" fillId="3" fontId="0" numFmtId="165" xfId="0" applyBorder="1" applyFont="1" applyNumberFormat="1"/>
    <xf borderId="12" fillId="0" fontId="0" numFmtId="165" xfId="0" applyBorder="1" applyFont="1" applyNumberFormat="1"/>
    <xf borderId="0" fillId="0" fontId="0" numFmtId="165" xfId="0" applyFont="1" applyNumberFormat="1"/>
    <xf borderId="0" fillId="6" fontId="0" numFmtId="165" xfId="0" applyBorder="1" applyFont="1" applyNumberFormat="1"/>
    <xf borderId="3" fillId="3" fontId="0" numFmtId="165" xfId="0" applyBorder="1" applyFont="1" applyNumberFormat="1"/>
    <xf borderId="2" fillId="0" fontId="0" numFmtId="165" xfId="0" applyBorder="1" applyFont="1" applyNumberFormat="1"/>
    <xf borderId="4" fillId="0" fontId="0" numFmtId="165" xfId="0" applyBorder="1" applyFont="1" applyNumberFormat="1"/>
    <xf borderId="4" fillId="6" fontId="0" numFmtId="165" xfId="0" applyBorder="1" applyFont="1" applyNumberFormat="1"/>
    <xf borderId="0" fillId="0" fontId="0" numFmtId="170" xfId="0" applyFont="1" applyNumberFormat="1"/>
    <xf borderId="0" fillId="10" fontId="8" numFmtId="0" xfId="0" applyBorder="1" applyFill="1" applyFont="1"/>
    <xf borderId="0" fillId="10" fontId="9" numFmtId="164" xfId="0" applyBorder="1" applyFont="1" applyNumberFormat="1"/>
    <xf borderId="0" fillId="11" fontId="5" numFmtId="0" xfId="0" applyBorder="1" applyFill="1" applyFont="1"/>
    <xf borderId="0" fillId="11" fontId="10" numFmtId="0" xfId="0" applyBorder="1" applyFont="1"/>
    <xf borderId="0" fillId="11" fontId="0" numFmtId="0" xfId="0" applyBorder="1" applyFont="1"/>
    <xf borderId="0" fillId="0" fontId="4" numFmtId="0" xfId="0" applyFont="1"/>
    <xf borderId="0" fillId="3" fontId="11" numFmtId="164" xfId="0" applyBorder="1" applyFont="1" applyNumberFormat="1"/>
    <xf borderId="0" fillId="3" fontId="0" numFmtId="10" xfId="0" applyBorder="1" applyFont="1" applyNumberFormat="1"/>
    <xf borderId="0" fillId="0" fontId="0" numFmtId="164" xfId="0" applyFont="1" applyNumberFormat="1"/>
    <xf borderId="0" fillId="0" fontId="4" numFmtId="0" xfId="0" applyAlignment="1" applyFont="1">
      <alignment horizontal="right"/>
    </xf>
    <xf borderId="0" fillId="0" fontId="0" numFmtId="10" xfId="0" applyFont="1" applyNumberFormat="1"/>
    <xf borderId="0" fillId="0" fontId="0" numFmtId="171" xfId="0" applyFont="1" applyNumberFormat="1"/>
    <xf borderId="0" fillId="12" fontId="0" numFmtId="0" xfId="0" applyBorder="1" applyFill="1" applyFont="1"/>
    <xf borderId="5" fillId="5" fontId="0" numFmtId="164" xfId="0" applyBorder="1" applyFont="1" applyNumberFormat="1"/>
    <xf borderId="0" fillId="0" fontId="0" numFmtId="0" xfId="0" applyAlignment="1" applyFont="1">
      <alignment horizontal="right" vertical="center" wrapText="1"/>
    </xf>
    <xf borderId="0" fillId="13" fontId="0" numFmtId="0" xfId="0" applyBorder="1" applyFill="1" applyFont="1"/>
    <xf borderId="0" fillId="12" fontId="0" numFmtId="0" xfId="0" applyAlignment="1" applyBorder="1" applyFont="1">
      <alignment horizontal="center" vertical="center"/>
    </xf>
    <xf borderId="0" fillId="13" fontId="0" numFmtId="0" xfId="0" applyAlignment="1" applyBorder="1" applyFont="1">
      <alignment horizontal="right"/>
    </xf>
    <xf borderId="0" fillId="13" fontId="0" numFmtId="0" xfId="0" applyAlignment="1" applyBorder="1" applyFont="1">
      <alignment horizontal="left" vertical="center"/>
    </xf>
    <xf borderId="0" fillId="13" fontId="0" numFmtId="0" xfId="0" applyAlignment="1" applyBorder="1" applyFont="1">
      <alignment horizontal="right" vertical="center"/>
    </xf>
    <xf borderId="0" fillId="8" fontId="12" numFmtId="0" xfId="0" applyBorder="1" applyFont="1"/>
    <xf borderId="0" fillId="8" fontId="0" numFmtId="0" xfId="0" applyBorder="1" applyFont="1"/>
    <xf borderId="0" fillId="0" fontId="0" numFmtId="0" xfId="0" applyAlignment="1" applyFont="1">
      <alignment horizontal="right"/>
    </xf>
    <xf borderId="5" fillId="5" fontId="0" numFmtId="1" xfId="0" applyAlignment="1" applyBorder="1" applyFont="1" applyNumberFormat="1">
      <alignment horizontal="center"/>
    </xf>
    <xf borderId="0" fillId="3" fontId="11" numFmtId="171" xfId="0" applyBorder="1" applyFont="1" applyNumberFormat="1"/>
    <xf borderId="0" fillId="0" fontId="13" numFmtId="0" xfId="0" applyFont="1"/>
    <xf borderId="0" fillId="0" fontId="14" numFmtId="0" xfId="0" applyFont="1"/>
    <xf borderId="0" fillId="6" fontId="15" numFmtId="0" xfId="0" applyBorder="1" applyFont="1"/>
    <xf borderId="0" fillId="3" fontId="16" numFmtId="164" xfId="0" applyBorder="1" applyFont="1" applyNumberFormat="1"/>
  </cellXfs>
  <cellStyles count="1">
    <cellStyle xfId="0" name="Normal" builtinId="0"/>
  </cellStyles>
  <dxfs count="4">
    <dxf>
      <font>
        <color rgb="FFCCC0D9"/>
      </font>
      <fill>
        <patternFill patternType="none"/>
      </fill>
      <alignment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/>
      <border>
        <left/>
        <right/>
        <top/>
        <bottom/>
      </border>
    </dxf>
    <dxf>
      <font/>
      <fill>
        <patternFill patternType="solid">
          <fgColor rgb="FFCCC0D9"/>
          <bgColor rgb="FFCCC0D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0</xdr:colOff>
      <xdr:row>1</xdr:row>
      <xdr:rowOff>133350</xdr:rowOff>
    </xdr:from>
    <xdr:to>
      <xdr:col>13</xdr:col>
      <xdr:colOff>47625</xdr:colOff>
      <xdr:row>5</xdr:row>
      <xdr:rowOff>47625</xdr:rowOff>
    </xdr:to>
    <xdr:sp>
      <xdr:nvSpPr>
        <xdr:cNvPr id="4" name="Shape 4"/>
        <xdr:cNvSpPr txBox="1"/>
      </xdr:nvSpPr>
      <xdr:spPr>
        <a:xfrm>
          <a:off x="2174175" y="3499012"/>
          <a:ext cx="6343650" cy="561975"/>
        </a:xfrm>
        <a:prstGeom prst="rect">
          <a:avLst/>
        </a:prstGeom>
        <a:solidFill>
          <a:srgbClr val="92D050"/>
        </a:solidFill>
        <a:ln cap="flat" cmpd="sng" w="2857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ctr">
            <a:spcBef>
              <a:spcPts val="0"/>
            </a:spcBef>
            <a:buSzPct val="25000"/>
            <a:buNone/>
          </a:pPr>
          <a:r>
            <a:rPr b="1" i="0" lang="en-US" sz="2400" u="none" cap="none" strike="noStrike">
              <a:solidFill>
                <a:srgbClr val="4F6128"/>
              </a:solidFill>
              <a:latin typeface="Calibri"/>
              <a:ea typeface="Calibri"/>
              <a:cs typeface="Calibri"/>
              <a:sym typeface="Calibri"/>
            </a:rPr>
            <a:t>ONLY ENTER VALUES FOR GREEN BOXES</a:t>
          </a:r>
        </a:p>
      </xdr:txBody>
    </xdr:sp>
    <xdr:clientData fLocksWithSheet="0"/>
  </xdr:twoCellAnchor>
  <xdr:twoCellAnchor>
    <xdr:from>
      <xdr:col>4</xdr:col>
      <xdr:colOff>161925</xdr:colOff>
      <xdr:row>2</xdr:row>
      <xdr:rowOff>76200</xdr:rowOff>
    </xdr:from>
    <xdr:to>
      <xdr:col>5</xdr:col>
      <xdr:colOff>752475</xdr:colOff>
      <xdr:row>5</xdr:row>
      <xdr:rowOff>66675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619250" cy="5048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9525</xdr:colOff>
      <xdr:row>192</xdr:row>
      <xdr:rowOff>38100</xdr:rowOff>
    </xdr:from>
    <xdr:to>
      <xdr:col>6</xdr:col>
      <xdr:colOff>895350</xdr:colOff>
      <xdr:row>196</xdr:row>
      <xdr:rowOff>238125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619500" cy="11811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0</xdr:colOff>
      <xdr:row>1</xdr:row>
      <xdr:rowOff>133350</xdr:rowOff>
    </xdr:from>
    <xdr:to>
      <xdr:col>13</xdr:col>
      <xdr:colOff>47625</xdr:colOff>
      <xdr:row>5</xdr:row>
      <xdr:rowOff>47625</xdr:rowOff>
    </xdr:to>
    <xdr:sp>
      <xdr:nvSpPr>
        <xdr:cNvPr id="3" name="Shape 3"/>
        <xdr:cNvSpPr txBox="1"/>
      </xdr:nvSpPr>
      <xdr:spPr>
        <a:xfrm>
          <a:off x="2374200" y="3499012"/>
          <a:ext cx="5943599" cy="561975"/>
        </a:xfrm>
        <a:prstGeom prst="rect">
          <a:avLst/>
        </a:prstGeom>
        <a:solidFill>
          <a:srgbClr val="92D050"/>
        </a:solidFill>
        <a:ln cap="flat" cmpd="sng" w="2857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ctr">
            <a:spcBef>
              <a:spcPts val="0"/>
            </a:spcBef>
            <a:buSzPct val="25000"/>
            <a:buNone/>
          </a:pPr>
          <a:r>
            <a:rPr b="1" i="0" lang="en-US" sz="2400" u="none" cap="none" strike="noStrike">
              <a:solidFill>
                <a:srgbClr val="4F6128"/>
              </a:solidFill>
              <a:latin typeface="Calibri"/>
              <a:ea typeface="Calibri"/>
              <a:cs typeface="Calibri"/>
              <a:sym typeface="Calibri"/>
            </a:rPr>
            <a:t>ONLY ENTER VALUES FOR GREEN BOXES</a:t>
          </a:r>
        </a:p>
      </xdr:txBody>
    </xdr:sp>
    <xdr:clientData fLocksWithSheet="0"/>
  </xdr:twoCellAnchor>
  <xdr:twoCellAnchor>
    <xdr:from>
      <xdr:col>4</xdr:col>
      <xdr:colOff>161925</xdr:colOff>
      <xdr:row>2</xdr:row>
      <xdr:rowOff>76200</xdr:rowOff>
    </xdr:from>
    <xdr:to>
      <xdr:col>5</xdr:col>
      <xdr:colOff>752475</xdr:colOff>
      <xdr:row>5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438275" cy="43815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9525</xdr:colOff>
      <xdr:row>192</xdr:row>
      <xdr:rowOff>38100</xdr:rowOff>
    </xdr:from>
    <xdr:to>
      <xdr:col>7</xdr:col>
      <xdr:colOff>0</xdr:colOff>
      <xdr:row>197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381375" cy="12382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0.38"/>
    <col customWidth="1" min="2" max="2" width="13.13"/>
    <col customWidth="1" min="3" max="3" width="10.25"/>
    <col customWidth="1" min="4" max="4" width="11.0"/>
    <col customWidth="1" min="5" max="5" width="13.5"/>
    <col customWidth="1" min="6" max="6" width="11.38"/>
    <col customWidth="1" min="7" max="7" width="13.5"/>
    <col customWidth="1" min="8" max="9" width="11.13"/>
    <col customWidth="1" min="10" max="10" width="11.0"/>
    <col customWidth="1" min="11" max="11" width="11.38"/>
    <col customWidth="1" min="12" max="14" width="12.5"/>
    <col customWidth="1" min="15" max="15" width="13.25"/>
    <col customWidth="1" min="16" max="16" width="13.13"/>
    <col customWidth="1" min="17" max="17" width="11.88"/>
    <col customWidth="1" min="18" max="26" width="7.63"/>
  </cols>
  <sheetData>
    <row r="1" ht="25.5" customHeight="1">
      <c r="A1" s="1" t="s">
        <v>0</v>
      </c>
      <c r="B1" s="8" t="str">
        <f>_xll.MSDP(F1,"name")</f>
        <v>#NAME?</v>
      </c>
      <c r="C1" s="10"/>
      <c r="D1" s="12"/>
      <c r="E1" s="10" t="s">
        <v>1</v>
      </c>
      <c r="F1" s="14" t="s">
        <v>2</v>
      </c>
      <c r="G1" s="1"/>
      <c r="H1" s="7"/>
      <c r="I1" s="1"/>
      <c r="J1" s="1"/>
      <c r="K1" s="1"/>
      <c r="L1" s="1"/>
      <c r="M1" s="1"/>
      <c r="N1" s="1"/>
      <c r="O1" s="1"/>
      <c r="P1" s="1"/>
      <c r="Q1" s="1"/>
    </row>
    <row r="2" ht="13.5" customHeight="1">
      <c r="A2" s="1" t="s">
        <v>3</v>
      </c>
      <c r="B2" s="16" t="str">
        <f>_xll.MSDATE("lmktclose")</f>
        <v>#NAME?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3.5" customHeight="1">
      <c r="A3" s="1"/>
      <c r="B3" s="1"/>
      <c r="C3" s="9"/>
      <c r="D3" s="11" t="s">
        <v>4</v>
      </c>
      <c r="E3" s="1"/>
      <c r="F3" s="1"/>
      <c r="G3" s="13"/>
      <c r="H3" s="13"/>
      <c r="I3" s="13"/>
      <c r="J3" s="13"/>
      <c r="K3" s="13"/>
      <c r="L3" s="13"/>
      <c r="M3" s="13"/>
      <c r="N3" s="1"/>
      <c r="O3" s="1"/>
      <c r="P3" s="1"/>
      <c r="Q3" s="1"/>
    </row>
    <row r="4" ht="13.5" customHeight="1">
      <c r="A4" s="1"/>
      <c r="B4" s="1"/>
      <c r="C4" s="9"/>
      <c r="D4" s="15"/>
      <c r="E4" s="1"/>
      <c r="F4" s="1"/>
      <c r="G4" s="13"/>
      <c r="H4" s="13"/>
      <c r="I4" s="13"/>
      <c r="J4" s="13"/>
      <c r="K4" s="13"/>
      <c r="L4" s="13"/>
      <c r="M4" s="13"/>
      <c r="N4" s="1"/>
      <c r="O4" s="1"/>
      <c r="P4" s="1"/>
      <c r="Q4" s="1"/>
    </row>
    <row r="5" ht="13.5" customHeight="1">
      <c r="A5" s="1" t="s">
        <v>5</v>
      </c>
      <c r="B5" s="1"/>
      <c r="C5" s="17" t="s">
        <v>6</v>
      </c>
      <c r="D5" s="18">
        <v>3512.0</v>
      </c>
      <c r="E5" s="1"/>
      <c r="F5" s="1"/>
      <c r="G5" s="13"/>
      <c r="H5" s="13"/>
      <c r="I5" s="13"/>
      <c r="J5" s="13"/>
      <c r="K5" s="13"/>
      <c r="L5" s="13"/>
      <c r="M5" s="13"/>
      <c r="N5" s="1"/>
      <c r="O5" s="1"/>
      <c r="P5" s="1"/>
      <c r="Q5" s="1"/>
    </row>
    <row r="6" ht="13.5" customHeight="1">
      <c r="A6" s="1" t="s">
        <v>7</v>
      </c>
      <c r="B6" s="1"/>
      <c r="C6" s="17" t="s">
        <v>8</v>
      </c>
      <c r="D6" s="19">
        <v>0.065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4.25" customHeight="1">
      <c r="A7" s="1" t="s">
        <v>9</v>
      </c>
      <c r="B7" s="1"/>
      <c r="C7" s="17" t="s">
        <v>8</v>
      </c>
      <c r="D7" s="19" t="str">
        <f>0.054*(1-B16)</f>
        <v>#NAME?</v>
      </c>
      <c r="E7" s="1"/>
      <c r="F7" s="1"/>
      <c r="G7" s="1"/>
      <c r="H7" s="1"/>
      <c r="I7" s="1"/>
      <c r="J7" s="1"/>
      <c r="K7" s="1"/>
      <c r="L7" s="20"/>
      <c r="M7" s="1"/>
      <c r="N7" s="1"/>
      <c r="O7" s="1"/>
      <c r="P7" s="1"/>
      <c r="Q7" s="1"/>
    </row>
    <row r="8" ht="14.25" customHeight="1">
      <c r="A8" s="1" t="s">
        <v>10</v>
      </c>
      <c r="B8" s="1"/>
      <c r="C8" s="17" t="s">
        <v>8</v>
      </c>
      <c r="D8" s="19">
        <v>0.1</v>
      </c>
      <c r="E8" s="1"/>
      <c r="F8" s="1"/>
      <c r="G8" s="1"/>
      <c r="H8" s="1"/>
      <c r="I8" s="1"/>
      <c r="J8" s="1"/>
      <c r="K8" s="1"/>
      <c r="L8" s="20"/>
      <c r="M8" s="1"/>
      <c r="N8" s="1"/>
      <c r="O8" s="1"/>
      <c r="P8" s="1"/>
      <c r="Q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3.5" customHeight="1">
      <c r="A10" s="21" t="s">
        <v>11</v>
      </c>
      <c r="B10" s="21"/>
      <c r="C10" s="1"/>
      <c r="D10" s="22"/>
      <c r="E10" s="23" t="s">
        <v>12</v>
      </c>
      <c r="F10" s="24"/>
      <c r="G10" s="1"/>
      <c r="H10" s="1"/>
      <c r="I10" s="1"/>
      <c r="J10" s="1"/>
      <c r="K10" s="1"/>
      <c r="L10" s="1"/>
      <c r="M10" s="1"/>
      <c r="N10" s="1"/>
      <c r="O10" s="25"/>
      <c r="P10" s="1"/>
      <c r="Q10" s="1"/>
    </row>
    <row r="11" ht="13.5" customHeight="1">
      <c r="A11" s="1" t="s">
        <v>13</v>
      </c>
      <c r="B11" s="28" t="str">
        <f>_xll.MSTS(F1,"Close","latest-d1","lmktclose","CorR=C,Dates=False,Freq=D,Days=T,Fill=B,Curr=BASE")</f>
        <v>#NAME?</v>
      </c>
      <c r="C11" s="1"/>
      <c r="D11" s="27" t="s">
        <v>14</v>
      </c>
      <c r="E11" s="27" t="s">
        <v>15</v>
      </c>
      <c r="F11" s="27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25"/>
      <c r="Q11" s="1"/>
    </row>
    <row r="12" ht="13.5" customHeight="1">
      <c r="A12" s="1" t="s">
        <v>17</v>
      </c>
      <c r="B12" s="28" t="str">
        <f>_xll.MSDP(F1,"shares_Outstanding_mil_Current")</f>
        <v>#NAME?</v>
      </c>
      <c r="C12" s="1"/>
      <c r="D12" s="29">
        <v>2016.0</v>
      </c>
      <c r="E12" s="30">
        <v>500.0</v>
      </c>
      <c r="F12" s="31">
        <v>0.035</v>
      </c>
      <c r="G12" s="1"/>
      <c r="H12" s="1"/>
      <c r="I12" s="1"/>
      <c r="J12" s="1"/>
      <c r="K12" s="1"/>
      <c r="L12" s="1"/>
      <c r="M12" s="1"/>
      <c r="N12" s="1"/>
      <c r="O12" s="1"/>
      <c r="P12" s="25"/>
      <c r="Q12" s="1"/>
    </row>
    <row r="13" ht="13.5" customHeight="1">
      <c r="A13" s="1" t="s">
        <v>18</v>
      </c>
      <c r="B13" s="26">
        <v>0.0506</v>
      </c>
      <c r="C13" s="1"/>
      <c r="D13" s="32">
        <v>2017.0</v>
      </c>
      <c r="E13" s="33">
        <v>500.0</v>
      </c>
      <c r="F13" s="34">
        <v>0.023</v>
      </c>
      <c r="G13" s="1"/>
      <c r="H13" s="1"/>
      <c r="I13" s="1"/>
      <c r="J13" s="1"/>
      <c r="K13" s="1"/>
      <c r="L13" s="1"/>
      <c r="M13" s="1"/>
      <c r="N13" s="1"/>
      <c r="O13" s="1"/>
      <c r="P13" s="25"/>
      <c r="Q13" s="1"/>
    </row>
    <row r="14" ht="13.5" customHeight="1">
      <c r="A14" s="1" t="s">
        <v>19</v>
      </c>
      <c r="B14" s="26">
        <v>0.058</v>
      </c>
      <c r="C14" s="1"/>
      <c r="D14" s="32">
        <v>2019.0</v>
      </c>
      <c r="E14" s="33">
        <v>821.0</v>
      </c>
      <c r="F14" s="34">
        <v>0.08125</v>
      </c>
      <c r="G14" s="1"/>
      <c r="H14" s="1"/>
      <c r="I14" s="1"/>
      <c r="J14" s="1"/>
      <c r="K14" s="1"/>
      <c r="L14" s="1"/>
      <c r="M14" s="1"/>
      <c r="N14" s="1"/>
      <c r="O14" s="1"/>
      <c r="P14" s="25"/>
      <c r="Q14" s="1"/>
    </row>
    <row r="15" ht="13.5" customHeight="1">
      <c r="A15" s="1" t="s">
        <v>20</v>
      </c>
      <c r="B15" s="35" t="str">
        <f>_xll.MSTS(F1,"BETA","latest-x3","latest-x0","CorR=C,Dates=False,Source=HP010,Benchmark=FEUSA00001,RFP=XIUSA04CX8,Comp=S,Conti=False,Fill=B,Curr=BASE")</f>
        <v>#NAME?</v>
      </c>
      <c r="C15" s="1"/>
      <c r="D15" s="32">
        <v>2020.0</v>
      </c>
      <c r="E15" s="33">
        <v>750.0</v>
      </c>
      <c r="F15" s="34">
        <v>0.06875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3.5" customHeight="1">
      <c r="A16" s="1" t="s">
        <v>21</v>
      </c>
      <c r="B16" s="28" t="str">
        <f>_xll.MSDP(F1,"Tax_Rate%_FY1")</f>
        <v>#NAME?</v>
      </c>
      <c r="C16" s="1"/>
      <c r="D16" s="32">
        <v>2023.0</v>
      </c>
      <c r="E16" s="33">
        <v>500.0</v>
      </c>
      <c r="F16" s="34">
        <v>0.0375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25"/>
    </row>
    <row r="17" ht="13.5" customHeight="1">
      <c r="A17" s="1" t="s">
        <v>22</v>
      </c>
      <c r="B17" s="28" t="str">
        <f>_xll.MSTS(F1,"LT_Debt","latest-x1","latest","CorR=C,Dates=False,Freq=Y,Days=T,Fill=B,Curr=BASE")/1000000</f>
        <v>#NAME?</v>
      </c>
      <c r="C17" s="1"/>
      <c r="D17" s="32">
        <v>2040.0</v>
      </c>
      <c r="E17" s="33">
        <v>250.0</v>
      </c>
      <c r="F17" s="34">
        <v>0.08125</v>
      </c>
      <c r="G17" s="1"/>
      <c r="H17" s="1"/>
      <c r="I17" s="1"/>
      <c r="J17" s="1"/>
      <c r="K17" s="9"/>
      <c r="L17" s="1"/>
      <c r="M17" s="1"/>
      <c r="N17" s="1"/>
      <c r="O17" s="1"/>
      <c r="P17" s="1"/>
      <c r="Q17" s="1"/>
    </row>
    <row r="18" ht="13.5" customHeight="1">
      <c r="A18" s="1" t="s">
        <v>23</v>
      </c>
      <c r="B18" s="28" t="str">
        <f>_xll.MSTS(F1,"Interest_Exp","latest-y2","latest-y1","CorR=C,Dates=False,Freq=Y,Days=T,Fill=B,Curr=BASE")/1000000</f>
        <v>#NAME?</v>
      </c>
      <c r="C18" s="1"/>
      <c r="D18" s="32">
        <v>2041.0</v>
      </c>
      <c r="E18" s="33">
        <v>250.0</v>
      </c>
      <c r="F18" s="34">
        <v>0.07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3.5" customHeight="1">
      <c r="A19" s="1" t="s">
        <v>24</v>
      </c>
      <c r="B19" s="28" t="str">
        <f>_xll.MSTS(F1,"DilutedEPS","latest-x2","latest-x1","CorR=C,Dates=False,Freq=Y,Days=T,Fill=B,Curr=BASE")</f>
        <v>#NAME?</v>
      </c>
      <c r="C19" s="1"/>
      <c r="D19" s="32"/>
      <c r="E19" s="33"/>
      <c r="F19" s="3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3.5" customHeight="1">
      <c r="A20" s="1"/>
      <c r="B20" s="1"/>
      <c r="C20" s="1"/>
      <c r="D20" s="32"/>
      <c r="E20" s="33"/>
      <c r="F20" s="3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3.5" customHeight="1">
      <c r="A21" s="1" t="s">
        <v>25</v>
      </c>
      <c r="B21" s="37">
        <f>IF(C5="NO",E25,D5)</f>
        <v>3512</v>
      </c>
      <c r="C21" s="1"/>
      <c r="D21" s="32"/>
      <c r="E21" s="33"/>
      <c r="F21" s="3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3.5" customHeight="1">
      <c r="A22" s="1" t="s">
        <v>26</v>
      </c>
      <c r="B22" s="38" t="str">
        <f>IF(C8="yes",D8,B13+(B14*B15))</f>
        <v>#NAME?</v>
      </c>
      <c r="C22" s="1"/>
      <c r="D22" s="32"/>
      <c r="E22" s="33"/>
      <c r="F22" s="3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3.5" customHeight="1">
      <c r="A23" s="1" t="s">
        <v>27</v>
      </c>
      <c r="B23" s="38" t="str">
        <f>IF(C7="Yes",D7,E27)</f>
        <v>#NAME?</v>
      </c>
      <c r="C23" s="1"/>
      <c r="D23" s="32"/>
      <c r="E23" s="33"/>
      <c r="F23" s="3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3.5" customHeight="1">
      <c r="A24" s="1" t="s">
        <v>25</v>
      </c>
      <c r="B24" s="37">
        <f>B21</f>
        <v>3512</v>
      </c>
      <c r="C24" s="1"/>
      <c r="D24" s="39"/>
      <c r="E24" s="40"/>
      <c r="F24" s="41"/>
      <c r="G24" s="1"/>
      <c r="H24" s="1"/>
      <c r="I24" s="1"/>
      <c r="J24" s="1"/>
      <c r="K24" s="1"/>
      <c r="L24" s="1"/>
      <c r="M24" s="1"/>
      <c r="N24" s="1"/>
      <c r="O24" s="1"/>
      <c r="P24" s="1"/>
      <c r="Q24" s="25"/>
    </row>
    <row r="25" ht="13.5" customHeight="1">
      <c r="A25" s="1" t="s">
        <v>28</v>
      </c>
      <c r="B25" s="37" t="str">
        <f>B12*B11</f>
        <v>#NAME?</v>
      </c>
      <c r="C25" s="1"/>
      <c r="D25" s="22" t="s">
        <v>29</v>
      </c>
      <c r="E25" s="37">
        <f>SUM(E12:E24)</f>
        <v>3571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3.5" customHeight="1">
      <c r="A26" s="1" t="s">
        <v>30</v>
      </c>
      <c r="B26" s="38" t="str">
        <f>B24/SUM(B24:B25)</f>
        <v>#NAME?</v>
      </c>
      <c r="C26" s="1"/>
      <c r="D26" s="22" t="s">
        <v>31</v>
      </c>
      <c r="E26" s="38">
        <f>SUMPRODUCT(E12:E24,F12:F24)/E25</f>
        <v>0.05707959955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42"/>
      <c r="Q26" s="1"/>
    </row>
    <row r="27" ht="13.5" customHeight="1">
      <c r="A27" s="1" t="s">
        <v>32</v>
      </c>
      <c r="B27" s="38" t="str">
        <f>B25/SUM(B24:B25)</f>
        <v>#NAME?</v>
      </c>
      <c r="C27" s="1"/>
      <c r="D27" s="22" t="s">
        <v>33</v>
      </c>
      <c r="E27" s="38" t="str">
        <f>E26*(1-B16)</f>
        <v>#NAME?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3.5" customHeight="1">
      <c r="A28" s="1" t="s">
        <v>11</v>
      </c>
      <c r="B28" s="38" t="str">
        <f>IF(C6="yes",D6,(B26*B23+B27*B22))</f>
        <v>#NAME?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1"/>
    </row>
    <row r="31" ht="13.5" customHeight="1">
      <c r="A31" s="21" t="s">
        <v>34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1"/>
      <c r="P31" s="25"/>
      <c r="Q31" s="25"/>
    </row>
    <row r="32" ht="13.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3"/>
      <c r="O32" s="3"/>
      <c r="P32" s="25"/>
      <c r="Q32" s="25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1" t="s">
        <v>35</v>
      </c>
      <c r="B33" s="44">
        <v>3.0</v>
      </c>
      <c r="C33" s="1"/>
      <c r="D33" s="1" t="s">
        <v>36</v>
      </c>
      <c r="E33" s="28" t="str">
        <f>_xll.MSTS(F1,"EBIT","latest-x2","latest-x1","CorR=C,Dates=False,Freq=Y,Days=T,Fill=B,Curr=BASE")/1000000</f>
        <v>#NAME?</v>
      </c>
      <c r="F33" s="1"/>
      <c r="G33" s="1" t="s">
        <v>37</v>
      </c>
      <c r="H33" s="28" t="str">
        <f>_xll.MSTS(F1,"Cash_and_Cash_Equiv","latest-x1","latest","CorR=C,Dates=False,Freq=Y,Days=T,Fill=P,Curr=BASE")/1000000</f>
        <v>#NAME?</v>
      </c>
      <c r="I33" s="1"/>
      <c r="J33" s="1"/>
      <c r="K33" s="1"/>
      <c r="L33" s="1"/>
      <c r="M33" s="1"/>
      <c r="N33" s="1"/>
      <c r="O33" s="1"/>
      <c r="P33" s="25"/>
      <c r="Q33" s="25"/>
    </row>
    <row r="34" ht="13.5" customHeight="1">
      <c r="A34" s="1" t="s">
        <v>38</v>
      </c>
      <c r="B34" s="26">
        <v>0.071</v>
      </c>
      <c r="C34" s="1"/>
      <c r="D34" s="1" t="s">
        <v>39</v>
      </c>
      <c r="E34" s="28" t="str">
        <f>_xll.MSTS(F1,"Gross_PPE","latest-x1","latest","CorR=C,Dates=False,Freq=Y,Days=T,Fill=B,Curr=BASE")/1000000</f>
        <v>#NAME?</v>
      </c>
      <c r="F34" s="1"/>
      <c r="G34" s="1" t="s">
        <v>40</v>
      </c>
      <c r="H34" s="28" t="str">
        <f>_xll.MSTS(F1,"TOTAL_LIABILITIES","latest-x1","latest","CorR=C,Dates=False,Freq=Y,Days=T,Fill=B,Curr=BASE")/1000000</f>
        <v>#NAME?</v>
      </c>
      <c r="I34" s="1"/>
      <c r="J34" s="1"/>
      <c r="K34" s="1"/>
      <c r="L34" s="1"/>
      <c r="M34" s="1"/>
      <c r="N34" s="1"/>
      <c r="O34" s="1"/>
      <c r="P34" s="25"/>
      <c r="Q34" s="25"/>
    </row>
    <row r="35" ht="13.5" customHeight="1">
      <c r="A35" s="1" t="s">
        <v>41</v>
      </c>
      <c r="B35" s="26">
        <v>0.02</v>
      </c>
      <c r="C35" s="1"/>
      <c r="D35" s="1" t="s">
        <v>42</v>
      </c>
      <c r="E35" s="45">
        <v>428.0</v>
      </c>
      <c r="F35" s="1"/>
      <c r="G35" s="1" t="s">
        <v>43</v>
      </c>
      <c r="H35" s="45">
        <f>4190+241</f>
        <v>4431</v>
      </c>
      <c r="I35" s="1"/>
      <c r="J35" s="1"/>
      <c r="K35" s="1"/>
      <c r="L35" s="1"/>
      <c r="M35" s="1"/>
      <c r="N35" s="1"/>
      <c r="O35" s="1"/>
      <c r="P35" s="25"/>
      <c r="Q35" s="25"/>
    </row>
    <row r="36" ht="13.5" customHeight="1">
      <c r="A36" s="1"/>
      <c r="B36" s="1"/>
      <c r="C36" s="1"/>
      <c r="D36" s="1" t="s">
        <v>44</v>
      </c>
      <c r="E36" s="28" t="str">
        <f>_xll.MSTS(F1,"Working_Capital","latest-x1","latest","CorR=C,Dates=False,Freq=Y,Days=T,Fill=B,Curr=BASE")/1000000</f>
        <v>#NAME?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25"/>
      <c r="Q36" s="25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42"/>
      <c r="Q37" s="25"/>
    </row>
    <row r="38" ht="13.5" customHeight="1">
      <c r="A38" s="1"/>
      <c r="B38" s="46"/>
      <c r="C38" s="46">
        <v>0.0</v>
      </c>
      <c r="D38" s="47">
        <v>1.0</v>
      </c>
      <c r="E38" s="47">
        <v>2.0</v>
      </c>
      <c r="F38" s="47">
        <v>3.0</v>
      </c>
      <c r="G38" s="47">
        <f t="shared" ref="G38:M38" si="1">IF(AND((F38+1)&lt;=$B$33,F38&gt;0),F38+1,0)</f>
        <v>0</v>
      </c>
      <c r="H38" s="47">
        <f t="shared" si="1"/>
        <v>0</v>
      </c>
      <c r="I38" s="47">
        <f t="shared" si="1"/>
        <v>0</v>
      </c>
      <c r="J38" s="47">
        <f t="shared" si="1"/>
        <v>0</v>
      </c>
      <c r="K38" s="47">
        <f t="shared" si="1"/>
        <v>0</v>
      </c>
      <c r="L38" s="47">
        <f t="shared" si="1"/>
        <v>0</v>
      </c>
      <c r="M38" s="47">
        <f t="shared" si="1"/>
        <v>0</v>
      </c>
      <c r="N38" s="47" t="s">
        <v>45</v>
      </c>
      <c r="O38" s="1"/>
      <c r="P38" s="25"/>
      <c r="Q38" s="1"/>
    </row>
    <row r="39" ht="13.5" customHeight="1">
      <c r="A39" s="1"/>
      <c r="B39" s="46" t="s">
        <v>36</v>
      </c>
      <c r="C39" s="48" t="str">
        <f t="shared" ref="C39:C42" si="4">E33</f>
        <v>#NAME?</v>
      </c>
      <c r="D39" s="49" t="str">
        <f t="shared" ref="D39:D42" si="5">E33*(1+$B$34)</f>
        <v>#NAME?</v>
      </c>
      <c r="E39" s="50" t="str">
        <f t="shared" ref="E39:F39" si="2">D39*(1+$B$34)</f>
        <v>#NAME?</v>
      </c>
      <c r="F39" s="50" t="str">
        <f t="shared" si="2"/>
        <v>#NAME?</v>
      </c>
      <c r="G39" s="50" t="str">
        <f t="shared" ref="G39:M39" si="3">IF(G$38=F$38+1,(F39*(1+$B$34))," ")</f>
        <v> </v>
      </c>
      <c r="H39" s="50" t="str">
        <f t="shared" si="3"/>
        <v> </v>
      </c>
      <c r="I39" s="50" t="str">
        <f t="shared" si="3"/>
        <v> </v>
      </c>
      <c r="J39" s="50" t="str">
        <f t="shared" si="3"/>
        <v> </v>
      </c>
      <c r="K39" s="50" t="str">
        <f t="shared" si="3"/>
        <v> </v>
      </c>
      <c r="L39" s="50" t="str">
        <f t="shared" si="3"/>
        <v> </v>
      </c>
      <c r="M39" s="50" t="str">
        <f t="shared" si="3"/>
        <v> </v>
      </c>
      <c r="N39" s="51"/>
      <c r="O39" s="1"/>
      <c r="P39" s="25"/>
      <c r="Q39" s="1"/>
    </row>
    <row r="40" ht="13.5" customHeight="1">
      <c r="A40" s="1"/>
      <c r="B40" s="46" t="s">
        <v>39</v>
      </c>
      <c r="C40" s="48" t="str">
        <f t="shared" si="4"/>
        <v>#NAME?</v>
      </c>
      <c r="D40" s="49" t="str">
        <f t="shared" si="5"/>
        <v>#NAME?</v>
      </c>
      <c r="E40" s="50" t="str">
        <f t="shared" ref="E40:F40" si="6">D40*(1+$B$34)</f>
        <v>#NAME?</v>
      </c>
      <c r="F40" s="50" t="str">
        <f t="shared" si="6"/>
        <v>#NAME?</v>
      </c>
      <c r="G40" s="50" t="str">
        <f t="shared" ref="G40:M40" si="7">IF(G$38=F$38+1,(F40*(1+$B$34))," ")</f>
        <v> </v>
      </c>
      <c r="H40" s="50" t="str">
        <f t="shared" si="7"/>
        <v> </v>
      </c>
      <c r="I40" s="50" t="str">
        <f t="shared" si="7"/>
        <v> </v>
      </c>
      <c r="J40" s="50" t="str">
        <f t="shared" si="7"/>
        <v> </v>
      </c>
      <c r="K40" s="50" t="str">
        <f t="shared" si="7"/>
        <v> </v>
      </c>
      <c r="L40" s="50" t="str">
        <f t="shared" si="7"/>
        <v> </v>
      </c>
      <c r="M40" s="50" t="str">
        <f t="shared" si="7"/>
        <v> </v>
      </c>
      <c r="N40" s="51"/>
      <c r="O40" s="1"/>
      <c r="P40" s="25"/>
      <c r="Q40" s="1"/>
    </row>
    <row r="41" ht="13.5" customHeight="1">
      <c r="A41" s="1"/>
      <c r="B41" s="46" t="s">
        <v>42</v>
      </c>
      <c r="C41" s="48">
        <f t="shared" si="4"/>
        <v>428</v>
      </c>
      <c r="D41" s="49">
        <f t="shared" si="5"/>
        <v>458.388</v>
      </c>
      <c r="E41" s="50">
        <f t="shared" ref="E41:F41" si="8">D41*(1+$B$34)</f>
        <v>490.933548</v>
      </c>
      <c r="F41" s="50">
        <f t="shared" si="8"/>
        <v>525.7898299</v>
      </c>
      <c r="G41" s="50" t="str">
        <f t="shared" ref="G41:M41" si="9">IF(G$38=F$38+1,(F41*(1+$B$34))," ")</f>
        <v> </v>
      </c>
      <c r="H41" s="50" t="str">
        <f t="shared" si="9"/>
        <v> </v>
      </c>
      <c r="I41" s="50" t="str">
        <f t="shared" si="9"/>
        <v> </v>
      </c>
      <c r="J41" s="50" t="str">
        <f t="shared" si="9"/>
        <v> </v>
      </c>
      <c r="K41" s="50" t="str">
        <f t="shared" si="9"/>
        <v> </v>
      </c>
      <c r="L41" s="50" t="str">
        <f t="shared" si="9"/>
        <v> </v>
      </c>
      <c r="M41" s="50" t="str">
        <f t="shared" si="9"/>
        <v> </v>
      </c>
      <c r="N41" s="51"/>
      <c r="O41" s="1"/>
      <c r="P41" s="25"/>
      <c r="Q41" s="1"/>
    </row>
    <row r="42" ht="13.5" customHeight="1">
      <c r="A42" s="1"/>
      <c r="B42" s="47" t="s">
        <v>44</v>
      </c>
      <c r="C42" s="52" t="str">
        <f t="shared" si="4"/>
        <v>#NAME?</v>
      </c>
      <c r="D42" s="53" t="str">
        <f t="shared" si="5"/>
        <v>#NAME?</v>
      </c>
      <c r="E42" s="54" t="str">
        <f t="shared" ref="E42:F42" si="10">D42*(1+$B$34)</f>
        <v>#NAME?</v>
      </c>
      <c r="F42" s="54" t="str">
        <f t="shared" si="10"/>
        <v>#NAME?</v>
      </c>
      <c r="G42" s="54" t="str">
        <f t="shared" ref="G42:M42" si="11">IF(G$38=F$38+1,(F42*(1+$B$34))," ")</f>
        <v> </v>
      </c>
      <c r="H42" s="54" t="str">
        <f t="shared" si="11"/>
        <v> </v>
      </c>
      <c r="I42" s="54" t="str">
        <f t="shared" si="11"/>
        <v> </v>
      </c>
      <c r="J42" s="54" t="str">
        <f t="shared" si="11"/>
        <v> </v>
      </c>
      <c r="K42" s="54" t="str">
        <f t="shared" si="11"/>
        <v> </v>
      </c>
      <c r="L42" s="54" t="str">
        <f t="shared" si="11"/>
        <v> </v>
      </c>
      <c r="M42" s="54" t="str">
        <f t="shared" si="11"/>
        <v> </v>
      </c>
      <c r="N42" s="55"/>
      <c r="O42" s="1"/>
      <c r="P42" s="25"/>
      <c r="Q42" s="1"/>
    </row>
    <row r="43" ht="13.5" customHeight="1">
      <c r="A43" s="1"/>
      <c r="B43" s="46" t="s">
        <v>46</v>
      </c>
      <c r="C43" s="46"/>
      <c r="D43" s="50" t="str">
        <f t="shared" ref="D43:M43" si="12">IF(D38&gt;0,(D39*(1-$B$16))-(D40-C40)+(D41-C41)-(D42-C42),0)</f>
        <v>#NAME?</v>
      </c>
      <c r="E43" s="50" t="str">
        <f t="shared" si="12"/>
        <v>#NAME?</v>
      </c>
      <c r="F43" s="50" t="str">
        <f t="shared" si="12"/>
        <v>#NAME?</v>
      </c>
      <c r="G43" s="50">
        <f t="shared" si="12"/>
        <v>0</v>
      </c>
      <c r="H43" s="50">
        <f t="shared" si="12"/>
        <v>0</v>
      </c>
      <c r="I43" s="50">
        <f t="shared" si="12"/>
        <v>0</v>
      </c>
      <c r="J43" s="50">
        <f t="shared" si="12"/>
        <v>0</v>
      </c>
      <c r="K43" s="50">
        <f t="shared" si="12"/>
        <v>0</v>
      </c>
      <c r="L43" s="50">
        <f t="shared" si="12"/>
        <v>0</v>
      </c>
      <c r="M43" s="50">
        <f t="shared" si="12"/>
        <v>0</v>
      </c>
      <c r="N43" s="50" t="str">
        <f>(HLOOKUP(B33,D38:M43,6,)*(1+B35))/(B28-B35)</f>
        <v>#NAME?</v>
      </c>
      <c r="O43" s="1"/>
      <c r="P43" s="25"/>
      <c r="Q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5"/>
      <c r="Q44" s="1"/>
    </row>
    <row r="45" ht="13.5" customHeight="1">
      <c r="A45" s="1"/>
      <c r="B45" s="46" t="s">
        <v>47</v>
      </c>
      <c r="C45" s="46"/>
      <c r="D45" s="50" t="str">
        <f t="shared" ref="D45:E45" si="13">D43</f>
        <v>#NAME?</v>
      </c>
      <c r="E45" s="50" t="str">
        <f t="shared" si="13"/>
        <v>#NAME?</v>
      </c>
      <c r="F45" s="50" t="str">
        <f t="shared" ref="F45:L45" si="14">IF(AND(G38=0,F43&gt;0),F43+$N$43,F43)</f>
        <v>#NAME?</v>
      </c>
      <c r="G45" s="50">
        <f t="shared" si="14"/>
        <v>0</v>
      </c>
      <c r="H45" s="50">
        <f t="shared" si="14"/>
        <v>0</v>
      </c>
      <c r="I45" s="50">
        <f t="shared" si="14"/>
        <v>0</v>
      </c>
      <c r="J45" s="50">
        <f t="shared" si="14"/>
        <v>0</v>
      </c>
      <c r="K45" s="50">
        <f t="shared" si="14"/>
        <v>0</v>
      </c>
      <c r="L45" s="50">
        <f t="shared" si="14"/>
        <v>0</v>
      </c>
      <c r="M45" s="50">
        <f>IF(M43&gt;0,M43+$N$43,M43)</f>
        <v>0</v>
      </c>
      <c r="N45" s="1"/>
      <c r="O45" s="1"/>
      <c r="P45" s="25"/>
      <c r="Q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3.5" customHeight="1">
      <c r="A47" s="46" t="s">
        <v>48</v>
      </c>
      <c r="B47" s="56" t="str">
        <f t="array" ref="B47">NPV(B28,D45:M45)+H33</f>
        <v>#NAME?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3.5" customHeight="1">
      <c r="A48" s="46" t="s">
        <v>49</v>
      </c>
      <c r="B48" s="56" t="str">
        <f>B47-H34-H35</f>
        <v>#NAME?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8.0" customHeight="1">
      <c r="A49" s="57" t="s">
        <v>50</v>
      </c>
      <c r="B49" s="58" t="str">
        <f>B48/B12</f>
        <v>#NAME?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23.25" customHeight="1">
      <c r="A52" s="59" t="s">
        <v>51</v>
      </c>
      <c r="B52" s="60" t="s">
        <v>52</v>
      </c>
      <c r="C52" s="61"/>
      <c r="D52" s="61"/>
      <c r="E52" s="61"/>
      <c r="F52" s="61"/>
      <c r="G52" s="61"/>
      <c r="H52" s="59" t="s">
        <v>53</v>
      </c>
      <c r="I52" s="59"/>
      <c r="J52" s="59"/>
      <c r="K52" s="59"/>
      <c r="L52" s="59"/>
      <c r="M52" s="59"/>
      <c r="N52" s="59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3.5" customHeight="1">
      <c r="A54" s="1"/>
      <c r="B54" s="1" t="s">
        <v>11</v>
      </c>
      <c r="C54" s="1"/>
      <c r="D54" s="26">
        <v>0.061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3.5" customHeight="1">
      <c r="A55" s="1"/>
      <c r="B55" s="1" t="s">
        <v>54</v>
      </c>
      <c r="C55" s="1"/>
      <c r="D55" s="26">
        <v>0.071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3.5" customHeight="1">
      <c r="A56" s="1"/>
      <c r="B56" s="1" t="s">
        <v>55</v>
      </c>
      <c r="C56" s="1"/>
      <c r="D56" s="26">
        <v>0.02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3.5" customHeight="1">
      <c r="A57" s="1"/>
      <c r="B57" s="1"/>
      <c r="C57" s="1"/>
      <c r="D57" s="1"/>
      <c r="E57" s="1"/>
      <c r="F57" s="62" t="s">
        <v>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3.5" customHeight="1">
      <c r="A58" s="1"/>
      <c r="B58" s="63" t="str">
        <f>B49</f>
        <v>#NAME?</v>
      </c>
      <c r="C58" s="64">
        <f>F58*0.6</f>
        <v>0.0366</v>
      </c>
      <c r="D58" s="64">
        <f>F58*0.75</f>
        <v>0.04575</v>
      </c>
      <c r="E58" s="64">
        <f>F58*0.9</f>
        <v>0.0549</v>
      </c>
      <c r="F58" s="64">
        <f>D54</f>
        <v>0.061</v>
      </c>
      <c r="G58" s="64">
        <f>F58*1.1</f>
        <v>0.0671</v>
      </c>
      <c r="H58" s="64">
        <f>F58*1.25</f>
        <v>0.07625</v>
      </c>
      <c r="I58" s="64">
        <f>F58*1.4</f>
        <v>0.0854</v>
      </c>
      <c r="J58" s="1"/>
      <c r="K58" s="1"/>
      <c r="L58" s="1"/>
      <c r="M58" s="1"/>
      <c r="N58" s="1"/>
      <c r="O58" s="1"/>
      <c r="P58" s="1"/>
      <c r="Q58" s="1"/>
    </row>
    <row r="59" ht="13.5" customHeight="1">
      <c r="A59" s="1"/>
      <c r="B59" s="64">
        <f>B62*0.6</f>
        <v>0.0426</v>
      </c>
      <c r="C59" s="65">
        <v>177.74549399811</v>
      </c>
      <c r="D59" s="65">
        <v>106.278244010343</v>
      </c>
      <c r="E59" s="65">
        <v>72.2864347359374</v>
      </c>
      <c r="F59" s="65">
        <v>58.0546473367728</v>
      </c>
      <c r="G59" s="65">
        <v>47.5096024563365</v>
      </c>
      <c r="H59" s="65">
        <v>35.9809309685842</v>
      </c>
      <c r="I59" s="65">
        <v>27.678751594706</v>
      </c>
      <c r="J59" s="1"/>
      <c r="K59" s="1"/>
      <c r="L59" s="1"/>
      <c r="M59" s="1"/>
      <c r="N59" s="1"/>
      <c r="O59" s="1"/>
      <c r="P59" s="1"/>
      <c r="Q59" s="1"/>
    </row>
    <row r="60" ht="13.5" customHeight="1">
      <c r="A60" s="1"/>
      <c r="B60" s="64">
        <f>B62*0.75</f>
        <v>0.05325</v>
      </c>
      <c r="C60" s="65">
        <v>180.913636192461</v>
      </c>
      <c r="D60" s="65">
        <v>108.286850949383</v>
      </c>
      <c r="E60" s="65">
        <v>73.7440908449957</v>
      </c>
      <c r="F60" s="65">
        <v>59.2818853379748</v>
      </c>
      <c r="G60" s="65">
        <v>48.5662856548748</v>
      </c>
      <c r="H60" s="65">
        <v>36.8514159631619</v>
      </c>
      <c r="I60" s="65">
        <v>28.4154156418077</v>
      </c>
      <c r="J60" s="1"/>
      <c r="K60" s="1"/>
      <c r="L60" s="1"/>
      <c r="M60" s="1"/>
      <c r="N60" s="1"/>
      <c r="O60" s="1"/>
      <c r="P60" s="1"/>
      <c r="Q60" s="1"/>
    </row>
    <row r="61" ht="13.5" customHeight="1">
      <c r="A61" s="66" t="s">
        <v>57</v>
      </c>
      <c r="B61" s="64">
        <f>B62*0.9</f>
        <v>0.0639</v>
      </c>
      <c r="C61" s="65">
        <v>184.088159967507</v>
      </c>
      <c r="D61" s="65">
        <v>110.299407108224</v>
      </c>
      <c r="E61" s="65">
        <v>75.2045429762128</v>
      </c>
      <c r="F61" s="65">
        <v>60.5114382296171</v>
      </c>
      <c r="G61" s="65">
        <v>49.624928393911</v>
      </c>
      <c r="H61" s="65">
        <v>37.7234737476866</v>
      </c>
      <c r="I61" s="65">
        <v>29.1533757107357</v>
      </c>
      <c r="J61" s="1"/>
      <c r="K61" s="1"/>
      <c r="L61" s="1"/>
      <c r="M61" s="1"/>
      <c r="N61" s="1"/>
      <c r="O61" s="1"/>
      <c r="P61" s="1"/>
      <c r="Q61" s="1"/>
    </row>
    <row r="62" ht="13.5" customHeight="1">
      <c r="A62" s="66" t="s">
        <v>58</v>
      </c>
      <c r="B62" s="64">
        <f>D55</f>
        <v>0.071</v>
      </c>
      <c r="C62" s="65">
        <v>186.207801156279</v>
      </c>
      <c r="D62" s="65">
        <v>111.643144766816</v>
      </c>
      <c r="E62" s="65">
        <v>76.1796147311513</v>
      </c>
      <c r="F62" s="65">
        <v>61.3323283081059</v>
      </c>
      <c r="G62" s="65">
        <v>50.331694604686</v>
      </c>
      <c r="H62" s="65">
        <v>38.3056500262525</v>
      </c>
      <c r="I62" s="65">
        <v>29.6460104562282</v>
      </c>
      <c r="J62" s="1"/>
      <c r="K62" s="1"/>
      <c r="L62" s="1"/>
      <c r="M62" s="1"/>
      <c r="N62" s="1"/>
      <c r="O62" s="1"/>
      <c r="P62" s="1"/>
      <c r="Q62" s="1"/>
    </row>
    <row r="63" ht="13.5" customHeight="1">
      <c r="A63" s="1"/>
      <c r="B63" s="64">
        <f>B62*1.1</f>
        <v>0.0781</v>
      </c>
      <c r="C63" s="65">
        <v>188.329898627338</v>
      </c>
      <c r="D63" s="65">
        <v>112.988396946754</v>
      </c>
      <c r="E63" s="65">
        <v>77.1557546453302</v>
      </c>
      <c r="F63" s="65">
        <v>62.1541003775143</v>
      </c>
      <c r="G63" s="65">
        <v>51.0392053490604</v>
      </c>
      <c r="H63" s="65">
        <v>38.8884212976076</v>
      </c>
      <c r="I63" s="65">
        <v>30.1391332425436</v>
      </c>
      <c r="J63" s="1"/>
      <c r="K63" s="1"/>
      <c r="L63" s="1"/>
      <c r="M63" s="1"/>
      <c r="N63" s="1"/>
      <c r="O63" s="1"/>
      <c r="P63" s="1"/>
      <c r="Q63" s="1"/>
    </row>
    <row r="64" ht="13.5" customHeight="1">
      <c r="A64" s="1"/>
      <c r="B64" s="64">
        <f>B62*1.25</f>
        <v>0.08875</v>
      </c>
      <c r="C64" s="65">
        <v>191.517317884389</v>
      </c>
      <c r="D64" s="65">
        <v>115.008904342661</v>
      </c>
      <c r="E64" s="65">
        <v>78.6218146125581</v>
      </c>
      <c r="F64" s="65">
        <v>63.3882837214848</v>
      </c>
      <c r="G64" s="65">
        <v>52.1017568894932</v>
      </c>
      <c r="H64" s="65">
        <v>39.7636027942755</v>
      </c>
      <c r="I64" s="65">
        <v>30.8796555257914</v>
      </c>
      <c r="J64" s="1"/>
      <c r="K64" s="1"/>
      <c r="L64" s="1"/>
      <c r="M64" s="1"/>
      <c r="N64" s="1"/>
      <c r="O64" s="1"/>
      <c r="P64" s="1"/>
      <c r="Q64" s="1"/>
    </row>
    <row r="65" ht="13.5" customHeight="1">
      <c r="A65" s="1"/>
      <c r="B65" s="64">
        <f>B62*1.4</f>
        <v>0.0994</v>
      </c>
      <c r="C65" s="65">
        <v>194.709408831038</v>
      </c>
      <c r="D65" s="65">
        <v>117.032277864823</v>
      </c>
      <c r="E65" s="65">
        <v>80.089885274208</v>
      </c>
      <c r="F65" s="65">
        <v>64.6241211341533</v>
      </c>
      <c r="G65" s="65">
        <v>53.1656992906251</v>
      </c>
      <c r="H65" s="65">
        <v>40.6398889685475</v>
      </c>
      <c r="I65" s="65">
        <v>31.6210779709157</v>
      </c>
      <c r="J65" s="1"/>
      <c r="K65" s="1"/>
      <c r="L65" s="1"/>
      <c r="M65" s="1"/>
      <c r="N65" s="1"/>
      <c r="O65" s="1"/>
      <c r="P65" s="1"/>
      <c r="Q65" s="1"/>
    </row>
    <row r="66" ht="13.5" customHeight="1">
      <c r="A66" s="1"/>
      <c r="B66" s="6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3.5" customHeight="1">
      <c r="A67" s="1"/>
      <c r="B67" s="67"/>
      <c r="C67" s="1"/>
      <c r="D67" s="1"/>
      <c r="E67" s="1"/>
      <c r="F67" s="62" t="s">
        <v>56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3.5" customHeight="1">
      <c r="A68" s="1"/>
      <c r="B68" s="63" t="str">
        <f>B49</f>
        <v>#NAME?</v>
      </c>
      <c r="C68" s="64">
        <f>F68*0.6</f>
        <v>0.0366</v>
      </c>
      <c r="D68" s="64">
        <f>F68*0.75</f>
        <v>0.04575</v>
      </c>
      <c r="E68" s="64">
        <f>F68*0.9</f>
        <v>0.0549</v>
      </c>
      <c r="F68" s="64">
        <f>D54</f>
        <v>0.061</v>
      </c>
      <c r="G68" s="64">
        <f>F68*1.1</f>
        <v>0.0671</v>
      </c>
      <c r="H68" s="64">
        <f>F68*1.25</f>
        <v>0.07625</v>
      </c>
      <c r="I68" s="64">
        <f>F68*1.4</f>
        <v>0.0854</v>
      </c>
      <c r="J68" s="1"/>
      <c r="K68" s="1"/>
      <c r="L68" s="1"/>
      <c r="M68" s="1"/>
      <c r="N68" s="1"/>
      <c r="O68" s="1"/>
      <c r="P68" s="1"/>
      <c r="Q68" s="1"/>
    </row>
    <row r="69" ht="13.5" customHeight="1">
      <c r="A69" s="1"/>
      <c r="B69" s="46">
        <v>3.0</v>
      </c>
      <c r="C69" s="65">
        <v>186.207801156279</v>
      </c>
      <c r="D69" s="65">
        <v>111.643144766816</v>
      </c>
      <c r="E69" s="65">
        <v>76.1796147311513</v>
      </c>
      <c r="F69" s="65">
        <v>61.3323283081059</v>
      </c>
      <c r="G69" s="65">
        <v>50.331694604686</v>
      </c>
      <c r="H69" s="65">
        <v>38.3056500262525</v>
      </c>
      <c r="I69" s="65">
        <v>29.6460104562282</v>
      </c>
      <c r="J69" s="1"/>
      <c r="K69" s="1"/>
      <c r="L69" s="1"/>
      <c r="M69" s="1"/>
      <c r="N69" s="1"/>
      <c r="O69" s="1"/>
      <c r="P69" s="1"/>
      <c r="Q69" s="1"/>
    </row>
    <row r="70" ht="13.5" customHeight="1">
      <c r="A70" s="1"/>
      <c r="B70" s="46">
        <v>4.0</v>
      </c>
      <c r="C70" s="65">
        <v>196.204531255785</v>
      </c>
      <c r="D70" s="65">
        <v>117.919952346378</v>
      </c>
      <c r="E70" s="65">
        <v>80.6913162931285</v>
      </c>
      <c r="F70" s="65">
        <v>65.1069172211137</v>
      </c>
      <c r="G70" s="65">
        <v>53.5614036625444</v>
      </c>
      <c r="H70" s="65">
        <v>40.9416029402017</v>
      </c>
      <c r="I70" s="65">
        <v>31.8563167905741</v>
      </c>
      <c r="J70" s="1"/>
      <c r="K70" s="1"/>
      <c r="L70" s="1"/>
      <c r="M70" s="1"/>
      <c r="N70" s="1"/>
      <c r="O70" s="1"/>
      <c r="P70" s="1"/>
      <c r="Q70" s="1"/>
    </row>
    <row r="71" ht="13.5" customHeight="1">
      <c r="A71" s="1"/>
      <c r="B71" s="46">
        <v>5.0</v>
      </c>
      <c r="C71" s="65">
        <v>206.533006980819</v>
      </c>
      <c r="D71" s="65">
        <v>124.348315643257</v>
      </c>
      <c r="E71" s="65">
        <v>85.2718759413203</v>
      </c>
      <c r="F71" s="65">
        <v>68.9170819014449</v>
      </c>
      <c r="G71" s="65">
        <v>56.8029165488402</v>
      </c>
      <c r="H71" s="65">
        <v>43.5646975472534</v>
      </c>
      <c r="I71" s="65">
        <v>34.0372989944478</v>
      </c>
      <c r="J71" s="1"/>
      <c r="K71" s="1"/>
      <c r="L71" s="1"/>
      <c r="M71" s="1"/>
      <c r="N71" s="1"/>
      <c r="O71" s="1"/>
      <c r="P71" s="1"/>
      <c r="Q71" s="1"/>
    </row>
    <row r="72" ht="13.5" customHeight="1">
      <c r="A72" s="66" t="s">
        <v>59</v>
      </c>
      <c r="B72" s="46">
        <v>6.0</v>
      </c>
      <c r="C72" s="65">
        <v>217.20423744726</v>
      </c>
      <c r="D72" s="65">
        <v>130.931894023326</v>
      </c>
      <c r="E72" s="65">
        <v>89.9223445954235</v>
      </c>
      <c r="F72" s="65">
        <v>72.7631576532213</v>
      </c>
      <c r="G72" s="65">
        <v>60.0562764037956</v>
      </c>
      <c r="H72" s="65">
        <v>46.1749965708562</v>
      </c>
      <c r="I72" s="65">
        <v>36.1893461110395</v>
      </c>
      <c r="J72" s="1"/>
      <c r="K72" s="1"/>
      <c r="L72" s="1"/>
      <c r="M72" s="1"/>
      <c r="N72" s="1"/>
      <c r="O72" s="1"/>
      <c r="P72" s="1"/>
      <c r="Q72" s="1"/>
    </row>
    <row r="73" ht="13.5" customHeight="1">
      <c r="A73" s="66" t="s">
        <v>60</v>
      </c>
      <c r="B73" s="46">
        <v>7.0</v>
      </c>
      <c r="C73" s="65">
        <v>228.229597113049</v>
      </c>
      <c r="D73" s="65">
        <v>137.67443520913</v>
      </c>
      <c r="E73" s="65">
        <v>94.6437892143868</v>
      </c>
      <c r="F73" s="65">
        <v>76.6454829408296</v>
      </c>
      <c r="G73" s="65">
        <v>63.3215265252998</v>
      </c>
      <c r="H73" s="65">
        <v>48.7725624284902</v>
      </c>
      <c r="I73" s="65">
        <v>38.3128420221043</v>
      </c>
      <c r="J73" s="1"/>
      <c r="K73" s="1"/>
      <c r="L73" s="1"/>
      <c r="M73" s="1"/>
      <c r="N73" s="1"/>
      <c r="O73" s="1"/>
      <c r="P73" s="1"/>
      <c r="Q73" s="1"/>
    </row>
    <row r="74" ht="13.5" customHeight="1">
      <c r="A74" s="1"/>
      <c r="B74" s="46">
        <v>8.0</v>
      </c>
      <c r="C74" s="65">
        <v>239.620837902226</v>
      </c>
      <c r="D74" s="65">
        <v>144.579777413285</v>
      </c>
      <c r="E74" s="65">
        <v>99.4372930412044</v>
      </c>
      <c r="F74" s="65">
        <v>80.5643994187077</v>
      </c>
      <c r="G74" s="65">
        <v>66.598710369486</v>
      </c>
      <c r="H74" s="65">
        <v>51.35745723316</v>
      </c>
      <c r="I74" s="65">
        <v>40.4081655164386</v>
      </c>
      <c r="J74" s="1"/>
      <c r="K74" s="1"/>
      <c r="L74" s="1"/>
      <c r="M74" s="1"/>
      <c r="N74" s="1"/>
      <c r="O74" s="1"/>
      <c r="P74" s="1"/>
      <c r="Q74" s="1"/>
    </row>
    <row r="75" ht="13.5" customHeight="1">
      <c r="A75" s="1"/>
      <c r="B75" s="46">
        <v>9.0</v>
      </c>
      <c r="C75" s="65">
        <v>251.390101731291</v>
      </c>
      <c r="D75" s="65">
        <v>151.651851523398</v>
      </c>
      <c r="E75" s="65">
        <v>104.303955851444</v>
      </c>
      <c r="F75" s="65">
        <v>84.5202519614102</v>
      </c>
      <c r="G75" s="65">
        <v>69.8878715513091</v>
      </c>
      <c r="H75" s="65">
        <v>53.9297427948803</v>
      </c>
      <c r="I75" s="65">
        <v>42.4756903574483</v>
      </c>
      <c r="J75" s="1"/>
      <c r="K75" s="1"/>
      <c r="L75" s="1"/>
      <c r="M75" s="1"/>
      <c r="N75" s="1"/>
      <c r="O75" s="1"/>
      <c r="P75" s="1"/>
      <c r="Q75" s="1"/>
    </row>
    <row r="76" ht="13.5" customHeight="1">
      <c r="A76" s="1"/>
      <c r="B76" s="46">
        <v>10.0</v>
      </c>
      <c r="C76" s="65">
        <v>263.549933451268</v>
      </c>
      <c r="D76" s="65">
        <v>158.894683339731</v>
      </c>
      <c r="E76" s="65">
        <v>109.244894205569</v>
      </c>
      <c r="F76" s="65">
        <v>88.5133886939591</v>
      </c>
      <c r="G76" s="65">
        <v>73.1890538451264</v>
      </c>
      <c r="H76" s="65">
        <v>56.4894806221532</v>
      </c>
      <c r="I76" s="65">
        <v>44.5157853498212</v>
      </c>
      <c r="J76" s="1"/>
      <c r="K76" s="1"/>
      <c r="L76" s="1"/>
      <c r="M76" s="1"/>
      <c r="N76" s="1"/>
      <c r="O76" s="1"/>
      <c r="P76" s="1"/>
      <c r="Q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3.5" customHeight="1">
      <c r="A78" s="1"/>
      <c r="B78" s="1"/>
      <c r="C78" s="1"/>
      <c r="D78" s="1"/>
      <c r="E78" s="1"/>
      <c r="F78" s="62" t="s">
        <v>56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3.5" customHeight="1">
      <c r="A79" s="1"/>
      <c r="B79" s="63" t="str">
        <f>B49</f>
        <v>#NAME?</v>
      </c>
      <c r="C79" s="64">
        <f>F79*0.6</f>
        <v>0.0366</v>
      </c>
      <c r="D79" s="64">
        <f>F79*0.75</f>
        <v>0.04575</v>
      </c>
      <c r="E79" s="64">
        <f>F79*0.9</f>
        <v>0.0549</v>
      </c>
      <c r="F79" s="64">
        <f>F68</f>
        <v>0.061</v>
      </c>
      <c r="G79" s="64">
        <f>F79*1.1</f>
        <v>0.0671</v>
      </c>
      <c r="H79" s="64">
        <f>F79*1.25</f>
        <v>0.07625</v>
      </c>
      <c r="I79" s="64">
        <f>F79*1.4</f>
        <v>0.0854</v>
      </c>
      <c r="J79" s="1"/>
      <c r="K79" s="1"/>
      <c r="L79" s="1"/>
      <c r="M79" s="1"/>
      <c r="N79" s="1"/>
      <c r="O79" s="1"/>
      <c r="P79" s="1"/>
      <c r="Q79" s="1"/>
    </row>
    <row r="80" ht="13.5" customHeight="1">
      <c r="A80" s="1"/>
      <c r="B80" s="64">
        <v>0.0</v>
      </c>
      <c r="C80" s="65">
        <v>75.1758669320441</v>
      </c>
      <c r="D80" s="65">
        <v>55.3785222332076</v>
      </c>
      <c r="E80" s="65">
        <v>42.1827292871734</v>
      </c>
      <c r="F80" s="65">
        <v>35.5860162753104</v>
      </c>
      <c r="G80" s="65">
        <v>30.1895448390997</v>
      </c>
      <c r="H80" s="65">
        <v>23.7151295575275</v>
      </c>
      <c r="I80" s="65">
        <v>18.6294953471727</v>
      </c>
      <c r="J80" s="1"/>
      <c r="K80" s="1"/>
      <c r="L80" s="1"/>
      <c r="M80" s="1"/>
      <c r="N80" s="1"/>
      <c r="O80" s="1"/>
      <c r="P80" s="1"/>
      <c r="Q80" s="1"/>
    </row>
    <row r="81" ht="13.5" customHeight="1">
      <c r="A81" s="1"/>
      <c r="B81" s="64">
        <f>B84*0.5</f>
        <v>0.01</v>
      </c>
      <c r="C81" s="65">
        <v>109.821169716298</v>
      </c>
      <c r="D81" s="65">
        <v>75.6416555232834</v>
      </c>
      <c r="E81" s="65">
        <v>55.3953273049332</v>
      </c>
      <c r="F81" s="65">
        <v>45.9350240531988</v>
      </c>
      <c r="G81" s="65">
        <v>38.4968587967101</v>
      </c>
      <c r="H81" s="65">
        <v>29.9092184357598</v>
      </c>
      <c r="I81" s="65">
        <v>23.4072147644952</v>
      </c>
      <c r="J81" s="1"/>
      <c r="K81" s="1"/>
      <c r="L81" s="1"/>
      <c r="M81" s="1"/>
      <c r="N81" s="1"/>
      <c r="O81" s="1"/>
      <c r="P81" s="1"/>
      <c r="Q81" s="1"/>
    </row>
    <row r="82" ht="13.5" customHeight="1">
      <c r="A82" s="66" t="s">
        <v>61</v>
      </c>
      <c r="B82" s="64">
        <f>0.75*B84</f>
        <v>0.015</v>
      </c>
      <c r="C82" s="65">
        <v>139.173440130735</v>
      </c>
      <c r="D82" s="65">
        <v>90.7154498000471</v>
      </c>
      <c r="E82" s="65">
        <v>64.485197369783</v>
      </c>
      <c r="F82" s="65">
        <v>52.7968661667987</v>
      </c>
      <c r="G82" s="65">
        <v>43.8463863068413</v>
      </c>
      <c r="H82" s="65">
        <v>33.7647227375167</v>
      </c>
      <c r="I82" s="65">
        <v>26.3050644678996</v>
      </c>
      <c r="J82" s="1"/>
      <c r="K82" s="1"/>
      <c r="L82" s="1"/>
      <c r="M82" s="1"/>
      <c r="N82" s="1"/>
      <c r="O82" s="1"/>
      <c r="P82" s="1"/>
      <c r="Q82" s="1"/>
    </row>
    <row r="83" ht="13.5" customHeight="1">
      <c r="A83" s="66" t="s">
        <v>62</v>
      </c>
      <c r="B83" s="64">
        <f>B84*0.9</f>
        <v>0.018</v>
      </c>
      <c r="C83" s="65">
        <v>164.359581841188</v>
      </c>
      <c r="D83" s="65">
        <v>102.36708537614</v>
      </c>
      <c r="E83" s="65">
        <v>71.1215415309498</v>
      </c>
      <c r="F83" s="65">
        <v>57.6799445081046</v>
      </c>
      <c r="G83" s="65">
        <v>47.5790708790835</v>
      </c>
      <c r="H83" s="65">
        <v>36.3957321108186</v>
      </c>
      <c r="I83" s="65">
        <v>28.2501493430037</v>
      </c>
      <c r="J83" s="1"/>
      <c r="K83" s="1"/>
      <c r="L83" s="1"/>
      <c r="M83" s="1"/>
      <c r="N83" s="1"/>
      <c r="O83" s="1"/>
      <c r="P83" s="1"/>
      <c r="Q83" s="1"/>
    </row>
    <row r="84" ht="13.5" customHeight="1">
      <c r="A84" s="1"/>
      <c r="B84" s="64">
        <f>D56</f>
        <v>0.02</v>
      </c>
      <c r="C84" s="65">
        <v>186.207801156279</v>
      </c>
      <c r="D84" s="65">
        <v>111.643144766816</v>
      </c>
      <c r="E84" s="65">
        <v>76.1796147311513</v>
      </c>
      <c r="F84" s="65">
        <v>61.3323283081059</v>
      </c>
      <c r="G84" s="65">
        <v>50.331694604686</v>
      </c>
      <c r="H84" s="65">
        <v>38.3056500262525</v>
      </c>
      <c r="I84" s="65">
        <v>29.6460104562282</v>
      </c>
      <c r="J84" s="1"/>
      <c r="K84" s="1"/>
      <c r="L84" s="1"/>
      <c r="M84" s="1"/>
      <c r="N84" s="1"/>
      <c r="O84" s="1"/>
      <c r="P84" s="1"/>
      <c r="Q84" s="1"/>
    </row>
    <row r="85" ht="13.5" customHeight="1">
      <c r="A85" s="1"/>
      <c r="B85" s="64">
        <f>1.1*B84</f>
        <v>0.022</v>
      </c>
      <c r="C85" s="65">
        <v>214.041833982354</v>
      </c>
      <c r="D85" s="65">
        <v>122.481487844343</v>
      </c>
      <c r="E85" s="65">
        <v>81.8526512383684</v>
      </c>
      <c r="F85" s="65">
        <v>65.3593155747739</v>
      </c>
      <c r="G85" s="65">
        <v>53.3284534722489</v>
      </c>
      <c r="H85" s="65">
        <v>40.3563913824558</v>
      </c>
      <c r="I85" s="65">
        <v>31.1299385166594</v>
      </c>
      <c r="J85" s="1"/>
      <c r="K85" s="1"/>
      <c r="L85" s="1"/>
      <c r="M85" s="1"/>
      <c r="N85" s="1"/>
      <c r="O85" s="1"/>
      <c r="P85" s="1"/>
      <c r="Q85" s="1"/>
    </row>
    <row r="86" ht="13.5" customHeight="1">
      <c r="A86" s="1"/>
      <c r="B86" s="64">
        <f>1.25*B84</f>
        <v>0.025</v>
      </c>
      <c r="C86" s="65">
        <v>273.789025134878</v>
      </c>
      <c r="D86" s="65">
        <v>142.656475862149</v>
      </c>
      <c r="E86" s="65">
        <v>91.7852084675594</v>
      </c>
      <c r="F86" s="65">
        <v>72.2387521553317</v>
      </c>
      <c r="G86" s="65">
        <v>58.3574561799286</v>
      </c>
      <c r="H86" s="65">
        <v>43.7326119079124</v>
      </c>
      <c r="I86" s="65">
        <v>33.5400931975914</v>
      </c>
      <c r="J86" s="1"/>
      <c r="K86" s="1"/>
      <c r="L86" s="1"/>
      <c r="M86" s="1"/>
      <c r="N86" s="1"/>
      <c r="O86" s="1"/>
      <c r="P86" s="1"/>
      <c r="Q86" s="1"/>
    </row>
    <row r="87" ht="13.5" customHeight="1">
      <c r="A87" s="1"/>
      <c r="B87" s="64">
        <f>1.5*B84</f>
        <v>0.03</v>
      </c>
      <c r="C87" s="65">
        <v>494.069073323476</v>
      </c>
      <c r="D87" s="65">
        <v>193.360810827533</v>
      </c>
      <c r="E87" s="65">
        <v>113.658108925416</v>
      </c>
      <c r="F87" s="65">
        <v>86.6633772435981</v>
      </c>
      <c r="G87" s="65">
        <v>68.5464958077972</v>
      </c>
      <c r="H87" s="65">
        <v>50.3329709531745</v>
      </c>
      <c r="I87" s="65">
        <v>38.1370789608613</v>
      </c>
      <c r="J87" s="1"/>
      <c r="K87" s="1"/>
      <c r="L87" s="1"/>
      <c r="M87" s="1"/>
      <c r="N87" s="1"/>
      <c r="O87" s="1"/>
      <c r="P87" s="1"/>
      <c r="Q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3.5" customHeight="1">
      <c r="A89" s="21" t="s">
        <v>63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1"/>
      <c r="P89" s="1"/>
      <c r="Q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3.5" customHeight="1">
      <c r="A91" s="46"/>
      <c r="B91" s="46">
        <v>0.0</v>
      </c>
      <c r="C91" s="46">
        <v>1.0</v>
      </c>
      <c r="D91" s="46">
        <f t="shared" ref="D91:L91" si="15">IF(AND(C91&lt;$B$33,C91&gt;0),C91+1,0)</f>
        <v>2</v>
      </c>
      <c r="E91" s="46">
        <f t="shared" si="15"/>
        <v>3</v>
      </c>
      <c r="F91" s="46">
        <f t="shared" si="15"/>
        <v>0</v>
      </c>
      <c r="G91" s="46">
        <f t="shared" si="15"/>
        <v>0</v>
      </c>
      <c r="H91" s="46">
        <f t="shared" si="15"/>
        <v>0</v>
      </c>
      <c r="I91" s="46">
        <f t="shared" si="15"/>
        <v>0</v>
      </c>
      <c r="J91" s="46">
        <f t="shared" si="15"/>
        <v>0</v>
      </c>
      <c r="K91" s="46">
        <f t="shared" si="15"/>
        <v>0</v>
      </c>
      <c r="L91" s="46">
        <f t="shared" si="15"/>
        <v>0</v>
      </c>
      <c r="M91" s="47" t="s">
        <v>45</v>
      </c>
      <c r="N91" s="1"/>
      <c r="O91" s="1"/>
      <c r="P91" s="1"/>
      <c r="Q91" s="1"/>
    </row>
    <row r="92" ht="13.5" customHeight="1">
      <c r="A92" s="46" t="s">
        <v>64</v>
      </c>
      <c r="B92" s="28" t="str">
        <f>_xll.MSTS(F1,"NET_INCOME","latest-x2","latest-x1","CorR=C,Dates=False,Freq=Y,Days=T,Fill=B,Curr=BASE")/1000000</f>
        <v>#NAME?</v>
      </c>
      <c r="C92" s="50" t="str">
        <f t="shared" ref="C92:L92" si="16">IF(C91&gt;0,B92*(1+$B$34),0)</f>
        <v>#NAME?</v>
      </c>
      <c r="D92" s="50" t="str">
        <f t="shared" si="16"/>
        <v>#NAME?</v>
      </c>
      <c r="E92" s="50" t="str">
        <f t="shared" si="16"/>
        <v>#NAME?</v>
      </c>
      <c r="F92" s="50">
        <f t="shared" si="16"/>
        <v>0</v>
      </c>
      <c r="G92" s="50">
        <f t="shared" si="16"/>
        <v>0</v>
      </c>
      <c r="H92" s="50">
        <f t="shared" si="16"/>
        <v>0</v>
      </c>
      <c r="I92" s="50">
        <f t="shared" si="16"/>
        <v>0</v>
      </c>
      <c r="J92" s="50">
        <f t="shared" si="16"/>
        <v>0</v>
      </c>
      <c r="K92" s="50">
        <f t="shared" si="16"/>
        <v>0</v>
      </c>
      <c r="L92" s="50">
        <f t="shared" si="16"/>
        <v>0</v>
      </c>
      <c r="M92" s="51"/>
      <c r="N92" s="1"/>
      <c r="O92" s="1"/>
      <c r="P92" s="3"/>
      <c r="Q92" s="1"/>
    </row>
    <row r="93" ht="13.5" customHeight="1">
      <c r="A93" s="46" t="s">
        <v>65</v>
      </c>
      <c r="B93" s="28" t="str">
        <f>_xll.MSTS(F1,"Capital_Expenditure","latest-x2","latest-x1","CorR=C,Dates=False,Freq=Y,Days=T,Fill=B,Curr=BASE")/-1000000</f>
        <v>#NAME?</v>
      </c>
      <c r="C93" s="50" t="str">
        <f t="shared" ref="C93:L93" si="17">IF(C91&gt;0,B93*(1+$B$34),0)</f>
        <v>#NAME?</v>
      </c>
      <c r="D93" s="50" t="str">
        <f t="shared" si="17"/>
        <v>#NAME?</v>
      </c>
      <c r="E93" s="50" t="str">
        <f t="shared" si="17"/>
        <v>#NAME?</v>
      </c>
      <c r="F93" s="50">
        <f t="shared" si="17"/>
        <v>0</v>
      </c>
      <c r="G93" s="50">
        <f t="shared" si="17"/>
        <v>0</v>
      </c>
      <c r="H93" s="50">
        <f t="shared" si="17"/>
        <v>0</v>
      </c>
      <c r="I93" s="50">
        <f t="shared" si="17"/>
        <v>0</v>
      </c>
      <c r="J93" s="50">
        <f t="shared" si="17"/>
        <v>0</v>
      </c>
      <c r="K93" s="50">
        <f t="shared" si="17"/>
        <v>0</v>
      </c>
      <c r="L93" s="50">
        <f t="shared" si="17"/>
        <v>0</v>
      </c>
      <c r="M93" s="51"/>
      <c r="N93" s="1"/>
      <c r="O93" s="3"/>
      <c r="P93" s="1"/>
      <c r="Q93" s="1"/>
    </row>
    <row r="94" ht="13.5" customHeight="1">
      <c r="A94" s="46" t="s">
        <v>66</v>
      </c>
      <c r="B94" s="33">
        <v>39.0</v>
      </c>
      <c r="C94" s="50">
        <f t="shared" ref="C94:L94" si="18">IF(C91&gt;0,B94*(1+$B$34),0)</f>
        <v>41.769</v>
      </c>
      <c r="D94" s="50">
        <f t="shared" si="18"/>
        <v>44.734599</v>
      </c>
      <c r="E94" s="50">
        <f t="shared" si="18"/>
        <v>47.91075553</v>
      </c>
      <c r="F94" s="50">
        <f t="shared" si="18"/>
        <v>0</v>
      </c>
      <c r="G94" s="50">
        <f t="shared" si="18"/>
        <v>0</v>
      </c>
      <c r="H94" s="50">
        <f t="shared" si="18"/>
        <v>0</v>
      </c>
      <c r="I94" s="50">
        <f t="shared" si="18"/>
        <v>0</v>
      </c>
      <c r="J94" s="50">
        <f t="shared" si="18"/>
        <v>0</v>
      </c>
      <c r="K94" s="50">
        <f t="shared" si="18"/>
        <v>0</v>
      </c>
      <c r="L94" s="50">
        <f t="shared" si="18"/>
        <v>0</v>
      </c>
      <c r="M94" s="51"/>
      <c r="N94" s="1"/>
      <c r="O94" s="1"/>
      <c r="P94" s="1"/>
      <c r="Q94" s="1"/>
    </row>
    <row r="95" ht="13.5" customHeight="1">
      <c r="A95" s="46" t="s">
        <v>67</v>
      </c>
      <c r="B95" s="28" t="str">
        <f>E36</f>
        <v>#NAME?</v>
      </c>
      <c r="C95" s="50" t="str">
        <f t="shared" ref="C95:L95" si="19">IF(C91&gt;0,B95*(1+$B$34),0)</f>
        <v>#NAME?</v>
      </c>
      <c r="D95" s="50" t="str">
        <f t="shared" si="19"/>
        <v>#NAME?</v>
      </c>
      <c r="E95" s="50" t="str">
        <f t="shared" si="19"/>
        <v>#NAME?</v>
      </c>
      <c r="F95" s="50">
        <f t="shared" si="19"/>
        <v>0</v>
      </c>
      <c r="G95" s="50">
        <f t="shared" si="19"/>
        <v>0</v>
      </c>
      <c r="H95" s="50">
        <f t="shared" si="19"/>
        <v>0</v>
      </c>
      <c r="I95" s="50">
        <f t="shared" si="19"/>
        <v>0</v>
      </c>
      <c r="J95" s="50">
        <f t="shared" si="19"/>
        <v>0</v>
      </c>
      <c r="K95" s="50">
        <f t="shared" si="19"/>
        <v>0</v>
      </c>
      <c r="L95" s="50">
        <f t="shared" si="19"/>
        <v>0</v>
      </c>
      <c r="M95" s="51"/>
      <c r="N95" s="1"/>
      <c r="O95" s="1"/>
      <c r="P95" s="1"/>
      <c r="Q95" s="1"/>
    </row>
    <row r="96" ht="13.5" customHeight="1">
      <c r="A96" s="4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1"/>
      <c r="N96" s="1"/>
      <c r="O96" s="1"/>
      <c r="P96" s="1"/>
      <c r="Q96" s="25"/>
    </row>
    <row r="97" ht="13.5" customHeight="1">
      <c r="A97" s="4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1"/>
      <c r="N97" s="1"/>
      <c r="O97" s="1"/>
      <c r="P97" s="25"/>
      <c r="Q97" s="1"/>
    </row>
    <row r="98" ht="13.5" customHeight="1">
      <c r="A98" s="46" t="s">
        <v>63</v>
      </c>
      <c r="B98" s="1"/>
      <c r="C98" s="50" t="str">
        <f>IF(C91&gt;0,C92-(C93-C94)*Sheet1!$B$27-(C95-B95)*Sheet1!$B$27,0)</f>
        <v>#NAME?</v>
      </c>
      <c r="D98" s="50" t="str">
        <f>IF(D91&gt;0,D92-(D93-D94)*Sheet1!$B$27-(D95-C95)*Sheet1!$B$27,0)</f>
        <v>#NAME?</v>
      </c>
      <c r="E98" s="50" t="str">
        <f>IF(E91&gt;0,E92-(E93-E94)*$B$27-(E95-D95)*$B$27,0)</f>
        <v>#NAME?</v>
      </c>
      <c r="F98" s="50">
        <f>IF(F91&gt;0,F92-(F93-F94)*Sheet1!$B$27-(F95-E95)*Sheet1!$B$27,0)</f>
        <v>0</v>
      </c>
      <c r="G98" s="50">
        <f>IF(G91&gt;0,G92-(G93-G94)*Sheet1!$B$27-(G95-F95)*Sheet1!$B$27,0)</f>
        <v>0</v>
      </c>
      <c r="H98" s="50">
        <f>IF(H91&gt;0,H92-(H93-H94)*Sheet1!$B$27-(H95-G95)*Sheet1!$B$27,0)</f>
        <v>0</v>
      </c>
      <c r="I98" s="50">
        <f>IF(I91&gt;0,I92-(I93-I94)*Sheet1!$B$27-(I95-H95)*Sheet1!$B$27,0)</f>
        <v>0</v>
      </c>
      <c r="J98" s="50">
        <f>IF(J91&gt;0,J92-(J93-J94)*Sheet1!$B$27-(J95-I95)*Sheet1!$B$27,0)</f>
        <v>0</v>
      </c>
      <c r="K98" s="50">
        <f>IF(K91&gt;0,K92-(K93-K94)*Sheet1!$B$27-(K95-J95)*Sheet1!$B$27,0)</f>
        <v>0</v>
      </c>
      <c r="L98" s="50">
        <f>IF(L91&gt;0,L92-(L93-L94)*Sheet1!$B$27-(L95-K95)*Sheet1!$B$27,0)</f>
        <v>0</v>
      </c>
      <c r="M98" s="50" t="str">
        <f>HLOOKUP(B33,B91:L98,8,FALSE)/($B$28-$B$35)</f>
        <v>#NAME?</v>
      </c>
      <c r="N98" s="1"/>
      <c r="O98" s="1"/>
      <c r="P98" s="1"/>
      <c r="Q98" s="1"/>
    </row>
    <row r="99" ht="13.5" customHeight="1">
      <c r="A99" s="46" t="s">
        <v>68</v>
      </c>
      <c r="B99" s="1"/>
      <c r="C99" s="50" t="str">
        <f>IF(D91=0,C98+$M$15,C98)</f>
        <v>#NAME?</v>
      </c>
      <c r="D99" s="50" t="str">
        <f t="shared" ref="D99:K99" si="20">IF(AND(E91=0,D91&gt;0),D98+$M$98,D98)</f>
        <v>#NAME?</v>
      </c>
      <c r="E99" s="50" t="str">
        <f t="shared" si="20"/>
        <v>#NAME?</v>
      </c>
      <c r="F99" s="50">
        <f t="shared" si="20"/>
        <v>0</v>
      </c>
      <c r="G99" s="50">
        <f t="shared" si="20"/>
        <v>0</v>
      </c>
      <c r="H99" s="50">
        <f t="shared" si="20"/>
        <v>0</v>
      </c>
      <c r="I99" s="50">
        <f t="shared" si="20"/>
        <v>0</v>
      </c>
      <c r="J99" s="50">
        <f t="shared" si="20"/>
        <v>0</v>
      </c>
      <c r="K99" s="50">
        <f t="shared" si="20"/>
        <v>0</v>
      </c>
      <c r="L99" s="50">
        <f>IF(AND(M91="Horizon Value",L91&gt;0),L98+$M$98,L98)</f>
        <v>0</v>
      </c>
      <c r="M99" s="1"/>
      <c r="N99" s="1"/>
      <c r="O99" s="1"/>
      <c r="P99" s="1"/>
      <c r="Q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  <c r="Q100" s="1"/>
    </row>
    <row r="101" ht="13.5" customHeight="1">
      <c r="A101" s="46" t="s">
        <v>69</v>
      </c>
      <c r="B101" s="68" t="str">
        <f t="array" ref="B101">NPV($B$28,C99:L99)</f>
        <v>#NAME?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3.5" customHeight="1">
      <c r="A102" s="46" t="s">
        <v>70</v>
      </c>
      <c r="B102" s="50">
        <f>H35</f>
        <v>4431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3.5" customHeight="1">
      <c r="A103" s="46" t="s">
        <v>49</v>
      </c>
      <c r="B103" s="56" t="str">
        <f>B101-B102</f>
        <v>#NAME?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8.0" customHeight="1">
      <c r="A104" s="57" t="s">
        <v>50</v>
      </c>
      <c r="B104" s="58" t="str">
        <f>B103/Sheet1!$B$12</f>
        <v>#NAME?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3.5" customHeight="1">
      <c r="A105" s="1"/>
      <c r="B105" s="1"/>
      <c r="C105" s="1"/>
      <c r="D105" s="1"/>
      <c r="E105" s="1"/>
      <c r="F105" s="62" t="s">
        <v>56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3.5" customHeight="1">
      <c r="A106" s="1"/>
      <c r="B106" s="63" t="str">
        <f>B104</f>
        <v>#NAME?</v>
      </c>
      <c r="C106" s="64">
        <f>F106*0.6</f>
        <v>0.0366</v>
      </c>
      <c r="D106" s="64">
        <f>F106*0.75</f>
        <v>0.04575</v>
      </c>
      <c r="E106" s="64">
        <f>F106*0.9</f>
        <v>0.0549</v>
      </c>
      <c r="F106" s="64">
        <f>D54</f>
        <v>0.061</v>
      </c>
      <c r="G106" s="64">
        <f>F106*1.1</f>
        <v>0.0671</v>
      </c>
      <c r="H106" s="64">
        <f>F106*1.25</f>
        <v>0.07625</v>
      </c>
      <c r="I106" s="64">
        <f>F106*1.4</f>
        <v>0.0854</v>
      </c>
      <c r="J106" s="1"/>
      <c r="K106" s="1"/>
      <c r="L106" s="1"/>
      <c r="M106" s="1"/>
      <c r="N106" s="1"/>
      <c r="O106" s="1"/>
      <c r="P106" s="1"/>
      <c r="Q106" s="1"/>
    </row>
    <row r="107" ht="13.5" customHeight="1">
      <c r="A107" s="1"/>
      <c r="B107" s="64">
        <f>B110*0.6</f>
        <v>0.0426</v>
      </c>
      <c r="C107" s="65">
        <v>166.985184253568</v>
      </c>
      <c r="D107" s="65">
        <v>103.367053107541</v>
      </c>
      <c r="E107" s="65">
        <v>73.1070721108637</v>
      </c>
      <c r="F107" s="65">
        <v>60.4370864432169</v>
      </c>
      <c r="G107" s="65">
        <v>51.0488206584958</v>
      </c>
      <c r="H107" s="65">
        <v>40.7841657527057</v>
      </c>
      <c r="I107" s="65">
        <v>33.391585735502</v>
      </c>
      <c r="J107" s="1"/>
      <c r="K107" s="1"/>
      <c r="L107" s="1"/>
      <c r="M107" s="1"/>
      <c r="N107" s="1"/>
      <c r="O107" s="1"/>
      <c r="P107" s="1"/>
      <c r="Q107" s="1"/>
    </row>
    <row r="108" ht="13.5" customHeight="1">
      <c r="A108" s="1"/>
      <c r="B108" s="64">
        <f>B110*0.75</f>
        <v>0.05325</v>
      </c>
      <c r="C108" s="65">
        <v>170.53871781196</v>
      </c>
      <c r="D108" s="65">
        <v>105.62799548853</v>
      </c>
      <c r="E108" s="65">
        <v>74.7537002925199</v>
      </c>
      <c r="F108" s="65">
        <v>61.8267315360433</v>
      </c>
      <c r="G108" s="65">
        <v>52.2482033723893</v>
      </c>
      <c r="H108" s="65">
        <v>41.7757673752845</v>
      </c>
      <c r="I108" s="65">
        <v>34.2337868493891</v>
      </c>
      <c r="J108" s="1"/>
      <c r="K108" s="1"/>
      <c r="L108" s="1"/>
      <c r="M108" s="1"/>
      <c r="N108" s="1"/>
      <c r="O108" s="1"/>
      <c r="P108" s="1"/>
      <c r="Q108" s="1"/>
    </row>
    <row r="109" ht="13.5" customHeight="1">
      <c r="A109" s="66" t="s">
        <v>57</v>
      </c>
      <c r="B109" s="64">
        <f>B110*0.9</f>
        <v>0.0639</v>
      </c>
      <c r="C109" s="65">
        <v>174.12701500305</v>
      </c>
      <c r="D109" s="65">
        <v>107.91095799331</v>
      </c>
      <c r="E109" s="65">
        <v>76.4162946355107</v>
      </c>
      <c r="F109" s="65">
        <v>63.229811403608</v>
      </c>
      <c r="G109" s="65">
        <v>53.4591474696672</v>
      </c>
      <c r="H109" s="65">
        <v>42.7768856672965</v>
      </c>
      <c r="I109" s="65">
        <v>35.0840355961616</v>
      </c>
      <c r="J109" s="1"/>
      <c r="K109" s="1"/>
      <c r="L109" s="1"/>
      <c r="M109" s="1"/>
      <c r="N109" s="1"/>
      <c r="O109" s="1"/>
      <c r="P109" s="1"/>
      <c r="Q109" s="1"/>
    </row>
    <row r="110" ht="13.5" customHeight="1">
      <c r="A110" s="66" t="s">
        <v>58</v>
      </c>
      <c r="B110" s="64">
        <f>D55</f>
        <v>0.071</v>
      </c>
      <c r="C110" s="65">
        <v>176.538515742463</v>
      </c>
      <c r="D110" s="65">
        <v>109.445159735529</v>
      </c>
      <c r="E110" s="65">
        <v>77.5335561217324</v>
      </c>
      <c r="F110" s="65">
        <v>64.1726576792842</v>
      </c>
      <c r="G110" s="65">
        <v>54.2728630254662</v>
      </c>
      <c r="H110" s="65">
        <v>43.449582019177</v>
      </c>
      <c r="I110" s="65">
        <v>35.6553365641458</v>
      </c>
      <c r="J110" s="1"/>
      <c r="K110" s="1"/>
      <c r="L110" s="1"/>
      <c r="M110" s="1"/>
      <c r="N110" s="1"/>
      <c r="O110" s="1"/>
      <c r="P110" s="1"/>
      <c r="Q110" s="1"/>
    </row>
    <row r="111" ht="13.5" customHeight="1">
      <c r="A111" s="1"/>
      <c r="B111" s="64">
        <f>B110*1.1</f>
        <v>0.0781</v>
      </c>
      <c r="C111" s="65">
        <v>178.965451209413</v>
      </c>
      <c r="D111" s="65">
        <v>110.989138204819</v>
      </c>
      <c r="E111" s="65">
        <v>78.6579064315548</v>
      </c>
      <c r="F111" s="65">
        <v>65.1214688662894</v>
      </c>
      <c r="G111" s="65">
        <v>55.0917117241477</v>
      </c>
      <c r="H111" s="65">
        <v>44.1265036798644</v>
      </c>
      <c r="I111" s="65">
        <v>36.2302106023231</v>
      </c>
      <c r="J111" s="1"/>
      <c r="K111" s="1"/>
      <c r="L111" s="1"/>
      <c r="M111" s="1"/>
      <c r="N111" s="1"/>
      <c r="O111" s="1"/>
      <c r="P111" s="1"/>
      <c r="Q111" s="1"/>
    </row>
    <row r="112" ht="13.5" customHeight="1">
      <c r="A112" s="1"/>
      <c r="B112" s="64">
        <f>B110*1.25</f>
        <v>0.08875</v>
      </c>
      <c r="C112" s="65">
        <v>182.63478072007</v>
      </c>
      <c r="D112" s="65">
        <v>113.323428526729</v>
      </c>
      <c r="E112" s="65">
        <v>80.3577170984488</v>
      </c>
      <c r="F112" s="65">
        <v>66.5558645183319</v>
      </c>
      <c r="G112" s="65">
        <v>56.3296048215581</v>
      </c>
      <c r="H112" s="65">
        <v>45.1498048431128</v>
      </c>
      <c r="I112" s="65">
        <v>37.0992179676087</v>
      </c>
      <c r="J112" s="1"/>
      <c r="K112" s="1"/>
      <c r="L112" s="1"/>
      <c r="M112" s="1"/>
      <c r="N112" s="1"/>
      <c r="O112" s="1"/>
      <c r="P112" s="1"/>
      <c r="Q112" s="1"/>
    </row>
    <row r="113" ht="13.5" customHeight="1">
      <c r="A113" s="1"/>
      <c r="B113" s="64">
        <f>B110*1.4</f>
        <v>0.0994</v>
      </c>
      <c r="C113" s="65">
        <v>186.338802871944</v>
      </c>
      <c r="D113" s="65">
        <v>115.679693996672</v>
      </c>
      <c r="E113" s="65">
        <v>82.0734613102108</v>
      </c>
      <c r="F113" s="65">
        <v>68.0036674966169</v>
      </c>
      <c r="G113" s="65">
        <v>57.5790356785548</v>
      </c>
      <c r="H113" s="65">
        <v>46.1826032265591</v>
      </c>
      <c r="I113" s="65">
        <v>37.9762565158775</v>
      </c>
      <c r="J113" s="1"/>
      <c r="K113" s="1"/>
      <c r="L113" s="1"/>
      <c r="M113" s="1"/>
      <c r="N113" s="1"/>
      <c r="O113" s="1"/>
      <c r="P113" s="1"/>
      <c r="Q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3.5" customHeight="1">
      <c r="A116" s="1"/>
      <c r="B116" s="1"/>
      <c r="C116" s="1"/>
      <c r="D116" s="1"/>
      <c r="E116" s="1"/>
      <c r="F116" s="62" t="s">
        <v>56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3.5" customHeight="1">
      <c r="A117" s="1"/>
      <c r="B117" s="63" t="str">
        <f>B104</f>
        <v>#NAME?</v>
      </c>
      <c r="C117" s="64">
        <f>F117*0.6</f>
        <v>0.0366</v>
      </c>
      <c r="D117" s="64">
        <f>F117*0.75</f>
        <v>0.04575</v>
      </c>
      <c r="E117" s="64">
        <f>F117*0.9</f>
        <v>0.0549</v>
      </c>
      <c r="F117" s="64">
        <f>D54</f>
        <v>0.061</v>
      </c>
      <c r="G117" s="64">
        <f>F117*1.1</f>
        <v>0.0671</v>
      </c>
      <c r="H117" s="64">
        <f>F117*1.25</f>
        <v>0.07625</v>
      </c>
      <c r="I117" s="64">
        <f>F117*1.4</f>
        <v>0.0854</v>
      </c>
      <c r="J117" s="1"/>
      <c r="K117" s="1"/>
      <c r="L117" s="1"/>
      <c r="M117" s="1"/>
      <c r="N117" s="1"/>
      <c r="O117" s="1"/>
      <c r="P117" s="1"/>
      <c r="Q117" s="1"/>
    </row>
    <row r="118" ht="13.5" customHeight="1">
      <c r="A118" s="1"/>
      <c r="B118" s="46">
        <v>3.0</v>
      </c>
      <c r="C118" s="65">
        <v>176.538515742463</v>
      </c>
      <c r="D118" s="65">
        <v>109.445159735529</v>
      </c>
      <c r="E118" s="65">
        <v>77.5335561217324</v>
      </c>
      <c r="F118" s="65">
        <v>64.1726576792842</v>
      </c>
      <c r="G118" s="65">
        <v>54.2728630254662</v>
      </c>
      <c r="H118" s="65">
        <v>43.449582019177</v>
      </c>
      <c r="I118" s="65">
        <v>35.6553365641458</v>
      </c>
      <c r="J118" s="1"/>
      <c r="K118" s="1"/>
      <c r="L118" s="1"/>
      <c r="M118" s="1"/>
      <c r="N118" s="1"/>
      <c r="O118" s="1"/>
      <c r="P118" s="1"/>
      <c r="Q118" s="1"/>
    </row>
    <row r="119" ht="13.5" customHeight="1">
      <c r="A119" s="1"/>
      <c r="B119" s="46">
        <v>4.0</v>
      </c>
      <c r="C119" s="65">
        <v>185.593679625759</v>
      </c>
      <c r="D119" s="65">
        <v>115.151192963844</v>
      </c>
      <c r="E119" s="65">
        <v>81.649415676244</v>
      </c>
      <c r="F119" s="65">
        <v>67.6240060149651</v>
      </c>
      <c r="G119" s="65">
        <v>57.2327001447936</v>
      </c>
      <c r="H119" s="65">
        <v>45.8733717928723</v>
      </c>
      <c r="I119" s="65">
        <v>37.694412691216</v>
      </c>
      <c r="J119" s="1"/>
      <c r="K119" s="1"/>
      <c r="L119" s="1"/>
      <c r="M119" s="1"/>
      <c r="N119" s="1"/>
      <c r="O119" s="1"/>
      <c r="P119" s="1"/>
      <c r="Q119" s="1"/>
    </row>
    <row r="120" ht="13.5" customHeight="1">
      <c r="A120" s="1"/>
      <c r="B120" s="46">
        <v>5.0</v>
      </c>
      <c r="C120" s="65">
        <v>194.949342870028</v>
      </c>
      <c r="D120" s="65">
        <v>120.995000362865</v>
      </c>
      <c r="E120" s="65">
        <v>85.8280919326492</v>
      </c>
      <c r="F120" s="65">
        <v>71.1078835526788</v>
      </c>
      <c r="G120" s="65">
        <v>60.203354773975</v>
      </c>
      <c r="H120" s="65">
        <v>48.2853382018178</v>
      </c>
      <c r="I120" s="65">
        <v>39.7064363986898</v>
      </c>
      <c r="J120" s="1"/>
      <c r="K120" s="1"/>
      <c r="L120" s="1"/>
      <c r="M120" s="1"/>
      <c r="N120" s="1"/>
      <c r="O120" s="1"/>
      <c r="P120" s="1"/>
      <c r="Q120" s="1"/>
    </row>
    <row r="121" ht="13.5" customHeight="1">
      <c r="A121" s="66" t="s">
        <v>59</v>
      </c>
      <c r="B121" s="46">
        <v>6.0</v>
      </c>
      <c r="C121" s="65">
        <v>204.615477670928</v>
      </c>
      <c r="D121" s="65">
        <v>126.979908538195</v>
      </c>
      <c r="E121" s="65">
        <v>90.0705436063719</v>
      </c>
      <c r="F121" s="65">
        <v>74.6245968824539</v>
      </c>
      <c r="G121" s="65">
        <v>63.1848664484698</v>
      </c>
      <c r="H121" s="65">
        <v>50.6855389209636</v>
      </c>
      <c r="I121" s="65">
        <v>41.6917665909732</v>
      </c>
      <c r="J121" s="1"/>
      <c r="K121" s="1"/>
      <c r="L121" s="1"/>
      <c r="M121" s="1"/>
      <c r="N121" s="1"/>
      <c r="O121" s="1"/>
      <c r="P121" s="1"/>
      <c r="Q121" s="1"/>
    </row>
    <row r="122" ht="13.5" customHeight="1">
      <c r="A122" s="66" t="s">
        <v>60</v>
      </c>
      <c r="B122" s="46">
        <v>7.0</v>
      </c>
      <c r="C122" s="65">
        <v>214.602387155554</v>
      </c>
      <c r="D122" s="65">
        <v>133.109324417496</v>
      </c>
      <c r="E122" s="65">
        <v>94.377744044856</v>
      </c>
      <c r="F122" s="65">
        <v>78.1744554839517</v>
      </c>
      <c r="G122" s="65">
        <v>66.1772748482297</v>
      </c>
      <c r="H122" s="65">
        <v>53.0740313439185</v>
      </c>
      <c r="I122" s="65">
        <v>43.6507574108881</v>
      </c>
      <c r="J122" s="1"/>
      <c r="K122" s="1"/>
      <c r="L122" s="1"/>
      <c r="M122" s="1"/>
      <c r="N122" s="1"/>
      <c r="O122" s="1"/>
      <c r="P122" s="1"/>
      <c r="Q122" s="1"/>
    </row>
    <row r="123" ht="13.5" customHeight="1">
      <c r="A123" s="1"/>
      <c r="B123" s="46">
        <v>8.0</v>
      </c>
      <c r="C123" s="65">
        <v>224.92071636454</v>
      </c>
      <c r="D123" s="65">
        <v>139.386737189889</v>
      </c>
      <c r="E123" s="65">
        <v>98.7506814508817</v>
      </c>
      <c r="F123" s="65">
        <v>81.757771753701</v>
      </c>
      <c r="G123" s="65">
        <v>69.1806197982278</v>
      </c>
      <c r="H123" s="65">
        <v>55.4508725843223</v>
      </c>
      <c r="I123" s="65">
        <v>45.5837583028439</v>
      </c>
      <c r="J123" s="1"/>
      <c r="K123" s="1"/>
      <c r="L123" s="1"/>
      <c r="M123" s="1"/>
      <c r="N123" s="1"/>
      <c r="O123" s="1"/>
      <c r="P123" s="1"/>
      <c r="Q123" s="1"/>
    </row>
    <row r="124" ht="13.5" customHeight="1">
      <c r="A124" s="1"/>
      <c r="B124" s="46">
        <v>9.0</v>
      </c>
      <c r="C124" s="65">
        <v>235.581463598597</v>
      </c>
      <c r="D124" s="65">
        <v>145.815720292192</v>
      </c>
      <c r="E124" s="65">
        <v>103.190359109289</v>
      </c>
      <c r="F124" s="65">
        <v>85.3748610325904</v>
      </c>
      <c r="G124" s="65">
        <v>72.1949412689878</v>
      </c>
      <c r="H124" s="65">
        <v>57.816119477212</v>
      </c>
      <c r="I124" s="65">
        <v>47.4911140751718</v>
      </c>
      <c r="J124" s="1"/>
      <c r="K124" s="1"/>
      <c r="L124" s="1"/>
      <c r="M124" s="1"/>
      <c r="N124" s="1"/>
      <c r="O124" s="1"/>
      <c r="P124" s="1"/>
      <c r="Q124" s="1"/>
    </row>
    <row r="125" ht="13.5" customHeight="1">
      <c r="A125" s="1"/>
      <c r="B125" s="46">
        <v>10.0</v>
      </c>
      <c r="C125" s="65">
        <v>246.595992141599</v>
      </c>
      <c r="D125" s="65">
        <v>152.399933443105</v>
      </c>
      <c r="E125" s="65">
        <v>107.69779561716</v>
      </c>
      <c r="F125" s="65">
        <v>89.0260416336182</v>
      </c>
      <c r="G125" s="65">
        <v>75.2202793771163</v>
      </c>
      <c r="H125" s="65">
        <v>60.1698285803803</v>
      </c>
      <c r="I125" s="65">
        <v>49.3731649616312</v>
      </c>
      <c r="J125" s="1"/>
      <c r="K125" s="1"/>
      <c r="L125" s="1"/>
      <c r="M125" s="1"/>
      <c r="N125" s="1"/>
      <c r="O125" s="1"/>
      <c r="P125" s="1"/>
      <c r="Q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3.5" customHeight="1">
      <c r="A127" s="1"/>
      <c r="B127" s="1"/>
      <c r="C127" s="1"/>
      <c r="D127" s="1"/>
      <c r="E127" s="1"/>
      <c r="F127" s="62" t="s">
        <v>56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3.5" customHeight="1">
      <c r="A128" s="1"/>
      <c r="B128" s="63" t="str">
        <f>B104</f>
        <v>#NAME?</v>
      </c>
      <c r="C128" s="64">
        <f>F128*0.6</f>
        <v>0.0366</v>
      </c>
      <c r="D128" s="64">
        <f>F128*0.75</f>
        <v>0.04575</v>
      </c>
      <c r="E128" s="64">
        <f>F128*0.9</f>
        <v>0.0549</v>
      </c>
      <c r="F128" s="64">
        <f>F117</f>
        <v>0.061</v>
      </c>
      <c r="G128" s="64">
        <f>F128*1.1</f>
        <v>0.0671</v>
      </c>
      <c r="H128" s="64">
        <f>F128*1.25</f>
        <v>0.07625</v>
      </c>
      <c r="I128" s="64">
        <f>F128*1.4</f>
        <v>0.0854</v>
      </c>
      <c r="J128" s="1"/>
      <c r="K128" s="1"/>
      <c r="L128" s="1"/>
      <c r="M128" s="1"/>
      <c r="N128" s="1"/>
      <c r="O128" s="1"/>
      <c r="P128" s="1"/>
      <c r="Q128" s="1"/>
    </row>
    <row r="129" ht="13.5" customHeight="1">
      <c r="A129" s="1"/>
      <c r="B129" s="64">
        <v>0.0</v>
      </c>
      <c r="C129" s="65">
        <v>78.236141530173</v>
      </c>
      <c r="D129" s="65">
        <v>60.0670065672119</v>
      </c>
      <c r="E129" s="65">
        <v>47.9564863622536</v>
      </c>
      <c r="F129" s="65">
        <v>41.9023123885337</v>
      </c>
      <c r="G129" s="65">
        <v>36.9496675091403</v>
      </c>
      <c r="H129" s="65">
        <v>31.0077330302173</v>
      </c>
      <c r="I129" s="65">
        <v>26.3403609282597</v>
      </c>
      <c r="J129" s="1"/>
      <c r="K129" s="1"/>
      <c r="L129" s="1"/>
      <c r="M129" s="1"/>
      <c r="N129" s="1"/>
      <c r="O129" s="1"/>
      <c r="P129" s="1"/>
      <c r="Q129" s="1"/>
    </row>
    <row r="130" ht="13.5" customHeight="1">
      <c r="A130" s="1"/>
      <c r="B130" s="64">
        <f>B133*0.5</f>
        <v>0.01</v>
      </c>
      <c r="C130" s="65">
        <v>108.90943874679</v>
      </c>
      <c r="D130" s="65">
        <v>77.8500477432141</v>
      </c>
      <c r="E130" s="65">
        <v>59.4513609124297</v>
      </c>
      <c r="F130" s="65">
        <v>50.8541178485412</v>
      </c>
      <c r="G130" s="65">
        <v>44.094347971653</v>
      </c>
      <c r="H130" s="65">
        <v>36.2896500538322</v>
      </c>
      <c r="I130" s="65">
        <v>30.3801447915684</v>
      </c>
      <c r="J130" s="1"/>
      <c r="K130" s="1"/>
      <c r="L130" s="1"/>
      <c r="M130" s="1"/>
      <c r="N130" s="1"/>
      <c r="O130" s="1"/>
      <c r="P130" s="1"/>
      <c r="Q130" s="1"/>
    </row>
    <row r="131" ht="13.5" customHeight="1">
      <c r="A131" s="66" t="s">
        <v>61</v>
      </c>
      <c r="B131" s="64">
        <f>0.75*B133</f>
        <v>0.015</v>
      </c>
      <c r="C131" s="65">
        <v>134.896537777535</v>
      </c>
      <c r="D131" s="65">
        <v>91.0788954473133</v>
      </c>
      <c r="E131" s="65">
        <v>67.359488892438</v>
      </c>
      <c r="F131" s="65">
        <v>56.7895540774593</v>
      </c>
      <c r="G131" s="65">
        <v>48.6951930679544</v>
      </c>
      <c r="H131" s="65">
        <v>39.5773739154701</v>
      </c>
      <c r="I131" s="65">
        <v>32.8304114245695</v>
      </c>
      <c r="J131" s="1"/>
      <c r="K131" s="1"/>
      <c r="L131" s="1"/>
      <c r="M131" s="1"/>
      <c r="N131" s="1"/>
      <c r="O131" s="1"/>
      <c r="P131" s="1"/>
      <c r="Q131" s="1"/>
    </row>
    <row r="132" ht="13.5" customHeight="1">
      <c r="A132" s="66" t="s">
        <v>62</v>
      </c>
      <c r="B132" s="64">
        <f>B133*0.9</f>
        <v>0.018</v>
      </c>
      <c r="C132" s="65">
        <v>157.195145332948</v>
      </c>
      <c r="D132" s="65">
        <v>101.304437186158</v>
      </c>
      <c r="E132" s="65">
        <v>73.1330652550783</v>
      </c>
      <c r="F132" s="65">
        <v>61.0133761380382</v>
      </c>
      <c r="G132" s="65">
        <v>51.9054772430926</v>
      </c>
      <c r="H132" s="65">
        <v>41.8209279669741</v>
      </c>
      <c r="I132" s="65">
        <v>34.4750711052368</v>
      </c>
      <c r="J132" s="1"/>
      <c r="K132" s="1"/>
      <c r="L132" s="1"/>
      <c r="M132" s="1"/>
      <c r="N132" s="1"/>
      <c r="O132" s="1"/>
      <c r="P132" s="1"/>
      <c r="Q132" s="1"/>
    </row>
    <row r="133" ht="13.5" customHeight="1">
      <c r="A133" s="1"/>
      <c r="B133" s="64">
        <f>D56</f>
        <v>0.02</v>
      </c>
      <c r="C133" s="65">
        <v>176.538515742463</v>
      </c>
      <c r="D133" s="65">
        <v>109.445159735529</v>
      </c>
      <c r="E133" s="65">
        <v>77.5335561217324</v>
      </c>
      <c r="F133" s="65">
        <v>64.1726576792842</v>
      </c>
      <c r="G133" s="65">
        <v>54.2728630254662</v>
      </c>
      <c r="H133" s="65">
        <v>43.449582019177</v>
      </c>
      <c r="I133" s="65">
        <v>35.6553365641458</v>
      </c>
      <c r="J133" s="1"/>
      <c r="K133" s="1"/>
      <c r="L133" s="1"/>
      <c r="M133" s="1"/>
      <c r="N133" s="1"/>
      <c r="O133" s="1"/>
      <c r="P133" s="1"/>
      <c r="Q133" s="1"/>
    </row>
    <row r="134" ht="13.5" customHeight="1">
      <c r="A134" s="1"/>
      <c r="B134" s="64">
        <f>1.1*B133</f>
        <v>0.022</v>
      </c>
      <c r="C134" s="65">
        <v>201.181439688832</v>
      </c>
      <c r="D134" s="65">
        <v>118.956951345847</v>
      </c>
      <c r="E134" s="65">
        <v>82.4690610755178</v>
      </c>
      <c r="F134" s="65">
        <v>67.6559680965554</v>
      </c>
      <c r="G134" s="65">
        <v>56.8502165047245</v>
      </c>
      <c r="H134" s="65">
        <v>45.1983211627865</v>
      </c>
      <c r="I134" s="65">
        <v>36.9100667207778</v>
      </c>
      <c r="J134" s="1"/>
      <c r="K134" s="1"/>
      <c r="L134" s="1"/>
      <c r="M134" s="1"/>
      <c r="N134" s="1"/>
      <c r="O134" s="1"/>
      <c r="P134" s="1"/>
      <c r="Q134" s="1"/>
    </row>
    <row r="135" ht="13.5" customHeight="1">
      <c r="A135" s="1"/>
      <c r="B135" s="64">
        <f>1.25*B133</f>
        <v>0.025</v>
      </c>
      <c r="C135" s="65">
        <v>254.078750573709</v>
      </c>
      <c r="D135" s="65">
        <v>136.662635728908</v>
      </c>
      <c r="E135" s="65">
        <v>91.110321421025</v>
      </c>
      <c r="F135" s="65">
        <v>73.6066233927271</v>
      </c>
      <c r="G135" s="65">
        <v>61.175395205665</v>
      </c>
      <c r="H135" s="65">
        <v>48.0773429236071</v>
      </c>
      <c r="I135" s="65">
        <v>38.9479645414003</v>
      </c>
      <c r="J135" s="1"/>
      <c r="K135" s="1"/>
      <c r="L135" s="1"/>
      <c r="M135" s="1"/>
      <c r="N135" s="1"/>
      <c r="O135" s="1"/>
      <c r="P135" s="1"/>
      <c r="Q135" s="1"/>
    </row>
    <row r="136" ht="13.5" customHeight="1">
      <c r="A136" s="1"/>
      <c r="B136" s="64">
        <f>1.5*B133</f>
        <v>0.03</v>
      </c>
      <c r="C136" s="65">
        <v>449.104189694722</v>
      </c>
      <c r="D136" s="65">
        <v>181.161048860941</v>
      </c>
      <c r="E136" s="65">
        <v>110.139602904772</v>
      </c>
      <c r="F136" s="65">
        <v>86.0838038524419</v>
      </c>
      <c r="G136" s="65">
        <v>69.9384481891518</v>
      </c>
      <c r="H136" s="65">
        <v>53.7057007803464</v>
      </c>
      <c r="I136" s="65">
        <v>42.8349296986646</v>
      </c>
      <c r="J136" s="1"/>
      <c r="K136" s="1"/>
      <c r="L136" s="1"/>
      <c r="M136" s="1"/>
      <c r="N136" s="1"/>
      <c r="O136" s="1"/>
      <c r="P136" s="1"/>
      <c r="Q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3.5" customHeight="1">
      <c r="A139" s="21" t="s">
        <v>71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1"/>
      <c r="P139" s="1"/>
      <c r="Q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3.5" customHeight="1">
      <c r="A141" s="69"/>
      <c r="B141" s="69" t="s">
        <v>72</v>
      </c>
      <c r="C141" s="69" t="s">
        <v>73</v>
      </c>
      <c r="D141" s="69" t="s">
        <v>74</v>
      </c>
      <c r="E141" s="69" t="s">
        <v>75</v>
      </c>
      <c r="F141" s="69" t="s">
        <v>76</v>
      </c>
      <c r="G141" s="69" t="s">
        <v>77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3.5" customHeight="1">
      <c r="A142" s="46" t="s">
        <v>78</v>
      </c>
      <c r="B142" s="70">
        <v>0.0</v>
      </c>
      <c r="C142" s="70">
        <v>0.61</v>
      </c>
      <c r="D142" s="70">
        <v>1.28</v>
      </c>
      <c r="E142" s="70">
        <v>1.42</v>
      </c>
      <c r="F142" s="70">
        <v>1.73</v>
      </c>
      <c r="G142" s="70">
        <v>2.07</v>
      </c>
      <c r="H142" s="71"/>
      <c r="I142" s="1"/>
      <c r="J142" s="1"/>
      <c r="K142" s="1"/>
      <c r="L142" s="1"/>
      <c r="M142" s="1"/>
      <c r="N142" s="1"/>
      <c r="O142" s="1"/>
      <c r="P142" s="1"/>
      <c r="Q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5"/>
      <c r="L143" s="25"/>
      <c r="M143" s="25"/>
      <c r="N143" s="25"/>
      <c r="O143" s="25"/>
      <c r="P143" s="1"/>
      <c r="Q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5"/>
      <c r="M144" s="25"/>
      <c r="N144" s="25"/>
      <c r="O144" s="25"/>
      <c r="P144" s="1"/>
      <c r="Q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25"/>
      <c r="K145" s="25"/>
      <c r="L145" s="25"/>
      <c r="M145" s="25"/>
      <c r="N145" s="25"/>
      <c r="O145" s="25"/>
      <c r="P145" s="1"/>
      <c r="Q145" s="1"/>
    </row>
    <row r="146" ht="13.5" customHeight="1">
      <c r="A146" s="72" t="s">
        <v>79</v>
      </c>
      <c r="B146" s="28" t="str">
        <f>_xll.MSDP(F1,"payoutTTM")</f>
        <v>#NAME?</v>
      </c>
      <c r="C146" s="1"/>
      <c r="D146" s="73" t="s">
        <v>80</v>
      </c>
      <c r="E146" s="1"/>
      <c r="F146" s="1"/>
      <c r="G146" s="1"/>
      <c r="H146" s="1"/>
      <c r="I146" s="1"/>
      <c r="J146" s="25"/>
      <c r="K146" s="25"/>
      <c r="L146" s="1"/>
      <c r="M146" s="1"/>
      <c r="N146" s="1"/>
      <c r="O146" s="1"/>
      <c r="P146" s="1"/>
      <c r="Q146" s="1"/>
    </row>
    <row r="147" ht="13.5" customHeight="1">
      <c r="A147" s="74" t="s">
        <v>81</v>
      </c>
      <c r="B147" s="17" t="s">
        <v>8</v>
      </c>
      <c r="C147" s="1"/>
      <c r="D147" s="38" t="str">
        <f>(G142/B142)^(1/5)-1</f>
        <v>#DIV/0!</v>
      </c>
      <c r="E147" s="1"/>
      <c r="F147" s="1"/>
      <c r="G147" s="1"/>
      <c r="H147" s="1"/>
      <c r="I147" s="1"/>
      <c r="J147" s="25"/>
      <c r="K147" s="1"/>
      <c r="L147" s="1"/>
      <c r="M147" s="1"/>
      <c r="N147" s="1"/>
      <c r="O147" s="1"/>
      <c r="P147" s="1"/>
      <c r="Q147" s="1"/>
    </row>
    <row r="148" ht="13.5" customHeight="1">
      <c r="A148" s="73" t="s">
        <v>82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3.5" customHeight="1">
      <c r="A149" s="74" t="s">
        <v>83</v>
      </c>
      <c r="B149" s="26">
        <v>0.7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3.5" customHeight="1">
      <c r="A151" s="75" t="s">
        <v>84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3.5" customHeight="1">
      <c r="A152" s="76" t="s">
        <v>85</v>
      </c>
      <c r="B152" s="17" t="s">
        <v>86</v>
      </c>
      <c r="C152" s="1"/>
      <c r="D152" s="77" t="s">
        <v>87</v>
      </c>
      <c r="E152" s="78"/>
      <c r="F152" s="78"/>
      <c r="G152" s="78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3.5" customHeight="1">
      <c r="A153" s="73" t="s">
        <v>82</v>
      </c>
      <c r="B153" s="1"/>
      <c r="C153" s="1"/>
      <c r="D153" s="1" t="s">
        <v>88</v>
      </c>
      <c r="E153" s="1"/>
      <c r="F153" s="1"/>
      <c r="G153" s="26">
        <v>0.061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3.5" customHeight="1">
      <c r="A154" s="79" t="s">
        <v>89</v>
      </c>
      <c r="B154" s="26">
        <v>0.071</v>
      </c>
      <c r="C154" s="1"/>
      <c r="D154" s="1" t="s">
        <v>90</v>
      </c>
      <c r="E154" s="1"/>
      <c r="F154" s="1"/>
      <c r="G154" s="26">
        <v>0.7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3.5" customHeight="1">
      <c r="A155" s="79" t="s">
        <v>91</v>
      </c>
      <c r="B155" s="26">
        <v>0.02</v>
      </c>
      <c r="C155" s="1"/>
      <c r="D155" s="1" t="s">
        <v>92</v>
      </c>
      <c r="E155" s="1"/>
      <c r="F155" s="1"/>
      <c r="G155" s="26">
        <v>0.02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3.5" customHeight="1">
      <c r="A157" s="79" t="s">
        <v>93</v>
      </c>
      <c r="B157" s="80">
        <v>3.0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3.5" customHeight="1">
      <c r="A159" s="1"/>
      <c r="B159" s="46"/>
      <c r="C159" s="46">
        <v>0.0</v>
      </c>
      <c r="D159" s="46">
        <v>1.0</v>
      </c>
      <c r="E159" s="46">
        <v>2.0</v>
      </c>
      <c r="F159" s="46">
        <v>3.0</v>
      </c>
      <c r="G159" s="46">
        <f t="shared" ref="G159:M159" si="21">IF(AND((F159+1)&lt;=$B$157,F159&gt;0),F159+1,0)</f>
        <v>0</v>
      </c>
      <c r="H159" s="46">
        <f t="shared" si="21"/>
        <v>0</v>
      </c>
      <c r="I159" s="46">
        <f t="shared" si="21"/>
        <v>0</v>
      </c>
      <c r="J159" s="46">
        <f t="shared" si="21"/>
        <v>0</v>
      </c>
      <c r="K159" s="46">
        <f t="shared" si="21"/>
        <v>0</v>
      </c>
      <c r="L159" s="46">
        <f t="shared" si="21"/>
        <v>0</v>
      </c>
      <c r="M159" s="46">
        <f t="shared" si="21"/>
        <v>0</v>
      </c>
      <c r="N159" s="47" t="s">
        <v>45</v>
      </c>
      <c r="O159" s="1"/>
      <c r="P159" s="1"/>
      <c r="Q159" s="1"/>
    </row>
    <row r="160" ht="13.5" customHeight="1">
      <c r="A160" s="1"/>
      <c r="B160" s="46" t="s">
        <v>94</v>
      </c>
      <c r="C160" s="65" t="str">
        <f>B19</f>
        <v>#NAME?</v>
      </c>
      <c r="D160" s="65" t="str">
        <f t="shared" ref="D160:M160" si="22">IF(AND(D159&gt;0,$B$152="yes"),C160*(1+$B$34),IF(AND(D159&gt;0,$B$152="no"),C160*(1+$B$154),0))</f>
        <v>#NAME?</v>
      </c>
      <c r="E160" s="65" t="str">
        <f t="shared" si="22"/>
        <v>#NAME?</v>
      </c>
      <c r="F160" s="65" t="str">
        <f t="shared" si="22"/>
        <v>#NAME?</v>
      </c>
      <c r="G160" s="65">
        <f t="shared" si="22"/>
        <v>0</v>
      </c>
      <c r="H160" s="65">
        <f t="shared" si="22"/>
        <v>0</v>
      </c>
      <c r="I160" s="65">
        <f t="shared" si="22"/>
        <v>0</v>
      </c>
      <c r="J160" s="65">
        <f t="shared" si="22"/>
        <v>0</v>
      </c>
      <c r="K160" s="65">
        <f t="shared" si="22"/>
        <v>0</v>
      </c>
      <c r="L160" s="65">
        <f t="shared" si="22"/>
        <v>0</v>
      </c>
      <c r="M160" s="65">
        <f t="shared" si="22"/>
        <v>0</v>
      </c>
      <c r="N160" s="51"/>
      <c r="O160" s="1"/>
      <c r="P160" s="1"/>
      <c r="Q160" s="1"/>
    </row>
    <row r="161" ht="13.5" customHeight="1">
      <c r="A161" s="1"/>
      <c r="B161" s="46" t="s">
        <v>95</v>
      </c>
      <c r="C161" s="65" t="str">
        <f>$B$146*C160</f>
        <v>#NAME?</v>
      </c>
      <c r="D161" s="65" t="str">
        <f t="shared" ref="D161:M161" si="23">IF($B$147="yes",$B$146*D160,$B$149*D160)</f>
        <v>#NAME?</v>
      </c>
      <c r="E161" s="65" t="str">
        <f t="shared" si="23"/>
        <v>#NAME?</v>
      </c>
      <c r="F161" s="65" t="str">
        <f t="shared" si="23"/>
        <v>#NAME?</v>
      </c>
      <c r="G161" s="65">
        <f t="shared" si="23"/>
        <v>0</v>
      </c>
      <c r="H161" s="65">
        <f t="shared" si="23"/>
        <v>0</v>
      </c>
      <c r="I161" s="65">
        <f t="shared" si="23"/>
        <v>0</v>
      </c>
      <c r="J161" s="65">
        <f t="shared" si="23"/>
        <v>0</v>
      </c>
      <c r="K161" s="65">
        <f t="shared" si="23"/>
        <v>0</v>
      </c>
      <c r="L161" s="65">
        <f t="shared" si="23"/>
        <v>0</v>
      </c>
      <c r="M161" s="65">
        <f t="shared" si="23"/>
        <v>0</v>
      </c>
      <c r="N161" s="65" t="str">
        <f>HLOOKUP($B$157,D159:M161,3,FALSE)*(1+IF(B152="YES",$B$35,$B$155))/($B$28-$B$35)</f>
        <v>#NAME?</v>
      </c>
      <c r="O161" s="1"/>
      <c r="P161" s="1"/>
      <c r="Q161" s="1"/>
    </row>
    <row r="162" ht="13.5" customHeight="1">
      <c r="A162" s="1"/>
      <c r="B162" s="4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3.5" customHeight="1">
      <c r="A163" s="1"/>
      <c r="B163" s="46" t="s">
        <v>96</v>
      </c>
      <c r="C163" s="1"/>
      <c r="D163" s="65" t="str">
        <f t="shared" ref="D163:E163" si="24">D161</f>
        <v>#NAME?</v>
      </c>
      <c r="E163" s="65" t="str">
        <f t="shared" si="24"/>
        <v>#NAME?</v>
      </c>
      <c r="F163" s="65" t="str">
        <f t="shared" ref="F163:L163" si="25">IF(AND(G159=0,F160&gt;0),F160+$N$161,F160)</f>
        <v>#NAME?</v>
      </c>
      <c r="G163" s="65">
        <f t="shared" si="25"/>
        <v>0</v>
      </c>
      <c r="H163" s="65">
        <f t="shared" si="25"/>
        <v>0</v>
      </c>
      <c r="I163" s="65">
        <f t="shared" si="25"/>
        <v>0</v>
      </c>
      <c r="J163" s="65">
        <f t="shared" si="25"/>
        <v>0</v>
      </c>
      <c r="K163" s="65">
        <f t="shared" si="25"/>
        <v>0</v>
      </c>
      <c r="L163" s="65">
        <f t="shared" si="25"/>
        <v>0</v>
      </c>
      <c r="M163" s="65">
        <f>IF(AND(N159="Horizon Value",M160&gt;0),M160+$N$161,M160)</f>
        <v>0</v>
      </c>
      <c r="N163" s="1"/>
      <c r="O163" s="1"/>
      <c r="P163" s="1"/>
      <c r="Q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8.0" customHeight="1">
      <c r="A165" s="57" t="s">
        <v>97</v>
      </c>
      <c r="B165" s="58" t="str">
        <f t="array" ref="B165">NPV(B28,D163:M163)</f>
        <v>#NAME?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3.5" customHeight="1">
      <c r="A168" s="1"/>
      <c r="B168" s="1"/>
      <c r="C168" s="1"/>
      <c r="D168" s="1"/>
      <c r="E168" s="1"/>
      <c r="F168" s="62" t="s">
        <v>56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3.5" customHeight="1">
      <c r="A169" s="1"/>
      <c r="B169" s="81" t="str">
        <f>B165</f>
        <v>#NAME?</v>
      </c>
      <c r="C169" s="64">
        <f>F169*0.6</f>
        <v>0.0366</v>
      </c>
      <c r="D169" s="64">
        <f>F169*0.75</f>
        <v>0.04575</v>
      </c>
      <c r="E169" s="64">
        <f>F169*0.9</f>
        <v>0.0549</v>
      </c>
      <c r="F169" s="64">
        <f>G153</f>
        <v>0.061</v>
      </c>
      <c r="G169" s="64">
        <f>F169*1.1</f>
        <v>0.0671</v>
      </c>
      <c r="H169" s="64">
        <f>F169*1.25</f>
        <v>0.07625</v>
      </c>
      <c r="I169" s="64">
        <f>F169*1.4</f>
        <v>0.0854</v>
      </c>
      <c r="J169" s="1"/>
      <c r="K169" s="1"/>
      <c r="L169" s="1"/>
      <c r="M169" s="1"/>
      <c r="N169" s="1"/>
      <c r="O169" s="1"/>
      <c r="P169" s="1"/>
      <c r="Q169" s="1"/>
    </row>
    <row r="170" ht="13.5" customHeight="1">
      <c r="A170" s="1"/>
      <c r="B170" s="64">
        <f>B173*0.7</f>
        <v>0.49</v>
      </c>
      <c r="C170" s="65">
        <v>99.3017696654273</v>
      </c>
      <c r="D170" s="65">
        <v>64.4610361714501</v>
      </c>
      <c r="E170" s="65">
        <v>47.8703607531645</v>
      </c>
      <c r="F170" s="65">
        <v>40.9153574205978</v>
      </c>
      <c r="G170" s="65">
        <v>35.7561861756911</v>
      </c>
      <c r="H170" s="65">
        <v>30.1069452022669</v>
      </c>
      <c r="I170" s="65">
        <v>26.0300433043642</v>
      </c>
      <c r="J170" s="1"/>
      <c r="K170" s="1"/>
      <c r="L170" s="1"/>
      <c r="M170" s="1"/>
      <c r="N170" s="1"/>
      <c r="O170" s="1"/>
      <c r="P170" s="1"/>
      <c r="Q170" s="1"/>
    </row>
    <row r="171" ht="13.5" customHeight="1">
      <c r="A171" s="1"/>
      <c r="B171" s="64">
        <f>B173*0.8</f>
        <v>0.56</v>
      </c>
      <c r="C171" s="65">
        <v>113.045002552795</v>
      </c>
      <c r="D171" s="65">
        <v>73.2385414058679</v>
      </c>
      <c r="E171" s="65">
        <v>54.2888932614673</v>
      </c>
      <c r="F171" s="65">
        <v>46.3475221161164</v>
      </c>
      <c r="G171" s="65">
        <v>40.4583667135949</v>
      </c>
      <c r="H171" s="65">
        <v>34.0123547572345</v>
      </c>
      <c r="I171" s="65">
        <v>29.3629585715855</v>
      </c>
      <c r="J171" s="1"/>
      <c r="K171" s="1"/>
      <c r="L171" s="1"/>
      <c r="M171" s="1"/>
      <c r="N171" s="1"/>
      <c r="O171" s="1"/>
      <c r="P171" s="1"/>
      <c r="Q171" s="1"/>
    </row>
    <row r="172" ht="13.5" customHeight="1">
      <c r="A172" s="66" t="s">
        <v>98</v>
      </c>
      <c r="B172" s="64">
        <f>B173*0.9</f>
        <v>0.63</v>
      </c>
      <c r="C172" s="65">
        <v>126.788235440164</v>
      </c>
      <c r="D172" s="65">
        <v>82.0160466402857</v>
      </c>
      <c r="E172" s="65">
        <v>60.7074257697701</v>
      </c>
      <c r="F172" s="65">
        <v>51.7796868116351</v>
      </c>
      <c r="G172" s="65">
        <v>45.1605472514988</v>
      </c>
      <c r="H172" s="65">
        <v>37.9177643122021</v>
      </c>
      <c r="I172" s="65">
        <v>32.6958738388068</v>
      </c>
      <c r="J172" s="1"/>
      <c r="K172" s="1"/>
      <c r="L172" s="1"/>
      <c r="M172" s="1"/>
      <c r="N172" s="1"/>
      <c r="O172" s="1"/>
      <c r="P172" s="1"/>
      <c r="Q172" s="1"/>
    </row>
    <row r="173" ht="13.5" customHeight="1">
      <c r="A173" s="66" t="s">
        <v>99</v>
      </c>
      <c r="B173" s="64">
        <f>G154</f>
        <v>0.7</v>
      </c>
      <c r="C173" s="65">
        <v>140.531468327532</v>
      </c>
      <c r="D173" s="65">
        <v>90.7935518747035</v>
      </c>
      <c r="E173" s="65">
        <v>67.1259582780728</v>
      </c>
      <c r="F173" s="65">
        <v>57.2118515071538</v>
      </c>
      <c r="G173" s="65">
        <v>49.8627277894025</v>
      </c>
      <c r="H173" s="65">
        <v>41.8231738671697</v>
      </c>
      <c r="I173" s="65">
        <v>36.0287891060281</v>
      </c>
      <c r="J173" s="1"/>
      <c r="K173" s="1"/>
      <c r="L173" s="1"/>
      <c r="M173" s="1"/>
      <c r="N173" s="1"/>
      <c r="O173" s="1"/>
      <c r="P173" s="1"/>
      <c r="Q173" s="1"/>
    </row>
    <row r="174" ht="13.5" customHeight="1">
      <c r="A174" s="1"/>
      <c r="B174" s="64">
        <f>B173*1.1</f>
        <v>0.77</v>
      </c>
      <c r="C174" s="65">
        <v>154.2747012149</v>
      </c>
      <c r="D174" s="65">
        <v>99.5710571091212</v>
      </c>
      <c r="E174" s="65">
        <v>73.5444907863756</v>
      </c>
      <c r="F174" s="65">
        <v>62.6440162026725</v>
      </c>
      <c r="G174" s="65">
        <v>54.5649083273064</v>
      </c>
      <c r="H174" s="65">
        <v>45.7285834221372</v>
      </c>
      <c r="I174" s="65">
        <v>39.3617043732494</v>
      </c>
      <c r="J174" s="1"/>
      <c r="K174" s="1"/>
      <c r="L174" s="1"/>
      <c r="M174" s="1"/>
      <c r="N174" s="1"/>
      <c r="O174" s="1"/>
      <c r="P174" s="1"/>
      <c r="Q174" s="1"/>
    </row>
    <row r="175" ht="13.5" customHeight="1">
      <c r="A175" s="1"/>
      <c r="B175" s="64">
        <f>B173*1.2</f>
        <v>0.84</v>
      </c>
      <c r="C175" s="65">
        <v>168.017934102268</v>
      </c>
      <c r="D175" s="65">
        <v>108.348562343539</v>
      </c>
      <c r="E175" s="65">
        <v>79.9630232946784</v>
      </c>
      <c r="F175" s="65">
        <v>68.0761808981912</v>
      </c>
      <c r="G175" s="65">
        <v>59.2670888652102</v>
      </c>
      <c r="H175" s="65">
        <v>49.6339929771048</v>
      </c>
      <c r="I175" s="65">
        <v>42.6946196404707</v>
      </c>
      <c r="J175" s="1"/>
      <c r="K175" s="1"/>
      <c r="L175" s="1"/>
      <c r="M175" s="1"/>
      <c r="N175" s="1"/>
      <c r="O175" s="1"/>
      <c r="P175" s="1"/>
      <c r="Q175" s="1"/>
    </row>
    <row r="176" ht="13.5" customHeight="1">
      <c r="A176" s="1"/>
      <c r="B176" s="64">
        <f>B173*1.3</f>
        <v>0.91</v>
      </c>
      <c r="C176" s="65">
        <v>181.761166989636</v>
      </c>
      <c r="D176" s="65">
        <v>117.126067577957</v>
      </c>
      <c r="E176" s="65">
        <v>86.3815558029811</v>
      </c>
      <c r="F176" s="65">
        <v>73.5083455937098</v>
      </c>
      <c r="G176" s="65">
        <v>63.969269403114</v>
      </c>
      <c r="H176" s="65">
        <v>53.5394025320724</v>
      </c>
      <c r="I176" s="65">
        <v>46.027534907692</v>
      </c>
      <c r="J176" s="1"/>
      <c r="K176" s="1"/>
      <c r="L176" s="1"/>
      <c r="M176" s="1"/>
      <c r="N176" s="1"/>
      <c r="O176" s="1"/>
      <c r="P176" s="1"/>
      <c r="Q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3.5" customHeight="1">
      <c r="A179" s="1"/>
      <c r="B179" s="1"/>
      <c r="C179" s="1"/>
      <c r="D179" s="1"/>
      <c r="E179" s="1"/>
      <c r="F179" s="62" t="s">
        <v>56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3.5" customHeight="1">
      <c r="A180" s="1"/>
      <c r="B180" s="81" t="str">
        <f>B165</f>
        <v>#NAME?</v>
      </c>
      <c r="C180" s="64">
        <f>F180*0.6</f>
        <v>0.0366</v>
      </c>
      <c r="D180" s="64">
        <f>F180*0.75</f>
        <v>0.04575</v>
      </c>
      <c r="E180" s="64">
        <f>F180*0.9</f>
        <v>0.0549</v>
      </c>
      <c r="F180" s="64">
        <f>G153</f>
        <v>0.061</v>
      </c>
      <c r="G180" s="64">
        <f>F180*1.1</f>
        <v>0.0671</v>
      </c>
      <c r="H180" s="64">
        <f>F180*1.25</f>
        <v>0.07625</v>
      </c>
      <c r="I180" s="64">
        <f>F180*1.4</f>
        <v>0.0854</v>
      </c>
      <c r="J180" s="1"/>
      <c r="K180" s="1"/>
      <c r="L180" s="1"/>
      <c r="M180" s="1"/>
      <c r="N180" s="1"/>
      <c r="O180" s="1"/>
      <c r="P180" s="1"/>
      <c r="Q180" s="1"/>
    </row>
    <row r="181" ht="13.5" customHeight="1">
      <c r="A181" s="1"/>
      <c r="B181" s="64">
        <v>0.0</v>
      </c>
      <c r="C181" s="65">
        <v>66.5042917358318</v>
      </c>
      <c r="D181" s="65">
        <v>53.2808202694959</v>
      </c>
      <c r="E181" s="65">
        <v>44.4595654072924</v>
      </c>
      <c r="F181" s="65">
        <v>40.0462783704413</v>
      </c>
      <c r="G181" s="65">
        <v>36.4335599733917</v>
      </c>
      <c r="H181" s="65">
        <v>32.0953866062379</v>
      </c>
      <c r="I181" s="65">
        <v>28.6838615849404</v>
      </c>
      <c r="J181" s="1"/>
      <c r="K181" s="1"/>
      <c r="L181" s="1"/>
      <c r="M181" s="1"/>
      <c r="N181" s="1"/>
      <c r="O181" s="1"/>
      <c r="P181" s="1"/>
      <c r="Q181" s="1"/>
    </row>
    <row r="182" ht="13.5" customHeight="1">
      <c r="A182" s="1"/>
      <c r="B182" s="64">
        <f>B185*0.5</f>
        <v>0.01</v>
      </c>
      <c r="C182" s="65">
        <v>89.602997213693</v>
      </c>
      <c r="D182" s="65">
        <v>66.7906501832594</v>
      </c>
      <c r="E182" s="65">
        <v>53.2686646410367</v>
      </c>
      <c r="F182" s="65">
        <v>46.9461656116688</v>
      </c>
      <c r="G182" s="65">
        <v>41.9722097468953</v>
      </c>
      <c r="H182" s="65">
        <v>36.2251076132373</v>
      </c>
      <c r="I182" s="65">
        <v>31.8692611862609</v>
      </c>
      <c r="J182" s="1"/>
      <c r="K182" s="1"/>
      <c r="L182" s="1"/>
      <c r="M182" s="1"/>
      <c r="N182" s="1"/>
      <c r="O182" s="1"/>
      <c r="P182" s="1"/>
      <c r="Q182" s="1"/>
    </row>
    <row r="183" ht="13.5" customHeight="1">
      <c r="A183" s="1"/>
      <c r="B183" s="64">
        <f>0.75*B185</f>
        <v>0.015</v>
      </c>
      <c r="C183" s="65">
        <v>109.172733799103</v>
      </c>
      <c r="D183" s="65">
        <v>76.8406456069128</v>
      </c>
      <c r="E183" s="65">
        <v>59.3290599785375</v>
      </c>
      <c r="F183" s="65">
        <v>51.5210908477002</v>
      </c>
      <c r="G183" s="65">
        <v>45.5388450616946</v>
      </c>
      <c r="H183" s="65">
        <v>38.795648240043</v>
      </c>
      <c r="I183" s="65">
        <v>33.80131463763</v>
      </c>
      <c r="J183" s="1"/>
      <c r="K183" s="1"/>
      <c r="L183" s="1"/>
      <c r="M183" s="1"/>
      <c r="N183" s="1"/>
      <c r="O183" s="1"/>
      <c r="P183" s="1"/>
      <c r="Q183" s="1"/>
    </row>
    <row r="184" ht="13.5" customHeight="1">
      <c r="A184" s="66" t="s">
        <v>100</v>
      </c>
      <c r="B184" s="64">
        <f>B185*0.9</f>
        <v>0.018</v>
      </c>
      <c r="C184" s="65">
        <v>125.964830353036</v>
      </c>
      <c r="D184" s="65">
        <v>84.609020447899</v>
      </c>
      <c r="E184" s="65">
        <v>63.7536412899811</v>
      </c>
      <c r="F184" s="65">
        <v>54.7767353179923</v>
      </c>
      <c r="G184" s="65">
        <v>48.0274993567053</v>
      </c>
      <c r="H184" s="65">
        <v>40.5497939896657</v>
      </c>
      <c r="I184" s="65">
        <v>35.0981410195283</v>
      </c>
      <c r="J184" s="1"/>
      <c r="K184" s="1"/>
      <c r="L184" s="1"/>
      <c r="M184" s="1"/>
      <c r="N184" s="1"/>
      <c r="O184" s="1"/>
      <c r="P184" s="1"/>
      <c r="Q184" s="1"/>
    </row>
    <row r="185" ht="13.5" customHeight="1">
      <c r="A185" s="66" t="s">
        <v>58</v>
      </c>
      <c r="B185" s="64">
        <f>G155</f>
        <v>0.02</v>
      </c>
      <c r="C185" s="65">
        <v>140.531468327532</v>
      </c>
      <c r="D185" s="65">
        <v>90.7935518747035</v>
      </c>
      <c r="E185" s="65">
        <v>67.1259582780728</v>
      </c>
      <c r="F185" s="65">
        <v>57.2118515071538</v>
      </c>
      <c r="G185" s="65">
        <v>49.8627277894025</v>
      </c>
      <c r="H185" s="65">
        <v>41.8231738671697</v>
      </c>
      <c r="I185" s="65">
        <v>36.0287891060281</v>
      </c>
      <c r="J185" s="1"/>
      <c r="K185" s="1"/>
      <c r="L185" s="1"/>
      <c r="M185" s="1"/>
      <c r="N185" s="1"/>
      <c r="O185" s="1"/>
      <c r="P185" s="1"/>
      <c r="Q185" s="1"/>
    </row>
    <row r="186" ht="13.5" customHeight="1">
      <c r="A186" s="1"/>
      <c r="B186" s="64">
        <f>1.1*B185</f>
        <v>0.022</v>
      </c>
      <c r="C186" s="65">
        <v>159.088966021068</v>
      </c>
      <c r="D186" s="65">
        <v>98.0196885944435</v>
      </c>
      <c r="E186" s="65">
        <v>70.9082834106134</v>
      </c>
      <c r="F186" s="65">
        <v>59.896723202896</v>
      </c>
      <c r="G186" s="65">
        <v>51.8607259278822</v>
      </c>
      <c r="H186" s="65">
        <v>43.1904435052269</v>
      </c>
      <c r="I186" s="65">
        <v>37.0181531601305</v>
      </c>
      <c r="J186" s="1"/>
      <c r="K186" s="1"/>
      <c r="L186" s="1"/>
      <c r="M186" s="1"/>
      <c r="N186" s="1"/>
      <c r="O186" s="1"/>
      <c r="P186" s="1"/>
      <c r="Q186" s="1"/>
    </row>
    <row r="187" ht="13.5" customHeight="1">
      <c r="A187" s="1"/>
      <c r="B187" s="64">
        <f>1.25*B185</f>
        <v>0.025</v>
      </c>
      <c r="C187" s="65">
        <v>198.923594690812</v>
      </c>
      <c r="D187" s="65">
        <v>111.470750319743</v>
      </c>
      <c r="E187" s="65">
        <v>77.5305148717672</v>
      </c>
      <c r="F187" s="65">
        <v>64.4833790164556</v>
      </c>
      <c r="G187" s="65">
        <v>55.2136610462572</v>
      </c>
      <c r="H187" s="65">
        <v>45.4414362020284</v>
      </c>
      <c r="I187" s="65">
        <v>38.6250507380682</v>
      </c>
      <c r="J187" s="1"/>
      <c r="K187" s="1"/>
      <c r="L187" s="1"/>
      <c r="M187" s="1"/>
      <c r="N187" s="1"/>
      <c r="O187" s="1"/>
      <c r="P187" s="1"/>
      <c r="Q187" s="1"/>
    </row>
    <row r="188" ht="13.5" customHeight="1">
      <c r="A188" s="1"/>
      <c r="B188" s="64">
        <f>1.5*B185</f>
        <v>0.03</v>
      </c>
      <c r="C188" s="65">
        <v>345.788639786336</v>
      </c>
      <c r="D188" s="65">
        <v>145.276328729886</v>
      </c>
      <c r="E188" s="65">
        <v>92.1136082500777</v>
      </c>
      <c r="F188" s="65">
        <v>74.1005605610162</v>
      </c>
      <c r="G188" s="65">
        <v>62.006894372345</v>
      </c>
      <c r="H188" s="65">
        <v>49.842025528208</v>
      </c>
      <c r="I188" s="65">
        <v>41.6899516538701</v>
      </c>
      <c r="J188" s="1"/>
      <c r="K188" s="1"/>
      <c r="L188" s="1"/>
      <c r="M188" s="1"/>
      <c r="N188" s="1"/>
      <c r="O188" s="1"/>
      <c r="P188" s="1"/>
      <c r="Q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3.5" customHeight="1">
      <c r="A191" s="21" t="s">
        <v>101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1"/>
      <c r="P191" s="1"/>
      <c r="Q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8.0" customHeight="1">
      <c r="A193" s="57" t="s">
        <v>102</v>
      </c>
      <c r="B193" s="58" t="str">
        <f>B49</f>
        <v>#NAME?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8.0" customHeight="1">
      <c r="A194" s="57" t="s">
        <v>103</v>
      </c>
      <c r="B194" s="58" t="str">
        <f>B104</f>
        <v>#NAME?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8.0" customHeight="1">
      <c r="A195" s="57" t="s">
        <v>104</v>
      </c>
      <c r="B195" s="58" t="str">
        <f>B165</f>
        <v>#NAME?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23.25" customHeight="1">
      <c r="A196" s="82"/>
      <c r="B196" s="8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23.25" customHeight="1">
      <c r="A197" s="84" t="s">
        <v>105</v>
      </c>
      <c r="B197" s="85" t="str">
        <f>AVERAGE(B193:B195)</f>
        <v>#NAME?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mergeCells count="1">
    <mergeCell ref="D3:D4"/>
  </mergeCells>
  <conditionalFormatting sqref="G38:M38">
    <cfRule type="cellIs" dxfId="0" priority="1" operator="equal">
      <formula>0</formula>
    </cfRule>
  </conditionalFormatting>
  <conditionalFormatting sqref="C59:I65">
    <cfRule type="cellIs" dxfId="1" priority="2" operator="lessThan">
      <formula>$B$11</formula>
    </cfRule>
  </conditionalFormatting>
  <conditionalFormatting sqref="C59:I65">
    <cfRule type="cellIs" dxfId="2" priority="3" operator="greaterThan">
      <formula>$B$11</formula>
    </cfRule>
  </conditionalFormatting>
  <conditionalFormatting sqref="C69:I76">
    <cfRule type="cellIs" dxfId="1" priority="4" operator="lessThan">
      <formula>$B$11</formula>
    </cfRule>
  </conditionalFormatting>
  <conditionalFormatting sqref="C69:I76">
    <cfRule type="cellIs" dxfId="2" priority="5" operator="greaterThan">
      <formula>$B$11</formula>
    </cfRule>
  </conditionalFormatting>
  <conditionalFormatting sqref="C118:I125">
    <cfRule type="cellIs" dxfId="1" priority="6" operator="lessThan">
      <formula>$B$11</formula>
    </cfRule>
  </conditionalFormatting>
  <conditionalFormatting sqref="C118:I125">
    <cfRule type="cellIs" dxfId="2" priority="7" operator="greaterThan">
      <formula>$B$11</formula>
    </cfRule>
  </conditionalFormatting>
  <conditionalFormatting sqref="C107:I113">
    <cfRule type="cellIs" dxfId="1" priority="8" operator="lessThan">
      <formula>$B$11</formula>
    </cfRule>
  </conditionalFormatting>
  <conditionalFormatting sqref="C107:I113">
    <cfRule type="cellIs" dxfId="2" priority="9" operator="greaterThan">
      <formula>$B$11</formula>
    </cfRule>
  </conditionalFormatting>
  <conditionalFormatting sqref="F159">
    <cfRule type="cellIs" dxfId="0" priority="10" operator="equal">
      <formula>0</formula>
    </cfRule>
  </conditionalFormatting>
  <conditionalFormatting sqref="G159:M159">
    <cfRule type="cellIs" dxfId="0" priority="11" operator="equal">
      <formula>0</formula>
    </cfRule>
  </conditionalFormatting>
  <conditionalFormatting sqref="G159:M159">
    <cfRule type="cellIs" dxfId="3" priority="12" operator="equal">
      <formula>0</formula>
    </cfRule>
  </conditionalFormatting>
  <conditionalFormatting sqref="C181:I188">
    <cfRule type="cellIs" dxfId="1" priority="13" operator="lessThan">
      <formula>$B$11</formula>
    </cfRule>
  </conditionalFormatting>
  <conditionalFormatting sqref="C181:I188">
    <cfRule type="cellIs" dxfId="2" priority="14" operator="greaterThan">
      <formula>$B$11</formula>
    </cfRule>
  </conditionalFormatting>
  <conditionalFormatting sqref="C170:I176">
    <cfRule type="cellIs" dxfId="1" priority="15" operator="lessThan">
      <formula>$B$11</formula>
    </cfRule>
  </conditionalFormatting>
  <conditionalFormatting sqref="C170:I176">
    <cfRule type="cellIs" dxfId="2" priority="16" operator="greaterThan">
      <formula>$B$11</formula>
    </cfRule>
  </conditionalFormatting>
  <conditionalFormatting sqref="C80:I87">
    <cfRule type="cellIs" dxfId="1" priority="17" operator="lessThan">
      <formula>$B$11</formula>
    </cfRule>
  </conditionalFormatting>
  <conditionalFormatting sqref="C80:I87">
    <cfRule type="cellIs" dxfId="2" priority="18" operator="greaterThan">
      <formula>$B$11</formula>
    </cfRule>
  </conditionalFormatting>
  <conditionalFormatting sqref="C129:I136">
    <cfRule type="cellIs" dxfId="1" priority="19" operator="lessThan">
      <formula>$B$11</formula>
    </cfRule>
  </conditionalFormatting>
  <conditionalFormatting sqref="C129:I136">
    <cfRule type="cellIs" dxfId="2" priority="20" operator="greaterThan">
      <formula>$B$11</formula>
    </cfRule>
  </conditionalFormatting>
  <conditionalFormatting sqref="D91:L91">
    <cfRule type="cellIs" dxfId="0" priority="21" operator="equal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25"/>
    <col customWidth="1" min="2" max="2" width="14.75"/>
    <col customWidth="1" min="3" max="14" width="11.13"/>
    <col customWidth="1" min="15" max="26" width="7.63"/>
  </cols>
  <sheetData>
    <row r="1" ht="25.5" customHeight="1">
      <c r="A1" s="1" t="s">
        <v>0</v>
      </c>
      <c r="B1" s="2"/>
      <c r="C1" s="3"/>
      <c r="D1" s="4"/>
      <c r="E1" s="5" t="s">
        <v>1</v>
      </c>
      <c r="F1" s="6" t="s">
        <v>2</v>
      </c>
      <c r="G1" s="1"/>
      <c r="H1" s="7"/>
      <c r="I1" s="1"/>
      <c r="J1" s="1"/>
      <c r="K1" s="1"/>
      <c r="L1" s="1"/>
      <c r="M1" s="1"/>
      <c r="N1" s="1"/>
    </row>
    <row r="2" ht="13.5" customHeight="1">
      <c r="A2" s="1" t="s">
        <v>3</v>
      </c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</row>
    <row r="3" ht="13.5" customHeight="1">
      <c r="A3" s="1"/>
      <c r="B3" s="1"/>
      <c r="C3" s="9"/>
      <c r="D3" s="11" t="s">
        <v>4</v>
      </c>
      <c r="E3" s="1"/>
      <c r="F3" s="1"/>
      <c r="G3" s="13"/>
      <c r="H3" s="13"/>
      <c r="I3" s="13"/>
      <c r="J3" s="13"/>
      <c r="K3" s="13"/>
      <c r="L3" s="13"/>
      <c r="M3" s="13"/>
      <c r="N3" s="1"/>
    </row>
    <row r="4" ht="13.5" customHeight="1">
      <c r="A4" s="1"/>
      <c r="B4" s="1"/>
      <c r="C4" s="9"/>
      <c r="D4" s="15"/>
      <c r="E4" s="1"/>
      <c r="F4" s="1"/>
      <c r="G4" s="13"/>
      <c r="H4" s="13"/>
      <c r="I4" s="13"/>
      <c r="J4" s="13"/>
      <c r="K4" s="13"/>
      <c r="L4" s="13"/>
      <c r="M4" s="13"/>
      <c r="N4" s="1"/>
    </row>
    <row r="5" ht="13.5" customHeight="1">
      <c r="A5" s="1" t="s">
        <v>5</v>
      </c>
      <c r="B5" s="1"/>
      <c r="C5" s="17" t="s">
        <v>6</v>
      </c>
      <c r="D5" s="18"/>
      <c r="E5" s="1"/>
      <c r="F5" s="1"/>
      <c r="G5" s="13"/>
      <c r="H5" s="13"/>
      <c r="I5" s="13"/>
      <c r="J5" s="13"/>
      <c r="K5" s="13"/>
      <c r="L5" s="13"/>
      <c r="M5" s="13"/>
      <c r="N5" s="1"/>
    </row>
    <row r="6" ht="13.5" customHeight="1">
      <c r="A6" s="1" t="s">
        <v>7</v>
      </c>
      <c r="B6" s="1"/>
      <c r="C6" s="17" t="s">
        <v>8</v>
      </c>
      <c r="D6" s="19"/>
      <c r="E6" s="1"/>
      <c r="F6" s="1"/>
      <c r="G6" s="1"/>
      <c r="H6" s="1"/>
      <c r="I6" s="1"/>
      <c r="J6" s="1"/>
      <c r="K6" s="1"/>
      <c r="L6" s="1"/>
      <c r="M6" s="1"/>
      <c r="N6" s="1"/>
    </row>
    <row r="7" ht="23.25" customHeight="1">
      <c r="A7" s="1" t="s">
        <v>9</v>
      </c>
      <c r="B7" s="1"/>
      <c r="C7" s="17" t="s">
        <v>8</v>
      </c>
      <c r="D7" s="19"/>
      <c r="E7" s="1"/>
      <c r="F7" s="1"/>
      <c r="G7" s="1"/>
      <c r="H7" s="1"/>
      <c r="I7" s="1"/>
      <c r="J7" s="1"/>
      <c r="K7" s="1"/>
      <c r="L7" s="20"/>
      <c r="M7" s="1"/>
      <c r="N7" s="1"/>
    </row>
    <row r="8" ht="23.25" customHeight="1">
      <c r="A8" s="1" t="s">
        <v>10</v>
      </c>
      <c r="B8" s="1"/>
      <c r="C8" s="17" t="s">
        <v>8</v>
      </c>
      <c r="D8" s="19"/>
      <c r="E8" s="1"/>
      <c r="F8" s="1"/>
      <c r="G8" s="1"/>
      <c r="H8" s="1"/>
      <c r="I8" s="1"/>
      <c r="J8" s="1"/>
      <c r="K8" s="1"/>
      <c r="L8" s="20"/>
      <c r="M8" s="1"/>
      <c r="N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3.5" customHeight="1">
      <c r="A10" s="21" t="s">
        <v>11</v>
      </c>
      <c r="B10" s="21"/>
      <c r="C10" s="1"/>
      <c r="D10" s="22"/>
      <c r="E10" s="23" t="s">
        <v>12</v>
      </c>
      <c r="F10" s="24"/>
      <c r="G10" s="1"/>
      <c r="H10" s="1"/>
      <c r="I10" s="1"/>
      <c r="J10" s="1"/>
      <c r="K10" s="1"/>
      <c r="L10" s="1"/>
      <c r="M10" s="1"/>
      <c r="N10" s="1"/>
    </row>
    <row r="11" ht="13.5" customHeight="1">
      <c r="A11" s="1" t="s">
        <v>13</v>
      </c>
      <c r="B11" s="26">
        <v>61.06</v>
      </c>
      <c r="C11" s="1"/>
      <c r="D11" s="27" t="s">
        <v>14</v>
      </c>
      <c r="E11" s="27" t="s">
        <v>15</v>
      </c>
      <c r="F11" s="27" t="s">
        <v>16</v>
      </c>
      <c r="G11" s="1"/>
      <c r="H11" s="1"/>
      <c r="I11" s="1"/>
      <c r="J11" s="1"/>
      <c r="K11" s="1"/>
      <c r="L11" s="1"/>
      <c r="M11" s="1"/>
      <c r="N11" s="1"/>
    </row>
    <row r="12" ht="13.5" customHeight="1">
      <c r="A12" s="1" t="s">
        <v>17</v>
      </c>
      <c r="B12" s="26"/>
      <c r="C12" s="1"/>
      <c r="D12" s="29"/>
      <c r="E12" s="30"/>
      <c r="F12" s="31"/>
      <c r="G12" s="1"/>
      <c r="H12" s="1"/>
      <c r="I12" s="1"/>
      <c r="J12" s="1"/>
      <c r="K12" s="1"/>
      <c r="L12" s="1"/>
      <c r="M12" s="1"/>
      <c r="N12" s="1"/>
    </row>
    <row r="13" ht="13.5" customHeight="1">
      <c r="A13" s="1" t="s">
        <v>18</v>
      </c>
      <c r="B13" s="26"/>
      <c r="C13" s="1"/>
      <c r="D13" s="32"/>
      <c r="E13" s="33"/>
      <c r="F13" s="34"/>
      <c r="G13" s="1"/>
      <c r="H13" s="1"/>
      <c r="I13" s="1"/>
      <c r="J13" s="1"/>
      <c r="K13" s="1"/>
      <c r="L13" s="1"/>
      <c r="M13" s="1"/>
      <c r="N13" s="1"/>
    </row>
    <row r="14" ht="13.5" customHeight="1">
      <c r="A14" s="1" t="s">
        <v>19</v>
      </c>
      <c r="B14" s="26"/>
      <c r="C14" s="1"/>
      <c r="D14" s="32"/>
      <c r="E14" s="33"/>
      <c r="F14" s="34"/>
      <c r="G14" s="1"/>
      <c r="H14" s="1"/>
      <c r="I14" s="1"/>
      <c r="J14" s="1"/>
      <c r="K14" s="1"/>
      <c r="L14" s="1"/>
      <c r="M14" s="1"/>
      <c r="N14" s="1"/>
    </row>
    <row r="15" ht="13.5" customHeight="1">
      <c r="A15" s="1" t="s">
        <v>20</v>
      </c>
      <c r="B15" s="26"/>
      <c r="C15" s="1"/>
      <c r="D15" s="32"/>
      <c r="E15" s="33"/>
      <c r="F15" s="34"/>
      <c r="G15" s="1"/>
      <c r="H15" s="1"/>
      <c r="I15" s="1"/>
      <c r="J15" s="1"/>
      <c r="K15" s="1"/>
      <c r="L15" s="1"/>
      <c r="M15" s="1"/>
      <c r="N15" s="1"/>
    </row>
    <row r="16" ht="13.5" customHeight="1">
      <c r="A16" s="1" t="s">
        <v>21</v>
      </c>
      <c r="B16" s="26"/>
      <c r="C16" s="1"/>
      <c r="D16" s="32"/>
      <c r="E16" s="33"/>
      <c r="F16" s="34"/>
      <c r="G16" s="1"/>
      <c r="H16" s="1"/>
      <c r="I16" s="1"/>
      <c r="J16" s="1"/>
      <c r="K16" s="1"/>
      <c r="L16" s="1"/>
      <c r="M16" s="1"/>
      <c r="N16" s="1"/>
    </row>
    <row r="17" ht="13.5" customHeight="1">
      <c r="A17" s="1" t="s">
        <v>22</v>
      </c>
      <c r="B17" s="26"/>
      <c r="C17" s="1"/>
      <c r="D17" s="32"/>
      <c r="E17" s="33"/>
      <c r="F17" s="34"/>
      <c r="G17" s="1"/>
      <c r="H17" s="1"/>
      <c r="I17" s="1"/>
      <c r="J17" s="1"/>
      <c r="K17" s="9"/>
      <c r="L17" s="1"/>
      <c r="M17" s="1"/>
      <c r="N17" s="1"/>
    </row>
    <row r="18" ht="13.5" customHeight="1">
      <c r="A18" s="1" t="s">
        <v>23</v>
      </c>
      <c r="B18" s="26"/>
      <c r="C18" s="1"/>
      <c r="D18" s="32"/>
      <c r="E18" s="33"/>
      <c r="F18" s="34"/>
      <c r="G18" s="1"/>
      <c r="H18" s="1"/>
      <c r="I18" s="1"/>
      <c r="J18" s="1"/>
      <c r="K18" s="1"/>
      <c r="L18" s="1"/>
      <c r="M18" s="1"/>
      <c r="N18" s="1"/>
    </row>
    <row r="19" ht="13.5" customHeight="1">
      <c r="A19" s="1" t="s">
        <v>24</v>
      </c>
      <c r="B19" s="26"/>
      <c r="C19" s="1"/>
      <c r="D19" s="32"/>
      <c r="E19" s="33"/>
      <c r="F19" s="36"/>
      <c r="G19" s="1"/>
      <c r="H19" s="1"/>
      <c r="I19" s="1"/>
      <c r="J19" s="1"/>
      <c r="K19" s="1"/>
      <c r="L19" s="1"/>
      <c r="M19" s="1"/>
      <c r="N19" s="1"/>
    </row>
    <row r="20" ht="13.5" customHeight="1">
      <c r="A20" s="1"/>
      <c r="B20" s="1"/>
      <c r="C20" s="1"/>
      <c r="D20" s="32"/>
      <c r="E20" s="33"/>
      <c r="F20" s="36"/>
      <c r="G20" s="1"/>
      <c r="H20" s="1"/>
      <c r="I20" s="1"/>
      <c r="J20" s="1"/>
      <c r="K20" s="1"/>
      <c r="L20" s="1"/>
      <c r="M20" s="1"/>
      <c r="N20" s="1"/>
    </row>
    <row r="21" ht="13.5" customHeight="1">
      <c r="A21" s="1" t="s">
        <v>25</v>
      </c>
      <c r="B21" s="37" t="str">
        <f>IF(C5="NO",E25,D5)</f>
        <v/>
      </c>
      <c r="C21" s="1"/>
      <c r="D21" s="32"/>
      <c r="E21" s="33"/>
      <c r="F21" s="36"/>
      <c r="G21" s="1"/>
      <c r="H21" s="1"/>
      <c r="I21" s="1"/>
      <c r="J21" s="1"/>
      <c r="K21" s="1"/>
      <c r="L21" s="1"/>
      <c r="M21" s="1"/>
      <c r="N21" s="1"/>
    </row>
    <row r="22" ht="13.5" customHeight="1">
      <c r="A22" s="1" t="s">
        <v>26</v>
      </c>
      <c r="B22" s="38">
        <f>IF(C8="yes",D8,B13+(B14*B15))</f>
        <v>0</v>
      </c>
      <c r="C22" s="1"/>
      <c r="D22" s="32"/>
      <c r="E22" s="33"/>
      <c r="F22" s="36"/>
      <c r="G22" s="1"/>
      <c r="H22" s="1"/>
      <c r="I22" s="1"/>
      <c r="J22" s="1"/>
      <c r="K22" s="1"/>
      <c r="L22" s="1"/>
      <c r="M22" s="1"/>
      <c r="N22" s="1"/>
    </row>
    <row r="23" ht="13.5" customHeight="1">
      <c r="A23" s="1" t="s">
        <v>27</v>
      </c>
      <c r="B23" s="38" t="str">
        <f>IF(C7="Yes",D7,E27)</f>
        <v>#DIV/0!</v>
      </c>
      <c r="C23" s="1"/>
      <c r="D23" s="32"/>
      <c r="E23" s="33"/>
      <c r="F23" s="36"/>
      <c r="G23" s="1"/>
      <c r="H23" s="1"/>
      <c r="I23" s="1"/>
      <c r="J23" s="1"/>
      <c r="K23" s="1"/>
      <c r="L23" s="1"/>
      <c r="M23" s="1"/>
      <c r="N23" s="1"/>
    </row>
    <row r="24" ht="13.5" customHeight="1">
      <c r="A24" s="1" t="s">
        <v>25</v>
      </c>
      <c r="B24" s="37" t="str">
        <f>B21</f>
        <v/>
      </c>
      <c r="C24" s="1"/>
      <c r="D24" s="39"/>
      <c r="E24" s="40"/>
      <c r="F24" s="41"/>
      <c r="G24" s="1"/>
      <c r="H24" s="1"/>
      <c r="I24" s="1"/>
      <c r="J24" s="1"/>
      <c r="K24" s="1"/>
      <c r="L24" s="1"/>
      <c r="M24" s="1"/>
      <c r="N24" s="1"/>
    </row>
    <row r="25" ht="13.5" customHeight="1">
      <c r="A25" s="1" t="s">
        <v>28</v>
      </c>
      <c r="B25" s="37">
        <f>B12*B11</f>
        <v>0</v>
      </c>
      <c r="C25" s="1"/>
      <c r="D25" s="22" t="s">
        <v>29</v>
      </c>
      <c r="E25" s="37">
        <f>SUM(E12:E24)</f>
        <v>0</v>
      </c>
      <c r="F25" s="1"/>
      <c r="G25" s="1"/>
      <c r="H25" s="1"/>
      <c r="I25" s="1"/>
      <c r="J25" s="1"/>
      <c r="K25" s="1"/>
      <c r="L25" s="1"/>
      <c r="M25" s="1"/>
      <c r="N25" s="1"/>
    </row>
    <row r="26" ht="13.5" customHeight="1">
      <c r="A26" s="1" t="s">
        <v>30</v>
      </c>
      <c r="B26" s="38" t="str">
        <f>B24/SUM(B24:B25)</f>
        <v>#DIV/0!</v>
      </c>
      <c r="C26" s="1"/>
      <c r="D26" s="22" t="s">
        <v>31</v>
      </c>
      <c r="E26" s="38" t="str">
        <f>SUMPRODUCT(E12:E24,F12:F24)/E25</f>
        <v>#DIV/0!</v>
      </c>
      <c r="F26" s="1"/>
      <c r="G26" s="1"/>
      <c r="H26" s="1"/>
      <c r="I26" s="1"/>
      <c r="J26" s="1"/>
      <c r="K26" s="1"/>
      <c r="L26" s="1"/>
      <c r="M26" s="1"/>
      <c r="N26" s="1"/>
    </row>
    <row r="27" ht="13.5" customHeight="1">
      <c r="A27" s="1" t="s">
        <v>32</v>
      </c>
      <c r="B27" s="38" t="str">
        <f>B25/SUM(B24:B25)</f>
        <v>#DIV/0!</v>
      </c>
      <c r="C27" s="1"/>
      <c r="D27" s="22" t="s">
        <v>33</v>
      </c>
      <c r="E27" s="38" t="str">
        <f>E26*(1-B16)</f>
        <v>#DIV/0!</v>
      </c>
      <c r="F27" s="1"/>
      <c r="G27" s="1"/>
      <c r="H27" s="1"/>
      <c r="I27" s="1"/>
      <c r="J27" s="1"/>
      <c r="K27" s="1"/>
      <c r="L27" s="1"/>
      <c r="M27" s="1"/>
      <c r="N27" s="1"/>
    </row>
    <row r="28" ht="13.5" customHeight="1">
      <c r="A28" s="1" t="s">
        <v>11</v>
      </c>
      <c r="B28" s="38" t="str">
        <f>IF(C6="yes",D6,(B26*B23+B27*B22))</f>
        <v>#DIV/0!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3.5" customHeight="1">
      <c r="A31" s="21" t="s">
        <v>34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ht="13.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3"/>
    </row>
    <row r="33" ht="13.5" customHeight="1">
      <c r="A33" s="1" t="s">
        <v>35</v>
      </c>
      <c r="B33" s="44"/>
      <c r="C33" s="1"/>
      <c r="D33" s="1" t="s">
        <v>36</v>
      </c>
      <c r="E33" s="33"/>
      <c r="F33" s="1"/>
      <c r="G33" s="1" t="s">
        <v>37</v>
      </c>
      <c r="H33" s="45"/>
      <c r="I33" s="1"/>
      <c r="J33" s="1"/>
      <c r="K33" s="1"/>
      <c r="L33" s="1"/>
      <c r="M33" s="1"/>
      <c r="N33" s="1"/>
    </row>
    <row r="34" ht="13.5" customHeight="1">
      <c r="A34" s="1" t="s">
        <v>38</v>
      </c>
      <c r="B34" s="26"/>
      <c r="C34" s="1"/>
      <c r="D34" s="1" t="s">
        <v>39</v>
      </c>
      <c r="E34" s="33"/>
      <c r="F34" s="1"/>
      <c r="G34" s="1" t="s">
        <v>40</v>
      </c>
      <c r="H34" s="45"/>
      <c r="I34" s="1"/>
      <c r="J34" s="1"/>
      <c r="K34" s="1"/>
      <c r="L34" s="1"/>
      <c r="M34" s="1"/>
      <c r="N34" s="1"/>
    </row>
    <row r="35" ht="13.5" customHeight="1">
      <c r="A35" s="1" t="s">
        <v>41</v>
      </c>
      <c r="B35" s="26"/>
      <c r="C35" s="1"/>
      <c r="D35" s="1" t="s">
        <v>42</v>
      </c>
      <c r="E35" s="33"/>
      <c r="F35" s="1"/>
      <c r="G35" s="1" t="s">
        <v>43</v>
      </c>
      <c r="H35" s="45"/>
      <c r="I35" s="1"/>
      <c r="J35" s="1"/>
      <c r="K35" s="1"/>
      <c r="L35" s="1"/>
      <c r="M35" s="1"/>
      <c r="N35" s="1"/>
    </row>
    <row r="36" ht="13.5" customHeight="1">
      <c r="A36" s="1"/>
      <c r="B36" s="1"/>
      <c r="C36" s="1"/>
      <c r="D36" s="1" t="s">
        <v>44</v>
      </c>
      <c r="E36" s="33"/>
      <c r="F36" s="1"/>
      <c r="G36" s="1"/>
      <c r="H36" s="1"/>
      <c r="I36" s="1"/>
      <c r="J36" s="1"/>
      <c r="K36" s="1"/>
      <c r="L36" s="1"/>
      <c r="M36" s="1"/>
      <c r="N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3.5" customHeight="1">
      <c r="A38" s="1"/>
      <c r="B38" s="46"/>
      <c r="C38" s="46">
        <v>0.0</v>
      </c>
      <c r="D38" s="47">
        <v>1.0</v>
      </c>
      <c r="E38" s="47">
        <v>2.0</v>
      </c>
      <c r="F38" s="47">
        <v>3.0</v>
      </c>
      <c r="G38" s="47">
        <f t="shared" ref="G38:M38" si="1">IF(AND((F38+1)&lt;=$B$33,F38&gt;0),F38+1,0)</f>
        <v>0</v>
      </c>
      <c r="H38" s="47">
        <f t="shared" si="1"/>
        <v>0</v>
      </c>
      <c r="I38" s="47">
        <f t="shared" si="1"/>
        <v>0</v>
      </c>
      <c r="J38" s="47">
        <f t="shared" si="1"/>
        <v>0</v>
      </c>
      <c r="K38" s="47">
        <f t="shared" si="1"/>
        <v>0</v>
      </c>
      <c r="L38" s="47">
        <f t="shared" si="1"/>
        <v>0</v>
      </c>
      <c r="M38" s="47">
        <f t="shared" si="1"/>
        <v>0</v>
      </c>
      <c r="N38" s="47" t="s">
        <v>45</v>
      </c>
    </row>
    <row r="39" ht="13.5" customHeight="1">
      <c r="A39" s="1"/>
      <c r="B39" s="46" t="s">
        <v>36</v>
      </c>
      <c r="C39" s="48" t="str">
        <f t="shared" ref="C39:C42" si="4">E33</f>
        <v/>
      </c>
      <c r="D39" s="49">
        <f t="shared" ref="D39:D42" si="5">E33*(1+$B$34)</f>
        <v>0</v>
      </c>
      <c r="E39" s="50">
        <f t="shared" ref="E39:F39" si="2">D39*(1+$B$34)</f>
        <v>0</v>
      </c>
      <c r="F39" s="50">
        <f t="shared" si="2"/>
        <v>0</v>
      </c>
      <c r="G39" s="50" t="str">
        <f t="shared" ref="G39:M39" si="3">IF(G$38=F$38+1,(F39*(1+$B$34))," ")</f>
        <v> </v>
      </c>
      <c r="H39" s="50" t="str">
        <f t="shared" si="3"/>
        <v> </v>
      </c>
      <c r="I39" s="50" t="str">
        <f t="shared" si="3"/>
        <v> </v>
      </c>
      <c r="J39" s="50" t="str">
        <f t="shared" si="3"/>
        <v> </v>
      </c>
      <c r="K39" s="50" t="str">
        <f t="shared" si="3"/>
        <v> </v>
      </c>
      <c r="L39" s="50" t="str">
        <f t="shared" si="3"/>
        <v> </v>
      </c>
      <c r="M39" s="50" t="str">
        <f t="shared" si="3"/>
        <v> </v>
      </c>
      <c r="N39" s="51"/>
    </row>
    <row r="40" ht="13.5" customHeight="1">
      <c r="A40" s="1"/>
      <c r="B40" s="46" t="s">
        <v>39</v>
      </c>
      <c r="C40" s="48" t="str">
        <f t="shared" si="4"/>
        <v/>
      </c>
      <c r="D40" s="49">
        <f t="shared" si="5"/>
        <v>0</v>
      </c>
      <c r="E40" s="50">
        <f t="shared" ref="E40:F40" si="6">D40*(1+$B$34)</f>
        <v>0</v>
      </c>
      <c r="F40" s="50">
        <f t="shared" si="6"/>
        <v>0</v>
      </c>
      <c r="G40" s="50" t="str">
        <f t="shared" ref="G40:M40" si="7">IF(G$38=F$38+1,(F40*(1+$B$34))," ")</f>
        <v> </v>
      </c>
      <c r="H40" s="50" t="str">
        <f t="shared" si="7"/>
        <v> </v>
      </c>
      <c r="I40" s="50" t="str">
        <f t="shared" si="7"/>
        <v> </v>
      </c>
      <c r="J40" s="50" t="str">
        <f t="shared" si="7"/>
        <v> </v>
      </c>
      <c r="K40" s="50" t="str">
        <f t="shared" si="7"/>
        <v> </v>
      </c>
      <c r="L40" s="50" t="str">
        <f t="shared" si="7"/>
        <v> </v>
      </c>
      <c r="M40" s="50" t="str">
        <f t="shared" si="7"/>
        <v> </v>
      </c>
      <c r="N40" s="51"/>
    </row>
    <row r="41" ht="13.5" customHeight="1">
      <c r="A41" s="1"/>
      <c r="B41" s="46" t="s">
        <v>42</v>
      </c>
      <c r="C41" s="48" t="str">
        <f t="shared" si="4"/>
        <v/>
      </c>
      <c r="D41" s="49">
        <f t="shared" si="5"/>
        <v>0</v>
      </c>
      <c r="E41" s="50">
        <f t="shared" ref="E41:F41" si="8">D41*(1+$B$34)</f>
        <v>0</v>
      </c>
      <c r="F41" s="50">
        <f t="shared" si="8"/>
        <v>0</v>
      </c>
      <c r="G41" s="50" t="str">
        <f t="shared" ref="G41:M41" si="9">IF(G$38=F$38+1,(F41*(1+$B$34))," ")</f>
        <v> </v>
      </c>
      <c r="H41" s="50" t="str">
        <f t="shared" si="9"/>
        <v> </v>
      </c>
      <c r="I41" s="50" t="str">
        <f t="shared" si="9"/>
        <v> </v>
      </c>
      <c r="J41" s="50" t="str">
        <f t="shared" si="9"/>
        <v> </v>
      </c>
      <c r="K41" s="50" t="str">
        <f t="shared" si="9"/>
        <v> </v>
      </c>
      <c r="L41" s="50" t="str">
        <f t="shared" si="9"/>
        <v> </v>
      </c>
      <c r="M41" s="50" t="str">
        <f t="shared" si="9"/>
        <v> </v>
      </c>
      <c r="N41" s="51"/>
    </row>
    <row r="42" ht="13.5" customHeight="1">
      <c r="A42" s="1"/>
      <c r="B42" s="47" t="s">
        <v>44</v>
      </c>
      <c r="C42" s="52" t="str">
        <f t="shared" si="4"/>
        <v/>
      </c>
      <c r="D42" s="53">
        <f t="shared" si="5"/>
        <v>0</v>
      </c>
      <c r="E42" s="54">
        <f t="shared" ref="E42:F42" si="10">D42*(1+$B$34)</f>
        <v>0</v>
      </c>
      <c r="F42" s="54">
        <f t="shared" si="10"/>
        <v>0</v>
      </c>
      <c r="G42" s="54" t="str">
        <f t="shared" ref="G42:M42" si="11">IF(G$38=F$38+1,(F42*(1+$B$34))," ")</f>
        <v> </v>
      </c>
      <c r="H42" s="54" t="str">
        <f t="shared" si="11"/>
        <v> </v>
      </c>
      <c r="I42" s="54" t="str">
        <f t="shared" si="11"/>
        <v> </v>
      </c>
      <c r="J42" s="54" t="str">
        <f t="shared" si="11"/>
        <v> </v>
      </c>
      <c r="K42" s="54" t="str">
        <f t="shared" si="11"/>
        <v> </v>
      </c>
      <c r="L42" s="54" t="str">
        <f t="shared" si="11"/>
        <v> </v>
      </c>
      <c r="M42" s="54" t="str">
        <f t="shared" si="11"/>
        <v> </v>
      </c>
      <c r="N42" s="55"/>
    </row>
    <row r="43" ht="13.5" customHeight="1">
      <c r="A43" s="1"/>
      <c r="B43" s="46" t="s">
        <v>46</v>
      </c>
      <c r="C43" s="46"/>
      <c r="D43" s="50">
        <f t="shared" ref="D43:M43" si="12">IF(D38&gt;0,(D39*(1-$B$16))-(D40-C40)+(D41-C41)-(D42-C42),0)</f>
        <v>0</v>
      </c>
      <c r="E43" s="50">
        <f t="shared" si="12"/>
        <v>0</v>
      </c>
      <c r="F43" s="50">
        <f t="shared" si="12"/>
        <v>0</v>
      </c>
      <c r="G43" s="50">
        <f t="shared" si="12"/>
        <v>0</v>
      </c>
      <c r="H43" s="50">
        <f t="shared" si="12"/>
        <v>0</v>
      </c>
      <c r="I43" s="50">
        <f t="shared" si="12"/>
        <v>0</v>
      </c>
      <c r="J43" s="50">
        <f t="shared" si="12"/>
        <v>0</v>
      </c>
      <c r="K43" s="50">
        <f t="shared" si="12"/>
        <v>0</v>
      </c>
      <c r="L43" s="50">
        <f t="shared" si="12"/>
        <v>0</v>
      </c>
      <c r="M43" s="50">
        <f t="shared" si="12"/>
        <v>0</v>
      </c>
      <c r="N43" s="50" t="str">
        <f>(HLOOKUP(B33,D38:M43,6,)*(1+B35))/(B28-B35)</f>
        <v>#DIV/0!</v>
      </c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3.5" customHeight="1">
      <c r="A45" s="1"/>
      <c r="B45" s="46" t="s">
        <v>47</v>
      </c>
      <c r="C45" s="46"/>
      <c r="D45" s="50">
        <f t="shared" ref="D45:E45" si="13">D43</f>
        <v>0</v>
      </c>
      <c r="E45" s="50">
        <f t="shared" si="13"/>
        <v>0</v>
      </c>
      <c r="F45" s="50">
        <f t="shared" ref="F45:L45" si="14">IF(AND(G38=0,F43&gt;0),F43+$N$43,F43)</f>
        <v>0</v>
      </c>
      <c r="G45" s="50">
        <f t="shared" si="14"/>
        <v>0</v>
      </c>
      <c r="H45" s="50">
        <f t="shared" si="14"/>
        <v>0</v>
      </c>
      <c r="I45" s="50">
        <f t="shared" si="14"/>
        <v>0</v>
      </c>
      <c r="J45" s="50">
        <f t="shared" si="14"/>
        <v>0</v>
      </c>
      <c r="K45" s="50">
        <f t="shared" si="14"/>
        <v>0</v>
      </c>
      <c r="L45" s="50">
        <f t="shared" si="14"/>
        <v>0</v>
      </c>
      <c r="M45" s="50">
        <f>IF(M43&gt;0,M43+$N$43,M43)</f>
        <v>0</v>
      </c>
      <c r="N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3.5" customHeight="1">
      <c r="A47" s="46" t="s">
        <v>48</v>
      </c>
      <c r="B47" s="56" t="str">
        <f t="array" ref="B47">NPV(B28,D45:M45)+H33</f>
        <v>#DIV/0!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3.5" customHeight="1">
      <c r="A48" s="46" t="s">
        <v>49</v>
      </c>
      <c r="B48" s="56" t="str">
        <f>B47-H34-H35</f>
        <v>#DIV/0!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8.0" customHeight="1">
      <c r="A49" s="57" t="s">
        <v>50</v>
      </c>
      <c r="B49" s="58" t="str">
        <f>B48/B12</f>
        <v>#DIV/0!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23.25" customHeight="1">
      <c r="A52" s="59" t="s">
        <v>51</v>
      </c>
      <c r="B52" s="60" t="s">
        <v>52</v>
      </c>
      <c r="C52" s="61"/>
      <c r="D52" s="61"/>
      <c r="E52" s="61"/>
      <c r="F52" s="61"/>
      <c r="G52" s="61"/>
      <c r="H52" s="59" t="s">
        <v>53</v>
      </c>
      <c r="I52" s="59"/>
      <c r="J52" s="59"/>
      <c r="K52" s="59"/>
      <c r="L52" s="59"/>
      <c r="M52" s="59"/>
      <c r="N52" s="59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3.5" customHeight="1">
      <c r="A54" s="1"/>
      <c r="B54" s="1" t="s">
        <v>11</v>
      </c>
      <c r="C54" s="1"/>
      <c r="D54" s="26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3.5" customHeight="1">
      <c r="A55" s="1"/>
      <c r="B55" s="1" t="s">
        <v>54</v>
      </c>
      <c r="C55" s="1"/>
      <c r="D55" s="26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3.5" customHeight="1">
      <c r="A56" s="1"/>
      <c r="B56" s="1" t="s">
        <v>55</v>
      </c>
      <c r="C56" s="1"/>
      <c r="D56" s="26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3.5" customHeight="1">
      <c r="A57" s="1"/>
      <c r="B57" s="1"/>
      <c r="C57" s="1"/>
      <c r="D57" s="1"/>
      <c r="E57" s="1"/>
      <c r="F57" s="62" t="s">
        <v>56</v>
      </c>
      <c r="G57" s="1"/>
      <c r="H57" s="1"/>
      <c r="I57" s="1"/>
      <c r="J57" s="1"/>
      <c r="K57" s="1"/>
      <c r="L57" s="1"/>
      <c r="M57" s="1"/>
      <c r="N57" s="1"/>
    </row>
    <row r="58" ht="13.5" customHeight="1">
      <c r="A58" s="1"/>
      <c r="B58" s="63" t="str">
        <f>B49</f>
        <v>#DIV/0!</v>
      </c>
      <c r="C58" s="64">
        <f>F58*0.6</f>
        <v>0</v>
      </c>
      <c r="D58" s="64">
        <f>F58*0.75</f>
        <v>0</v>
      </c>
      <c r="E58" s="64">
        <f>F58*0.9</f>
        <v>0</v>
      </c>
      <c r="F58" s="64" t="str">
        <f>D54</f>
        <v/>
      </c>
      <c r="G58" s="64">
        <f>F58*1.1</f>
        <v>0</v>
      </c>
      <c r="H58" s="64">
        <f>F58*1.25</f>
        <v>0</v>
      </c>
      <c r="I58" s="64">
        <f>F58*1.4</f>
        <v>0</v>
      </c>
      <c r="J58" s="1"/>
      <c r="K58" s="1"/>
      <c r="L58" s="1"/>
      <c r="M58" s="1"/>
      <c r="N58" s="1"/>
    </row>
    <row r="59" ht="13.5" customHeight="1">
      <c r="A59" s="1"/>
      <c r="B59" s="64">
        <f>B62*0.6</f>
        <v>0</v>
      </c>
      <c r="C59" s="65">
        <v>177.74549399811</v>
      </c>
      <c r="D59" s="65">
        <v>106.278244010343</v>
      </c>
      <c r="E59" s="65">
        <v>72.2864347359374</v>
      </c>
      <c r="F59" s="65">
        <v>58.0546473367728</v>
      </c>
      <c r="G59" s="65">
        <v>47.5096024563365</v>
      </c>
      <c r="H59" s="65">
        <v>35.9809309685842</v>
      </c>
      <c r="I59" s="65">
        <v>27.678751594706</v>
      </c>
      <c r="J59" s="1"/>
      <c r="K59" s="1"/>
      <c r="L59" s="1"/>
      <c r="M59" s="1"/>
      <c r="N59" s="1"/>
    </row>
    <row r="60" ht="13.5" customHeight="1">
      <c r="A60" s="1"/>
      <c r="B60" s="64">
        <f>B62*0.75</f>
        <v>0</v>
      </c>
      <c r="C60" s="65">
        <v>180.913636192461</v>
      </c>
      <c r="D60" s="65">
        <v>108.286850949383</v>
      </c>
      <c r="E60" s="65">
        <v>73.7440908449957</v>
      </c>
      <c r="F60" s="65">
        <v>59.2818853379748</v>
      </c>
      <c r="G60" s="65">
        <v>48.5662856548748</v>
      </c>
      <c r="H60" s="65">
        <v>36.8514159631619</v>
      </c>
      <c r="I60" s="65">
        <v>28.4154156418077</v>
      </c>
      <c r="J60" s="1"/>
      <c r="K60" s="1"/>
      <c r="L60" s="1"/>
      <c r="M60" s="1"/>
      <c r="N60" s="1"/>
    </row>
    <row r="61" ht="13.5" customHeight="1">
      <c r="A61" s="66" t="s">
        <v>57</v>
      </c>
      <c r="B61" s="64">
        <f>B62*0.9</f>
        <v>0</v>
      </c>
      <c r="C61" s="65">
        <v>184.088159967507</v>
      </c>
      <c r="D61" s="65">
        <v>110.299407108224</v>
      </c>
      <c r="E61" s="65">
        <v>75.2045429762128</v>
      </c>
      <c r="F61" s="65">
        <v>60.5114382296171</v>
      </c>
      <c r="G61" s="65">
        <v>49.624928393911</v>
      </c>
      <c r="H61" s="65">
        <v>37.7234737476866</v>
      </c>
      <c r="I61" s="65">
        <v>29.1533757107357</v>
      </c>
      <c r="J61" s="1"/>
      <c r="K61" s="1"/>
      <c r="L61" s="1"/>
      <c r="M61" s="1"/>
      <c r="N61" s="1"/>
    </row>
    <row r="62" ht="13.5" customHeight="1">
      <c r="A62" s="66" t="s">
        <v>58</v>
      </c>
      <c r="B62" s="64" t="str">
        <f>D55</f>
        <v/>
      </c>
      <c r="C62" s="65">
        <v>186.207801156279</v>
      </c>
      <c r="D62" s="65">
        <v>111.643144766816</v>
      </c>
      <c r="E62" s="65">
        <v>76.1796147311513</v>
      </c>
      <c r="F62" s="65">
        <v>61.3323283081059</v>
      </c>
      <c r="G62" s="65">
        <v>50.331694604686</v>
      </c>
      <c r="H62" s="65">
        <v>38.3056500262525</v>
      </c>
      <c r="I62" s="65">
        <v>29.6460104562282</v>
      </c>
      <c r="J62" s="1"/>
      <c r="K62" s="1"/>
      <c r="L62" s="1"/>
      <c r="M62" s="1"/>
      <c r="N62" s="1"/>
    </row>
    <row r="63" ht="13.5" customHeight="1">
      <c r="A63" s="1"/>
      <c r="B63" s="64">
        <f>B62*1.1</f>
        <v>0</v>
      </c>
      <c r="C63" s="65">
        <v>188.329898627338</v>
      </c>
      <c r="D63" s="65">
        <v>112.988396946754</v>
      </c>
      <c r="E63" s="65">
        <v>77.1557546453302</v>
      </c>
      <c r="F63" s="65">
        <v>62.1541003775143</v>
      </c>
      <c r="G63" s="65">
        <v>51.0392053490604</v>
      </c>
      <c r="H63" s="65">
        <v>38.8884212976076</v>
      </c>
      <c r="I63" s="65">
        <v>30.1391332425436</v>
      </c>
      <c r="J63" s="1"/>
      <c r="K63" s="1"/>
      <c r="L63" s="1"/>
      <c r="M63" s="1"/>
      <c r="N63" s="1"/>
    </row>
    <row r="64" ht="13.5" customHeight="1">
      <c r="A64" s="1"/>
      <c r="B64" s="64">
        <f>B62*1.25</f>
        <v>0</v>
      </c>
      <c r="C64" s="65">
        <v>191.517317884389</v>
      </c>
      <c r="D64" s="65">
        <v>115.008904342661</v>
      </c>
      <c r="E64" s="65">
        <v>78.6218146125581</v>
      </c>
      <c r="F64" s="65">
        <v>63.3882837214848</v>
      </c>
      <c r="G64" s="65">
        <v>52.1017568894932</v>
      </c>
      <c r="H64" s="65">
        <v>39.7636027942755</v>
      </c>
      <c r="I64" s="65">
        <v>30.8796555257914</v>
      </c>
      <c r="J64" s="1"/>
      <c r="K64" s="1"/>
      <c r="L64" s="1"/>
      <c r="M64" s="1"/>
      <c r="N64" s="1"/>
    </row>
    <row r="65" ht="13.5" customHeight="1">
      <c r="A65" s="1"/>
      <c r="B65" s="64">
        <f>B62*1.4</f>
        <v>0</v>
      </c>
      <c r="C65" s="65">
        <v>194.709408831038</v>
      </c>
      <c r="D65" s="65">
        <v>117.032277864823</v>
      </c>
      <c r="E65" s="65">
        <v>80.089885274208</v>
      </c>
      <c r="F65" s="65">
        <v>64.6241211341533</v>
      </c>
      <c r="G65" s="65">
        <v>53.1656992906251</v>
      </c>
      <c r="H65" s="65">
        <v>40.6398889685475</v>
      </c>
      <c r="I65" s="65">
        <v>31.6210779709157</v>
      </c>
      <c r="J65" s="1"/>
      <c r="K65" s="1"/>
      <c r="L65" s="1"/>
      <c r="M65" s="1"/>
      <c r="N65" s="1"/>
    </row>
    <row r="66" ht="13.5" customHeight="1">
      <c r="A66" s="1"/>
      <c r="B66" s="6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3.5" customHeight="1">
      <c r="A67" s="1"/>
      <c r="B67" s="67"/>
      <c r="C67" s="1"/>
      <c r="D67" s="1"/>
      <c r="E67" s="1"/>
      <c r="F67" s="62" t="s">
        <v>56</v>
      </c>
      <c r="G67" s="1"/>
      <c r="H67" s="1"/>
      <c r="I67" s="1"/>
      <c r="J67" s="1"/>
      <c r="K67" s="1"/>
      <c r="L67" s="1"/>
      <c r="M67" s="1"/>
      <c r="N67" s="1"/>
    </row>
    <row r="68" ht="13.5" customHeight="1">
      <c r="A68" s="1"/>
      <c r="B68" s="63" t="str">
        <f>B49</f>
        <v>#DIV/0!</v>
      </c>
      <c r="C68" s="64">
        <f>F68*0.6</f>
        <v>0</v>
      </c>
      <c r="D68" s="64">
        <f>F68*0.75</f>
        <v>0</v>
      </c>
      <c r="E68" s="64">
        <f>F68*0.9</f>
        <v>0</v>
      </c>
      <c r="F68" s="64" t="str">
        <f>D54</f>
        <v/>
      </c>
      <c r="G68" s="64">
        <f>F68*1.1</f>
        <v>0</v>
      </c>
      <c r="H68" s="64">
        <f>F68*1.25</f>
        <v>0</v>
      </c>
      <c r="I68" s="64">
        <f>F68*1.4</f>
        <v>0</v>
      </c>
      <c r="J68" s="1"/>
      <c r="K68" s="1"/>
      <c r="L68" s="1"/>
      <c r="M68" s="1"/>
      <c r="N68" s="1"/>
    </row>
    <row r="69" ht="13.5" customHeight="1">
      <c r="A69" s="1"/>
      <c r="B69" s="46">
        <v>3.0</v>
      </c>
      <c r="C69" s="65">
        <v>186.207801156279</v>
      </c>
      <c r="D69" s="65">
        <v>111.643144766816</v>
      </c>
      <c r="E69" s="65">
        <v>76.1796147311513</v>
      </c>
      <c r="F69" s="65">
        <v>61.3323283081059</v>
      </c>
      <c r="G69" s="65">
        <v>50.331694604686</v>
      </c>
      <c r="H69" s="65">
        <v>38.3056500262525</v>
      </c>
      <c r="I69" s="65">
        <v>29.6460104562282</v>
      </c>
      <c r="J69" s="1"/>
      <c r="K69" s="1"/>
      <c r="L69" s="1"/>
      <c r="M69" s="1"/>
      <c r="N69" s="1"/>
    </row>
    <row r="70" ht="13.5" customHeight="1">
      <c r="A70" s="1"/>
      <c r="B70" s="46">
        <v>4.0</v>
      </c>
      <c r="C70" s="65">
        <v>196.204531255785</v>
      </c>
      <c r="D70" s="65">
        <v>117.919952346378</v>
      </c>
      <c r="E70" s="65">
        <v>80.6913162931285</v>
      </c>
      <c r="F70" s="65">
        <v>65.1069172211137</v>
      </c>
      <c r="G70" s="65">
        <v>53.5614036625444</v>
      </c>
      <c r="H70" s="65">
        <v>40.9416029402017</v>
      </c>
      <c r="I70" s="65">
        <v>31.8563167905741</v>
      </c>
      <c r="J70" s="1"/>
      <c r="K70" s="1"/>
      <c r="L70" s="1"/>
      <c r="M70" s="1"/>
      <c r="N70" s="1"/>
    </row>
    <row r="71" ht="13.5" customHeight="1">
      <c r="A71" s="1"/>
      <c r="B71" s="46">
        <v>5.0</v>
      </c>
      <c r="C71" s="65">
        <v>206.533006980819</v>
      </c>
      <c r="D71" s="65">
        <v>124.348315643257</v>
      </c>
      <c r="E71" s="65">
        <v>85.2718759413203</v>
      </c>
      <c r="F71" s="65">
        <v>68.9170819014449</v>
      </c>
      <c r="G71" s="65">
        <v>56.8029165488402</v>
      </c>
      <c r="H71" s="65">
        <v>43.5646975472534</v>
      </c>
      <c r="I71" s="65">
        <v>34.0372989944478</v>
      </c>
      <c r="J71" s="1"/>
      <c r="K71" s="1"/>
      <c r="L71" s="1"/>
      <c r="M71" s="1"/>
      <c r="N71" s="1"/>
    </row>
    <row r="72" ht="13.5" customHeight="1">
      <c r="A72" s="66" t="s">
        <v>59</v>
      </c>
      <c r="B72" s="46">
        <v>6.0</v>
      </c>
      <c r="C72" s="65">
        <v>217.20423744726</v>
      </c>
      <c r="D72" s="65">
        <v>130.931894023326</v>
      </c>
      <c r="E72" s="65">
        <v>89.9223445954235</v>
      </c>
      <c r="F72" s="65">
        <v>72.7631576532213</v>
      </c>
      <c r="G72" s="65">
        <v>60.0562764037956</v>
      </c>
      <c r="H72" s="65">
        <v>46.1749965708562</v>
      </c>
      <c r="I72" s="65">
        <v>36.1893461110395</v>
      </c>
      <c r="J72" s="1"/>
      <c r="K72" s="1"/>
      <c r="L72" s="1"/>
      <c r="M72" s="1"/>
      <c r="N72" s="1"/>
    </row>
    <row r="73" ht="13.5" customHeight="1">
      <c r="A73" s="66" t="s">
        <v>60</v>
      </c>
      <c r="B73" s="46">
        <v>7.0</v>
      </c>
      <c r="C73" s="65">
        <v>228.229597113049</v>
      </c>
      <c r="D73" s="65">
        <v>137.67443520913</v>
      </c>
      <c r="E73" s="65">
        <v>94.6437892143868</v>
      </c>
      <c r="F73" s="65">
        <v>76.6454829408296</v>
      </c>
      <c r="G73" s="65">
        <v>63.3215265252998</v>
      </c>
      <c r="H73" s="65">
        <v>48.7725624284902</v>
      </c>
      <c r="I73" s="65">
        <v>38.3128420221043</v>
      </c>
      <c r="J73" s="1"/>
      <c r="K73" s="1"/>
      <c r="L73" s="1"/>
      <c r="M73" s="1"/>
      <c r="N73" s="1"/>
    </row>
    <row r="74" ht="13.5" customHeight="1">
      <c r="A74" s="1"/>
      <c r="B74" s="46">
        <v>8.0</v>
      </c>
      <c r="C74" s="65">
        <v>239.620837902226</v>
      </c>
      <c r="D74" s="65">
        <v>144.579777413285</v>
      </c>
      <c r="E74" s="65">
        <v>99.4372930412044</v>
      </c>
      <c r="F74" s="65">
        <v>80.5643994187077</v>
      </c>
      <c r="G74" s="65">
        <v>66.598710369486</v>
      </c>
      <c r="H74" s="65">
        <v>51.35745723316</v>
      </c>
      <c r="I74" s="65">
        <v>40.4081655164386</v>
      </c>
      <c r="J74" s="1"/>
      <c r="K74" s="1"/>
      <c r="L74" s="1"/>
      <c r="M74" s="1"/>
      <c r="N74" s="1"/>
    </row>
    <row r="75" ht="13.5" customHeight="1">
      <c r="A75" s="1"/>
      <c r="B75" s="46">
        <v>9.0</v>
      </c>
      <c r="C75" s="65">
        <v>251.390101731291</v>
      </c>
      <c r="D75" s="65">
        <v>151.651851523398</v>
      </c>
      <c r="E75" s="65">
        <v>104.303955851444</v>
      </c>
      <c r="F75" s="65">
        <v>84.5202519614102</v>
      </c>
      <c r="G75" s="65">
        <v>69.8878715513091</v>
      </c>
      <c r="H75" s="65">
        <v>53.9297427948803</v>
      </c>
      <c r="I75" s="65">
        <v>42.4756903574483</v>
      </c>
      <c r="J75" s="1"/>
      <c r="K75" s="1"/>
      <c r="L75" s="1"/>
      <c r="M75" s="1"/>
      <c r="N75" s="1"/>
    </row>
    <row r="76" ht="13.5" customHeight="1">
      <c r="A76" s="1"/>
      <c r="B76" s="46">
        <v>10.0</v>
      </c>
      <c r="C76" s="65">
        <v>263.549933451268</v>
      </c>
      <c r="D76" s="65">
        <v>158.894683339731</v>
      </c>
      <c r="E76" s="65">
        <v>109.244894205569</v>
      </c>
      <c r="F76" s="65">
        <v>88.5133886939591</v>
      </c>
      <c r="G76" s="65">
        <v>73.1890538451264</v>
      </c>
      <c r="H76" s="65">
        <v>56.4894806221532</v>
      </c>
      <c r="I76" s="65">
        <v>44.5157853498212</v>
      </c>
      <c r="J76" s="1"/>
      <c r="K76" s="1"/>
      <c r="L76" s="1"/>
      <c r="M76" s="1"/>
      <c r="N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3.5" customHeight="1">
      <c r="A78" s="1"/>
      <c r="B78" s="1"/>
      <c r="C78" s="1"/>
      <c r="D78" s="1"/>
      <c r="E78" s="1"/>
      <c r="F78" s="62" t="s">
        <v>56</v>
      </c>
      <c r="G78" s="1"/>
      <c r="H78" s="1"/>
      <c r="I78" s="1"/>
      <c r="J78" s="1"/>
      <c r="K78" s="1"/>
      <c r="L78" s="1"/>
      <c r="M78" s="1"/>
      <c r="N78" s="1"/>
    </row>
    <row r="79" ht="13.5" customHeight="1">
      <c r="A79" s="1"/>
      <c r="B79" s="63" t="str">
        <f>B49</f>
        <v>#DIV/0!</v>
      </c>
      <c r="C79" s="64">
        <f>F79*0.6</f>
        <v>0</v>
      </c>
      <c r="D79" s="64">
        <f>F79*0.75</f>
        <v>0</v>
      </c>
      <c r="E79" s="64">
        <f>F79*0.9</f>
        <v>0</v>
      </c>
      <c r="F79" s="64" t="str">
        <f>F68</f>
        <v/>
      </c>
      <c r="G79" s="64">
        <f>F79*1.1</f>
        <v>0</v>
      </c>
      <c r="H79" s="64">
        <f>F79*1.25</f>
        <v>0</v>
      </c>
      <c r="I79" s="64">
        <f>F79*1.4</f>
        <v>0</v>
      </c>
      <c r="J79" s="1"/>
      <c r="K79" s="1"/>
      <c r="L79" s="1"/>
      <c r="M79" s="1"/>
      <c r="N79" s="1"/>
    </row>
    <row r="80" ht="13.5" customHeight="1">
      <c r="A80" s="1"/>
      <c r="B80" s="64">
        <v>0.0</v>
      </c>
      <c r="C80" s="65">
        <v>75.1758669320441</v>
      </c>
      <c r="D80" s="65">
        <v>55.3785222332076</v>
      </c>
      <c r="E80" s="65">
        <v>42.1827292871734</v>
      </c>
      <c r="F80" s="65">
        <v>35.5860162753104</v>
      </c>
      <c r="G80" s="65">
        <v>30.1895448390997</v>
      </c>
      <c r="H80" s="65">
        <v>23.7151295575275</v>
      </c>
      <c r="I80" s="65">
        <v>18.6294953471727</v>
      </c>
      <c r="J80" s="1"/>
      <c r="K80" s="1"/>
      <c r="L80" s="1"/>
      <c r="M80" s="1"/>
      <c r="N80" s="1"/>
    </row>
    <row r="81" ht="13.5" customHeight="1">
      <c r="A81" s="1"/>
      <c r="B81" s="64">
        <f>B84*0.5</f>
        <v>0</v>
      </c>
      <c r="C81" s="65">
        <v>109.821169716298</v>
      </c>
      <c r="D81" s="65">
        <v>75.6416555232834</v>
      </c>
      <c r="E81" s="65">
        <v>55.3953273049332</v>
      </c>
      <c r="F81" s="65">
        <v>45.9350240531988</v>
      </c>
      <c r="G81" s="65">
        <v>38.4968587967101</v>
      </c>
      <c r="H81" s="65">
        <v>29.9092184357598</v>
      </c>
      <c r="I81" s="65">
        <v>23.4072147644952</v>
      </c>
      <c r="J81" s="1"/>
      <c r="K81" s="1"/>
      <c r="L81" s="1"/>
      <c r="M81" s="1"/>
      <c r="N81" s="1"/>
    </row>
    <row r="82" ht="13.5" customHeight="1">
      <c r="A82" s="66" t="s">
        <v>61</v>
      </c>
      <c r="B82" s="64">
        <f>0.75*B84</f>
        <v>0</v>
      </c>
      <c r="C82" s="65">
        <v>139.173440130735</v>
      </c>
      <c r="D82" s="65">
        <v>90.7154498000471</v>
      </c>
      <c r="E82" s="65">
        <v>64.485197369783</v>
      </c>
      <c r="F82" s="65">
        <v>52.7968661667987</v>
      </c>
      <c r="G82" s="65">
        <v>43.8463863068413</v>
      </c>
      <c r="H82" s="65">
        <v>33.7647227375167</v>
      </c>
      <c r="I82" s="65">
        <v>26.3050644678996</v>
      </c>
      <c r="J82" s="1"/>
      <c r="K82" s="1"/>
      <c r="L82" s="1"/>
      <c r="M82" s="1"/>
      <c r="N82" s="1"/>
    </row>
    <row r="83" ht="13.5" customHeight="1">
      <c r="A83" s="66" t="s">
        <v>62</v>
      </c>
      <c r="B83" s="64">
        <f>B84*0.9</f>
        <v>0</v>
      </c>
      <c r="C83" s="65">
        <v>164.359581841188</v>
      </c>
      <c r="D83" s="65">
        <v>102.36708537614</v>
      </c>
      <c r="E83" s="65">
        <v>71.1215415309498</v>
      </c>
      <c r="F83" s="65">
        <v>57.6799445081046</v>
      </c>
      <c r="G83" s="65">
        <v>47.5790708790835</v>
      </c>
      <c r="H83" s="65">
        <v>36.3957321108186</v>
      </c>
      <c r="I83" s="65">
        <v>28.2501493430037</v>
      </c>
      <c r="J83" s="1"/>
      <c r="K83" s="1"/>
      <c r="L83" s="1"/>
      <c r="M83" s="1"/>
      <c r="N83" s="1"/>
    </row>
    <row r="84" ht="13.5" customHeight="1">
      <c r="A84" s="1"/>
      <c r="B84" s="64" t="str">
        <f>D56</f>
        <v/>
      </c>
      <c r="C84" s="65">
        <v>186.207801156279</v>
      </c>
      <c r="D84" s="65">
        <v>111.643144766816</v>
      </c>
      <c r="E84" s="65">
        <v>76.1796147311513</v>
      </c>
      <c r="F84" s="65">
        <v>61.3323283081059</v>
      </c>
      <c r="G84" s="65">
        <v>50.331694604686</v>
      </c>
      <c r="H84" s="65">
        <v>38.3056500262525</v>
      </c>
      <c r="I84" s="65">
        <v>29.6460104562282</v>
      </c>
      <c r="J84" s="1"/>
      <c r="K84" s="1"/>
      <c r="L84" s="1"/>
      <c r="M84" s="1"/>
      <c r="N84" s="1"/>
    </row>
    <row r="85" ht="13.5" customHeight="1">
      <c r="A85" s="1"/>
      <c r="B85" s="64">
        <f>1.1*B84</f>
        <v>0</v>
      </c>
      <c r="C85" s="65">
        <v>214.041833982354</v>
      </c>
      <c r="D85" s="65">
        <v>122.481487844343</v>
      </c>
      <c r="E85" s="65">
        <v>81.8526512383684</v>
      </c>
      <c r="F85" s="65">
        <v>65.3593155747739</v>
      </c>
      <c r="G85" s="65">
        <v>53.3284534722489</v>
      </c>
      <c r="H85" s="65">
        <v>40.3563913824558</v>
      </c>
      <c r="I85" s="65">
        <v>31.1299385166594</v>
      </c>
      <c r="J85" s="1"/>
      <c r="K85" s="1"/>
      <c r="L85" s="1"/>
      <c r="M85" s="1"/>
      <c r="N85" s="1"/>
    </row>
    <row r="86" ht="13.5" customHeight="1">
      <c r="A86" s="1"/>
      <c r="B86" s="64">
        <f>1.25*B84</f>
        <v>0</v>
      </c>
      <c r="C86" s="65">
        <v>273.789025134878</v>
      </c>
      <c r="D86" s="65">
        <v>142.656475862149</v>
      </c>
      <c r="E86" s="65">
        <v>91.7852084675594</v>
      </c>
      <c r="F86" s="65">
        <v>72.2387521553317</v>
      </c>
      <c r="G86" s="65">
        <v>58.3574561799286</v>
      </c>
      <c r="H86" s="65">
        <v>43.7326119079124</v>
      </c>
      <c r="I86" s="65">
        <v>33.5400931975914</v>
      </c>
      <c r="J86" s="1"/>
      <c r="K86" s="1"/>
      <c r="L86" s="1"/>
      <c r="M86" s="1"/>
      <c r="N86" s="1"/>
    </row>
    <row r="87" ht="13.5" customHeight="1">
      <c r="A87" s="1"/>
      <c r="B87" s="64">
        <f>1.5*B84</f>
        <v>0</v>
      </c>
      <c r="C87" s="65">
        <v>494.069073323476</v>
      </c>
      <c r="D87" s="65">
        <v>193.360810827533</v>
      </c>
      <c r="E87" s="65">
        <v>113.658108925416</v>
      </c>
      <c r="F87" s="65">
        <v>86.6633772435981</v>
      </c>
      <c r="G87" s="65">
        <v>68.5464958077972</v>
      </c>
      <c r="H87" s="65">
        <v>50.3329709531745</v>
      </c>
      <c r="I87" s="65">
        <v>38.1370789608613</v>
      </c>
      <c r="J87" s="1"/>
      <c r="K87" s="1"/>
      <c r="L87" s="1"/>
      <c r="M87" s="1"/>
      <c r="N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3.5" customHeight="1">
      <c r="A89" s="21" t="s">
        <v>63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3.5" customHeight="1">
      <c r="A91" s="46"/>
      <c r="B91" s="46">
        <v>0.0</v>
      </c>
      <c r="C91" s="46">
        <v>1.0</v>
      </c>
      <c r="D91" s="46">
        <f t="shared" ref="D91:L91" si="15">IF(AND(C91&lt;$B$33,C91&gt;0),C91+1,0)</f>
        <v>0</v>
      </c>
      <c r="E91" s="46">
        <f t="shared" si="15"/>
        <v>0</v>
      </c>
      <c r="F91" s="46">
        <f t="shared" si="15"/>
        <v>0</v>
      </c>
      <c r="G91" s="46">
        <f t="shared" si="15"/>
        <v>0</v>
      </c>
      <c r="H91" s="46">
        <f t="shared" si="15"/>
        <v>0</v>
      </c>
      <c r="I91" s="46">
        <f t="shared" si="15"/>
        <v>0</v>
      </c>
      <c r="J91" s="46">
        <f t="shared" si="15"/>
        <v>0</v>
      </c>
      <c r="K91" s="46">
        <f t="shared" si="15"/>
        <v>0</v>
      </c>
      <c r="L91" s="46">
        <f t="shared" si="15"/>
        <v>0</v>
      </c>
      <c r="M91" s="47" t="s">
        <v>45</v>
      </c>
      <c r="N91" s="1"/>
    </row>
    <row r="92" ht="13.5" customHeight="1">
      <c r="A92" s="46" t="s">
        <v>64</v>
      </c>
      <c r="B92" s="33"/>
      <c r="C92" s="50">
        <f t="shared" ref="C92:L92" si="16">IF(C91&gt;0,B92*(1+$B$34),0)</f>
        <v>0</v>
      </c>
      <c r="D92" s="50">
        <f t="shared" si="16"/>
        <v>0</v>
      </c>
      <c r="E92" s="50">
        <f t="shared" si="16"/>
        <v>0</v>
      </c>
      <c r="F92" s="50">
        <f t="shared" si="16"/>
        <v>0</v>
      </c>
      <c r="G92" s="50">
        <f t="shared" si="16"/>
        <v>0</v>
      </c>
      <c r="H92" s="50">
        <f t="shared" si="16"/>
        <v>0</v>
      </c>
      <c r="I92" s="50">
        <f t="shared" si="16"/>
        <v>0</v>
      </c>
      <c r="J92" s="50">
        <f t="shared" si="16"/>
        <v>0</v>
      </c>
      <c r="K92" s="50">
        <f t="shared" si="16"/>
        <v>0</v>
      </c>
      <c r="L92" s="50">
        <f t="shared" si="16"/>
        <v>0</v>
      </c>
      <c r="M92" s="51"/>
      <c r="N92" s="1"/>
    </row>
    <row r="93" ht="13.5" customHeight="1">
      <c r="A93" s="46" t="s">
        <v>65</v>
      </c>
      <c r="B93" s="33"/>
      <c r="C93" s="50">
        <f t="shared" ref="C93:L93" si="17">IF(C91&gt;0,B93*(1+$B$34),0)</f>
        <v>0</v>
      </c>
      <c r="D93" s="50">
        <f t="shared" si="17"/>
        <v>0</v>
      </c>
      <c r="E93" s="50">
        <f t="shared" si="17"/>
        <v>0</v>
      </c>
      <c r="F93" s="50">
        <f t="shared" si="17"/>
        <v>0</v>
      </c>
      <c r="G93" s="50">
        <f t="shared" si="17"/>
        <v>0</v>
      </c>
      <c r="H93" s="50">
        <f t="shared" si="17"/>
        <v>0</v>
      </c>
      <c r="I93" s="50">
        <f t="shared" si="17"/>
        <v>0</v>
      </c>
      <c r="J93" s="50">
        <f t="shared" si="17"/>
        <v>0</v>
      </c>
      <c r="K93" s="50">
        <f t="shared" si="17"/>
        <v>0</v>
      </c>
      <c r="L93" s="50">
        <f t="shared" si="17"/>
        <v>0</v>
      </c>
      <c r="M93" s="51"/>
      <c r="N93" s="1"/>
    </row>
    <row r="94" ht="13.5" customHeight="1">
      <c r="A94" s="46" t="s">
        <v>66</v>
      </c>
      <c r="B94" s="33"/>
      <c r="C94" s="50">
        <f t="shared" ref="C94:L94" si="18">IF(C91&gt;0,B94*(1+$B$34),0)</f>
        <v>0</v>
      </c>
      <c r="D94" s="50">
        <f t="shared" si="18"/>
        <v>0</v>
      </c>
      <c r="E94" s="50">
        <f t="shared" si="18"/>
        <v>0</v>
      </c>
      <c r="F94" s="50">
        <f t="shared" si="18"/>
        <v>0</v>
      </c>
      <c r="G94" s="50">
        <f t="shared" si="18"/>
        <v>0</v>
      </c>
      <c r="H94" s="50">
        <f t="shared" si="18"/>
        <v>0</v>
      </c>
      <c r="I94" s="50">
        <f t="shared" si="18"/>
        <v>0</v>
      </c>
      <c r="J94" s="50">
        <f t="shared" si="18"/>
        <v>0</v>
      </c>
      <c r="K94" s="50">
        <f t="shared" si="18"/>
        <v>0</v>
      </c>
      <c r="L94" s="50">
        <f t="shared" si="18"/>
        <v>0</v>
      </c>
      <c r="M94" s="51"/>
      <c r="N94" s="1"/>
    </row>
    <row r="95" ht="13.5" customHeight="1">
      <c r="A95" s="46" t="s">
        <v>67</v>
      </c>
      <c r="B95" s="33"/>
      <c r="C95" s="50">
        <f t="shared" ref="C95:L95" si="19">IF(C91&gt;0,B95*(1+$B$34),0)</f>
        <v>0</v>
      </c>
      <c r="D95" s="50">
        <f t="shared" si="19"/>
        <v>0</v>
      </c>
      <c r="E95" s="50">
        <f t="shared" si="19"/>
        <v>0</v>
      </c>
      <c r="F95" s="50">
        <f t="shared" si="19"/>
        <v>0</v>
      </c>
      <c r="G95" s="50">
        <f t="shared" si="19"/>
        <v>0</v>
      </c>
      <c r="H95" s="50">
        <f t="shared" si="19"/>
        <v>0</v>
      </c>
      <c r="I95" s="50">
        <f t="shared" si="19"/>
        <v>0</v>
      </c>
      <c r="J95" s="50">
        <f t="shared" si="19"/>
        <v>0</v>
      </c>
      <c r="K95" s="50">
        <f t="shared" si="19"/>
        <v>0</v>
      </c>
      <c r="L95" s="50">
        <f t="shared" si="19"/>
        <v>0</v>
      </c>
      <c r="M95" s="51"/>
      <c r="N95" s="1"/>
    </row>
    <row r="96" ht="13.5" customHeight="1">
      <c r="A96" s="4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1"/>
      <c r="N96" s="1"/>
    </row>
    <row r="97" ht="13.5" customHeight="1">
      <c r="A97" s="4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1"/>
      <c r="N97" s="1"/>
    </row>
    <row r="98" ht="13.5" customHeight="1">
      <c r="A98" s="46" t="s">
        <v>63</v>
      </c>
      <c r="B98" s="1"/>
      <c r="C98" s="50" t="str">
        <f>IF(C91&gt;0,C92-(C93-C94)*Sheet1!$B$27-(C95-B95)*Sheet1!$B$27,0)</f>
        <v>#NAME?</v>
      </c>
      <c r="D98" s="50">
        <f>IF(D91&gt;0,D92-(D93-D94)*Sheet1!$B$27-(D95-C95)*Sheet1!$B$27,0)</f>
        <v>0</v>
      </c>
      <c r="E98" s="50">
        <f>IF(E91&gt;0,E92-(E93-E94)*$B$27-(E95-D95)*$B$27,0)</f>
        <v>0</v>
      </c>
      <c r="F98" s="50">
        <f>IF(F91&gt;0,F92-(F93-F94)*Sheet1!$B$27-(F95-E95)*Sheet1!$B$27,0)</f>
        <v>0</v>
      </c>
      <c r="G98" s="50">
        <f>IF(G91&gt;0,G92-(G93-G94)*Sheet1!$B$27-(G95-F95)*Sheet1!$B$27,0)</f>
        <v>0</v>
      </c>
      <c r="H98" s="50">
        <f>IF(H91&gt;0,H92-(H93-H94)*Sheet1!$B$27-(H95-G95)*Sheet1!$B$27,0)</f>
        <v>0</v>
      </c>
      <c r="I98" s="50">
        <f>IF(I91&gt;0,I92-(I93-I94)*Sheet1!$B$27-(I95-H95)*Sheet1!$B$27,0)</f>
        <v>0</v>
      </c>
      <c r="J98" s="50">
        <f>IF(J91&gt;0,J92-(J93-J94)*Sheet1!$B$27-(J95-I95)*Sheet1!$B$27,0)</f>
        <v>0</v>
      </c>
      <c r="K98" s="50">
        <f>IF(K91&gt;0,K92-(K93-K94)*Sheet1!$B$27-(K95-J95)*Sheet1!$B$27,0)</f>
        <v>0</v>
      </c>
      <c r="L98" s="50">
        <f>IF(L91&gt;0,L92-(L93-L94)*Sheet1!$B$27-(L95-K95)*Sheet1!$B$27,0)</f>
        <v>0</v>
      </c>
      <c r="M98" s="50" t="str">
        <f>HLOOKUP(B33,B91:L98,8,FALSE)/($B$28-$B$35)</f>
        <v>#DIV/0!</v>
      </c>
      <c r="N98" s="1"/>
    </row>
    <row r="99" ht="13.5" customHeight="1">
      <c r="A99" s="46" t="s">
        <v>68</v>
      </c>
      <c r="B99" s="1"/>
      <c r="C99" s="50" t="str">
        <f>IF(D91=0,C98+$M$15,C98)</f>
        <v>#NAME?</v>
      </c>
      <c r="D99" s="50">
        <f t="shared" ref="D99:K99" si="20">IF(AND(E91=0,D91&gt;0),D98+$M$98,D98)</f>
        <v>0</v>
      </c>
      <c r="E99" s="50">
        <f t="shared" si="20"/>
        <v>0</v>
      </c>
      <c r="F99" s="50">
        <f t="shared" si="20"/>
        <v>0</v>
      </c>
      <c r="G99" s="50">
        <f t="shared" si="20"/>
        <v>0</v>
      </c>
      <c r="H99" s="50">
        <f t="shared" si="20"/>
        <v>0</v>
      </c>
      <c r="I99" s="50">
        <f t="shared" si="20"/>
        <v>0</v>
      </c>
      <c r="J99" s="50">
        <f t="shared" si="20"/>
        <v>0</v>
      </c>
      <c r="K99" s="50">
        <f t="shared" si="20"/>
        <v>0</v>
      </c>
      <c r="L99" s="50">
        <f>IF(AND(M91="Horizon Value",L91&gt;0),L98+$M$98,L98)</f>
        <v>0</v>
      </c>
      <c r="M99" s="1"/>
      <c r="N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3.5" customHeight="1">
      <c r="A101" s="46" t="s">
        <v>69</v>
      </c>
      <c r="B101" s="68" t="str">
        <f t="array" ref="B101">NPV($B$28,C99:L99)</f>
        <v>#DIV/0!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3.5" customHeight="1">
      <c r="A102" s="46" t="s">
        <v>70</v>
      </c>
      <c r="B102" s="50" t="str">
        <f>H35</f>
        <v/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3.5" customHeight="1">
      <c r="A103" s="46" t="s">
        <v>49</v>
      </c>
      <c r="B103" s="56" t="str">
        <f>B101-B102</f>
        <v>#DIV/0!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8.0" customHeight="1">
      <c r="A104" s="57" t="s">
        <v>50</v>
      </c>
      <c r="B104" s="58" t="str">
        <f>B103/Sheet1!$B$12</f>
        <v>#DIV/0!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3.5" customHeight="1">
      <c r="A105" s="1"/>
      <c r="B105" s="1"/>
      <c r="C105" s="1"/>
      <c r="D105" s="1"/>
      <c r="E105" s="1"/>
      <c r="F105" s="62" t="s">
        <v>56</v>
      </c>
      <c r="G105" s="1"/>
      <c r="H105" s="1"/>
      <c r="I105" s="1"/>
      <c r="J105" s="1"/>
      <c r="K105" s="1"/>
      <c r="L105" s="1"/>
      <c r="M105" s="1"/>
      <c r="N105" s="1"/>
    </row>
    <row r="106" ht="13.5" customHeight="1">
      <c r="A106" s="1"/>
      <c r="B106" s="63" t="str">
        <f>B104</f>
        <v>#DIV/0!</v>
      </c>
      <c r="C106" s="64">
        <f>F106*0.6</f>
        <v>0</v>
      </c>
      <c r="D106" s="64">
        <f>F106*0.75</f>
        <v>0</v>
      </c>
      <c r="E106" s="64">
        <f>F106*0.9</f>
        <v>0</v>
      </c>
      <c r="F106" s="64" t="str">
        <f>D54</f>
        <v/>
      </c>
      <c r="G106" s="64">
        <f>F106*1.1</f>
        <v>0</v>
      </c>
      <c r="H106" s="64">
        <f>F106*1.25</f>
        <v>0</v>
      </c>
      <c r="I106" s="64">
        <f>F106*1.4</f>
        <v>0</v>
      </c>
      <c r="J106" s="1"/>
      <c r="K106" s="1"/>
      <c r="L106" s="1"/>
      <c r="M106" s="1"/>
      <c r="N106" s="1"/>
    </row>
    <row r="107" ht="13.5" customHeight="1">
      <c r="A107" s="1"/>
      <c r="B107" s="64">
        <f>B110*0.6</f>
        <v>0</v>
      </c>
      <c r="C107" s="65">
        <v>166.985184253568</v>
      </c>
      <c r="D107" s="65">
        <v>103.367053107541</v>
      </c>
      <c r="E107" s="65">
        <v>73.1070721108637</v>
      </c>
      <c r="F107" s="65">
        <v>60.4370864432169</v>
      </c>
      <c r="G107" s="65">
        <v>51.0488206584958</v>
      </c>
      <c r="H107" s="65">
        <v>40.7841657527057</v>
      </c>
      <c r="I107" s="65">
        <v>33.391585735502</v>
      </c>
      <c r="J107" s="1"/>
      <c r="K107" s="1"/>
      <c r="L107" s="1"/>
      <c r="M107" s="1"/>
      <c r="N107" s="1"/>
    </row>
    <row r="108" ht="13.5" customHeight="1">
      <c r="A108" s="1"/>
      <c r="B108" s="64">
        <f>B110*0.75</f>
        <v>0</v>
      </c>
      <c r="C108" s="65">
        <v>170.53871781196</v>
      </c>
      <c r="D108" s="65">
        <v>105.62799548853</v>
      </c>
      <c r="E108" s="65">
        <v>74.7537002925199</v>
      </c>
      <c r="F108" s="65">
        <v>61.8267315360433</v>
      </c>
      <c r="G108" s="65">
        <v>52.2482033723893</v>
      </c>
      <c r="H108" s="65">
        <v>41.7757673752845</v>
      </c>
      <c r="I108" s="65">
        <v>34.2337868493891</v>
      </c>
      <c r="J108" s="1"/>
      <c r="K108" s="1"/>
      <c r="L108" s="1"/>
      <c r="M108" s="1"/>
      <c r="N108" s="1"/>
    </row>
    <row r="109" ht="13.5" customHeight="1">
      <c r="A109" s="66" t="s">
        <v>57</v>
      </c>
      <c r="B109" s="64">
        <f>B110*0.9</f>
        <v>0</v>
      </c>
      <c r="C109" s="65">
        <v>174.12701500305</v>
      </c>
      <c r="D109" s="65">
        <v>107.91095799331</v>
      </c>
      <c r="E109" s="65">
        <v>76.4162946355107</v>
      </c>
      <c r="F109" s="65">
        <v>63.229811403608</v>
      </c>
      <c r="G109" s="65">
        <v>53.4591474696672</v>
      </c>
      <c r="H109" s="65">
        <v>42.7768856672965</v>
      </c>
      <c r="I109" s="65">
        <v>35.0840355961616</v>
      </c>
      <c r="J109" s="1"/>
      <c r="K109" s="1"/>
      <c r="L109" s="1"/>
      <c r="M109" s="1"/>
      <c r="N109" s="1"/>
    </row>
    <row r="110" ht="13.5" customHeight="1">
      <c r="A110" s="66" t="s">
        <v>58</v>
      </c>
      <c r="B110" s="64" t="str">
        <f>D55</f>
        <v/>
      </c>
      <c r="C110" s="65">
        <v>176.538515742463</v>
      </c>
      <c r="D110" s="65">
        <v>109.445159735529</v>
      </c>
      <c r="E110" s="65">
        <v>77.5335561217324</v>
      </c>
      <c r="F110" s="65">
        <v>64.1726576792842</v>
      </c>
      <c r="G110" s="65">
        <v>54.2728630254662</v>
      </c>
      <c r="H110" s="65">
        <v>43.449582019177</v>
      </c>
      <c r="I110" s="65">
        <v>35.6553365641458</v>
      </c>
      <c r="J110" s="1"/>
      <c r="K110" s="1"/>
      <c r="L110" s="1"/>
      <c r="M110" s="1"/>
      <c r="N110" s="1"/>
    </row>
    <row r="111" ht="13.5" customHeight="1">
      <c r="A111" s="1"/>
      <c r="B111" s="64">
        <f>B110*1.1</f>
        <v>0</v>
      </c>
      <c r="C111" s="65">
        <v>178.965451209413</v>
      </c>
      <c r="D111" s="65">
        <v>110.989138204819</v>
      </c>
      <c r="E111" s="65">
        <v>78.6579064315548</v>
      </c>
      <c r="F111" s="65">
        <v>65.1214688662894</v>
      </c>
      <c r="G111" s="65">
        <v>55.0917117241477</v>
      </c>
      <c r="H111" s="65">
        <v>44.1265036798644</v>
      </c>
      <c r="I111" s="65">
        <v>36.2302106023231</v>
      </c>
      <c r="J111" s="1"/>
      <c r="K111" s="1"/>
      <c r="L111" s="1"/>
      <c r="M111" s="1"/>
      <c r="N111" s="1"/>
    </row>
    <row r="112" ht="13.5" customHeight="1">
      <c r="A112" s="1"/>
      <c r="B112" s="64">
        <f>B110*1.25</f>
        <v>0</v>
      </c>
      <c r="C112" s="65">
        <v>182.63478072007</v>
      </c>
      <c r="D112" s="65">
        <v>113.323428526729</v>
      </c>
      <c r="E112" s="65">
        <v>80.3577170984488</v>
      </c>
      <c r="F112" s="65">
        <v>66.5558645183319</v>
      </c>
      <c r="G112" s="65">
        <v>56.3296048215581</v>
      </c>
      <c r="H112" s="65">
        <v>45.1498048431128</v>
      </c>
      <c r="I112" s="65">
        <v>37.0992179676087</v>
      </c>
      <c r="J112" s="1"/>
      <c r="K112" s="1"/>
      <c r="L112" s="1"/>
      <c r="M112" s="1"/>
      <c r="N112" s="1"/>
    </row>
    <row r="113" ht="13.5" customHeight="1">
      <c r="A113" s="1"/>
      <c r="B113" s="64">
        <f>B110*1.4</f>
        <v>0</v>
      </c>
      <c r="C113" s="65">
        <v>186.338802871944</v>
      </c>
      <c r="D113" s="65">
        <v>115.679693996672</v>
      </c>
      <c r="E113" s="65">
        <v>82.0734613102108</v>
      </c>
      <c r="F113" s="65">
        <v>68.0036674966169</v>
      </c>
      <c r="G113" s="65">
        <v>57.5790356785548</v>
      </c>
      <c r="H113" s="65">
        <v>46.1826032265591</v>
      </c>
      <c r="I113" s="65">
        <v>37.9762565158775</v>
      </c>
      <c r="J113" s="1"/>
      <c r="K113" s="1"/>
      <c r="L113" s="1"/>
      <c r="M113" s="1"/>
      <c r="N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3.5" customHeight="1">
      <c r="A116" s="1"/>
      <c r="B116" s="1"/>
      <c r="C116" s="1"/>
      <c r="D116" s="1"/>
      <c r="E116" s="1"/>
      <c r="F116" s="62" t="s">
        <v>56</v>
      </c>
      <c r="G116" s="1"/>
      <c r="H116" s="1"/>
      <c r="I116" s="1"/>
      <c r="J116" s="1"/>
      <c r="K116" s="1"/>
      <c r="L116" s="1"/>
      <c r="M116" s="1"/>
      <c r="N116" s="1"/>
    </row>
    <row r="117" ht="13.5" customHeight="1">
      <c r="A117" s="1"/>
      <c r="B117" s="63" t="str">
        <f>B104</f>
        <v>#DIV/0!</v>
      </c>
      <c r="C117" s="64">
        <f>F117*0.6</f>
        <v>0</v>
      </c>
      <c r="D117" s="64">
        <f>F117*0.75</f>
        <v>0</v>
      </c>
      <c r="E117" s="64">
        <f>F117*0.9</f>
        <v>0</v>
      </c>
      <c r="F117" s="64" t="str">
        <f>D54</f>
        <v/>
      </c>
      <c r="G117" s="64">
        <f>F117*1.1</f>
        <v>0</v>
      </c>
      <c r="H117" s="64">
        <f>F117*1.25</f>
        <v>0</v>
      </c>
      <c r="I117" s="64">
        <f>F117*1.4</f>
        <v>0</v>
      </c>
      <c r="J117" s="1"/>
      <c r="K117" s="1"/>
      <c r="L117" s="1"/>
      <c r="M117" s="1"/>
      <c r="N117" s="1"/>
    </row>
    <row r="118" ht="13.5" customHeight="1">
      <c r="A118" s="1"/>
      <c r="B118" s="46">
        <v>3.0</v>
      </c>
      <c r="C118" s="65">
        <v>176.538515742463</v>
      </c>
      <c r="D118" s="65">
        <v>109.445159735529</v>
      </c>
      <c r="E118" s="65">
        <v>77.5335561217324</v>
      </c>
      <c r="F118" s="65">
        <v>64.1726576792842</v>
      </c>
      <c r="G118" s="65">
        <v>54.2728630254662</v>
      </c>
      <c r="H118" s="65">
        <v>43.449582019177</v>
      </c>
      <c r="I118" s="65">
        <v>35.6553365641458</v>
      </c>
      <c r="J118" s="1"/>
      <c r="K118" s="1"/>
      <c r="L118" s="1"/>
      <c r="M118" s="1"/>
      <c r="N118" s="1"/>
    </row>
    <row r="119" ht="13.5" customHeight="1">
      <c r="A119" s="1"/>
      <c r="B119" s="46">
        <v>4.0</v>
      </c>
      <c r="C119" s="65">
        <v>185.593679625759</v>
      </c>
      <c r="D119" s="65">
        <v>115.151192963844</v>
      </c>
      <c r="E119" s="65">
        <v>81.649415676244</v>
      </c>
      <c r="F119" s="65">
        <v>67.6240060149651</v>
      </c>
      <c r="G119" s="65">
        <v>57.2327001447936</v>
      </c>
      <c r="H119" s="65">
        <v>45.8733717928723</v>
      </c>
      <c r="I119" s="65">
        <v>37.694412691216</v>
      </c>
      <c r="J119" s="1"/>
      <c r="K119" s="1"/>
      <c r="L119" s="1"/>
      <c r="M119" s="1"/>
      <c r="N119" s="1"/>
    </row>
    <row r="120" ht="13.5" customHeight="1">
      <c r="A120" s="1"/>
      <c r="B120" s="46">
        <v>5.0</v>
      </c>
      <c r="C120" s="65">
        <v>194.949342870028</v>
      </c>
      <c r="D120" s="65">
        <v>120.995000362865</v>
      </c>
      <c r="E120" s="65">
        <v>85.8280919326492</v>
      </c>
      <c r="F120" s="65">
        <v>71.1078835526788</v>
      </c>
      <c r="G120" s="65">
        <v>60.203354773975</v>
      </c>
      <c r="H120" s="65">
        <v>48.2853382018178</v>
      </c>
      <c r="I120" s="65">
        <v>39.7064363986898</v>
      </c>
      <c r="J120" s="1"/>
      <c r="K120" s="1"/>
      <c r="L120" s="1"/>
      <c r="M120" s="1"/>
      <c r="N120" s="1"/>
    </row>
    <row r="121" ht="13.5" customHeight="1">
      <c r="A121" s="66" t="s">
        <v>59</v>
      </c>
      <c r="B121" s="46">
        <v>6.0</v>
      </c>
      <c r="C121" s="65">
        <v>204.615477670928</v>
      </c>
      <c r="D121" s="65">
        <v>126.979908538195</v>
      </c>
      <c r="E121" s="65">
        <v>90.0705436063719</v>
      </c>
      <c r="F121" s="65">
        <v>74.6245968824539</v>
      </c>
      <c r="G121" s="65">
        <v>63.1848664484698</v>
      </c>
      <c r="H121" s="65">
        <v>50.6855389209636</v>
      </c>
      <c r="I121" s="65">
        <v>41.6917665909732</v>
      </c>
      <c r="J121" s="1"/>
      <c r="K121" s="1"/>
      <c r="L121" s="1"/>
      <c r="M121" s="1"/>
      <c r="N121" s="1"/>
    </row>
    <row r="122" ht="13.5" customHeight="1">
      <c r="A122" s="66" t="s">
        <v>60</v>
      </c>
      <c r="B122" s="46">
        <v>7.0</v>
      </c>
      <c r="C122" s="65">
        <v>214.602387155554</v>
      </c>
      <c r="D122" s="65">
        <v>133.109324417496</v>
      </c>
      <c r="E122" s="65">
        <v>94.377744044856</v>
      </c>
      <c r="F122" s="65">
        <v>78.1744554839517</v>
      </c>
      <c r="G122" s="65">
        <v>66.1772748482297</v>
      </c>
      <c r="H122" s="65">
        <v>53.0740313439185</v>
      </c>
      <c r="I122" s="65">
        <v>43.6507574108881</v>
      </c>
      <c r="J122" s="1"/>
      <c r="K122" s="1"/>
      <c r="L122" s="1"/>
      <c r="M122" s="1"/>
      <c r="N122" s="1"/>
    </row>
    <row r="123" ht="13.5" customHeight="1">
      <c r="A123" s="1"/>
      <c r="B123" s="46">
        <v>8.0</v>
      </c>
      <c r="C123" s="65">
        <v>224.92071636454</v>
      </c>
      <c r="D123" s="65">
        <v>139.386737189889</v>
      </c>
      <c r="E123" s="65">
        <v>98.7506814508817</v>
      </c>
      <c r="F123" s="65">
        <v>81.757771753701</v>
      </c>
      <c r="G123" s="65">
        <v>69.1806197982278</v>
      </c>
      <c r="H123" s="65">
        <v>55.4508725843223</v>
      </c>
      <c r="I123" s="65">
        <v>45.5837583028439</v>
      </c>
      <c r="J123" s="1"/>
      <c r="K123" s="1"/>
      <c r="L123" s="1"/>
      <c r="M123" s="1"/>
      <c r="N123" s="1"/>
    </row>
    <row r="124" ht="13.5" customHeight="1">
      <c r="A124" s="1"/>
      <c r="B124" s="46">
        <v>9.0</v>
      </c>
      <c r="C124" s="65">
        <v>235.581463598597</v>
      </c>
      <c r="D124" s="65">
        <v>145.815720292192</v>
      </c>
      <c r="E124" s="65">
        <v>103.190359109289</v>
      </c>
      <c r="F124" s="65">
        <v>85.3748610325904</v>
      </c>
      <c r="G124" s="65">
        <v>72.1949412689878</v>
      </c>
      <c r="H124" s="65">
        <v>57.816119477212</v>
      </c>
      <c r="I124" s="65">
        <v>47.4911140751718</v>
      </c>
      <c r="J124" s="1"/>
      <c r="K124" s="1"/>
      <c r="L124" s="1"/>
      <c r="M124" s="1"/>
      <c r="N124" s="1"/>
    </row>
    <row r="125" ht="13.5" customHeight="1">
      <c r="A125" s="1"/>
      <c r="B125" s="46">
        <v>10.0</v>
      </c>
      <c r="C125" s="65">
        <v>246.595992141599</v>
      </c>
      <c r="D125" s="65">
        <v>152.399933443105</v>
      </c>
      <c r="E125" s="65">
        <v>107.69779561716</v>
      </c>
      <c r="F125" s="65">
        <v>89.0260416336182</v>
      </c>
      <c r="G125" s="65">
        <v>75.2202793771163</v>
      </c>
      <c r="H125" s="65">
        <v>60.1698285803803</v>
      </c>
      <c r="I125" s="65">
        <v>49.3731649616312</v>
      </c>
      <c r="J125" s="1"/>
      <c r="K125" s="1"/>
      <c r="L125" s="1"/>
      <c r="M125" s="1"/>
      <c r="N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3.5" customHeight="1">
      <c r="A127" s="1"/>
      <c r="B127" s="1"/>
      <c r="C127" s="1"/>
      <c r="D127" s="1"/>
      <c r="E127" s="1"/>
      <c r="F127" s="62" t="s">
        <v>56</v>
      </c>
      <c r="G127" s="1"/>
      <c r="H127" s="1"/>
      <c r="I127" s="1"/>
      <c r="J127" s="1"/>
      <c r="K127" s="1"/>
      <c r="L127" s="1"/>
      <c r="M127" s="1"/>
      <c r="N127" s="1"/>
    </row>
    <row r="128" ht="13.5" customHeight="1">
      <c r="A128" s="1"/>
      <c r="B128" s="63" t="str">
        <f>B104</f>
        <v>#DIV/0!</v>
      </c>
      <c r="C128" s="64">
        <f>F128*0.6</f>
        <v>0</v>
      </c>
      <c r="D128" s="64">
        <f>F128*0.75</f>
        <v>0</v>
      </c>
      <c r="E128" s="64">
        <f>F128*0.9</f>
        <v>0</v>
      </c>
      <c r="F128" s="64" t="str">
        <f>F117</f>
        <v/>
      </c>
      <c r="G128" s="64">
        <f>F128*1.1</f>
        <v>0</v>
      </c>
      <c r="H128" s="64">
        <f>F128*1.25</f>
        <v>0</v>
      </c>
      <c r="I128" s="64">
        <f>F128*1.4</f>
        <v>0</v>
      </c>
      <c r="J128" s="1"/>
      <c r="K128" s="1"/>
      <c r="L128" s="1"/>
      <c r="M128" s="1"/>
      <c r="N128" s="1"/>
    </row>
    <row r="129" ht="13.5" customHeight="1">
      <c r="A129" s="1"/>
      <c r="B129" s="64">
        <v>0.0</v>
      </c>
      <c r="C129" s="65">
        <v>78.236141530173</v>
      </c>
      <c r="D129" s="65">
        <v>60.0670065672119</v>
      </c>
      <c r="E129" s="65">
        <v>47.9564863622536</v>
      </c>
      <c r="F129" s="65">
        <v>41.9023123885337</v>
      </c>
      <c r="G129" s="65">
        <v>36.9496675091403</v>
      </c>
      <c r="H129" s="65">
        <v>31.0077330302173</v>
      </c>
      <c r="I129" s="65">
        <v>26.3403609282597</v>
      </c>
      <c r="J129" s="1"/>
      <c r="K129" s="1"/>
      <c r="L129" s="1"/>
      <c r="M129" s="1"/>
      <c r="N129" s="1"/>
    </row>
    <row r="130" ht="13.5" customHeight="1">
      <c r="A130" s="1"/>
      <c r="B130" s="64">
        <f>B133*0.5</f>
        <v>0</v>
      </c>
      <c r="C130" s="65">
        <v>108.90943874679</v>
      </c>
      <c r="D130" s="65">
        <v>77.8500477432141</v>
      </c>
      <c r="E130" s="65">
        <v>59.4513609124297</v>
      </c>
      <c r="F130" s="65">
        <v>50.8541178485412</v>
      </c>
      <c r="G130" s="65">
        <v>44.094347971653</v>
      </c>
      <c r="H130" s="65">
        <v>36.2896500538322</v>
      </c>
      <c r="I130" s="65">
        <v>30.3801447915684</v>
      </c>
      <c r="J130" s="1"/>
      <c r="K130" s="1"/>
      <c r="L130" s="1"/>
      <c r="M130" s="1"/>
      <c r="N130" s="1"/>
    </row>
    <row r="131" ht="13.5" customHeight="1">
      <c r="A131" s="66" t="s">
        <v>61</v>
      </c>
      <c r="B131" s="64">
        <f>0.75*B133</f>
        <v>0</v>
      </c>
      <c r="C131" s="65">
        <v>134.896537777535</v>
      </c>
      <c r="D131" s="65">
        <v>91.0788954473133</v>
      </c>
      <c r="E131" s="65">
        <v>67.359488892438</v>
      </c>
      <c r="F131" s="65">
        <v>56.7895540774593</v>
      </c>
      <c r="G131" s="65">
        <v>48.6951930679544</v>
      </c>
      <c r="H131" s="65">
        <v>39.5773739154701</v>
      </c>
      <c r="I131" s="65">
        <v>32.8304114245695</v>
      </c>
      <c r="J131" s="1"/>
      <c r="K131" s="1"/>
      <c r="L131" s="1"/>
      <c r="M131" s="1"/>
      <c r="N131" s="1"/>
    </row>
    <row r="132" ht="13.5" customHeight="1">
      <c r="A132" s="66" t="s">
        <v>62</v>
      </c>
      <c r="B132" s="64">
        <f>B133*0.9</f>
        <v>0</v>
      </c>
      <c r="C132" s="65">
        <v>157.195145332948</v>
      </c>
      <c r="D132" s="65">
        <v>101.304437186158</v>
      </c>
      <c r="E132" s="65">
        <v>73.1330652550783</v>
      </c>
      <c r="F132" s="65">
        <v>61.0133761380382</v>
      </c>
      <c r="G132" s="65">
        <v>51.9054772430926</v>
      </c>
      <c r="H132" s="65">
        <v>41.8209279669741</v>
      </c>
      <c r="I132" s="65">
        <v>34.4750711052368</v>
      </c>
      <c r="J132" s="1"/>
      <c r="K132" s="1"/>
      <c r="L132" s="1"/>
      <c r="M132" s="1"/>
      <c r="N132" s="1"/>
    </row>
    <row r="133" ht="13.5" customHeight="1">
      <c r="A133" s="1"/>
      <c r="B133" s="64" t="str">
        <f>D56</f>
        <v/>
      </c>
      <c r="C133" s="65">
        <v>176.538515742463</v>
      </c>
      <c r="D133" s="65">
        <v>109.445159735529</v>
      </c>
      <c r="E133" s="65">
        <v>77.5335561217324</v>
      </c>
      <c r="F133" s="65">
        <v>64.1726576792842</v>
      </c>
      <c r="G133" s="65">
        <v>54.2728630254662</v>
      </c>
      <c r="H133" s="65">
        <v>43.449582019177</v>
      </c>
      <c r="I133" s="65">
        <v>35.6553365641458</v>
      </c>
      <c r="J133" s="1"/>
      <c r="K133" s="1"/>
      <c r="L133" s="1"/>
      <c r="M133" s="1"/>
      <c r="N133" s="1"/>
    </row>
    <row r="134" ht="13.5" customHeight="1">
      <c r="A134" s="1"/>
      <c r="B134" s="64">
        <f>1.1*B133</f>
        <v>0</v>
      </c>
      <c r="C134" s="65">
        <v>201.181439688832</v>
      </c>
      <c r="D134" s="65">
        <v>118.956951345847</v>
      </c>
      <c r="E134" s="65">
        <v>82.4690610755178</v>
      </c>
      <c r="F134" s="65">
        <v>67.6559680965554</v>
      </c>
      <c r="G134" s="65">
        <v>56.8502165047245</v>
      </c>
      <c r="H134" s="65">
        <v>45.1983211627865</v>
      </c>
      <c r="I134" s="65">
        <v>36.9100667207778</v>
      </c>
      <c r="J134" s="1"/>
      <c r="K134" s="1"/>
      <c r="L134" s="1"/>
      <c r="M134" s="1"/>
      <c r="N134" s="1"/>
    </row>
    <row r="135" ht="13.5" customHeight="1">
      <c r="A135" s="1"/>
      <c r="B135" s="64">
        <f>1.25*B133</f>
        <v>0</v>
      </c>
      <c r="C135" s="65">
        <v>254.078750573709</v>
      </c>
      <c r="D135" s="65">
        <v>136.662635728908</v>
      </c>
      <c r="E135" s="65">
        <v>91.110321421025</v>
      </c>
      <c r="F135" s="65">
        <v>73.6066233927271</v>
      </c>
      <c r="G135" s="65">
        <v>61.175395205665</v>
      </c>
      <c r="H135" s="65">
        <v>48.0773429236071</v>
      </c>
      <c r="I135" s="65">
        <v>38.9479645414003</v>
      </c>
      <c r="J135" s="1"/>
      <c r="K135" s="1"/>
      <c r="L135" s="1"/>
      <c r="M135" s="1"/>
      <c r="N135" s="1"/>
    </row>
    <row r="136" ht="13.5" customHeight="1">
      <c r="A136" s="1"/>
      <c r="B136" s="64">
        <f>1.5*B133</f>
        <v>0</v>
      </c>
      <c r="C136" s="65">
        <v>449.104189694722</v>
      </c>
      <c r="D136" s="65">
        <v>181.161048860941</v>
      </c>
      <c r="E136" s="65">
        <v>110.139602904772</v>
      </c>
      <c r="F136" s="65">
        <v>86.0838038524419</v>
      </c>
      <c r="G136" s="65">
        <v>69.9384481891518</v>
      </c>
      <c r="H136" s="65">
        <v>53.7057007803464</v>
      </c>
      <c r="I136" s="65">
        <v>42.8349296986646</v>
      </c>
      <c r="J136" s="1"/>
      <c r="K136" s="1"/>
      <c r="L136" s="1"/>
      <c r="M136" s="1"/>
      <c r="N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3.5" customHeight="1">
      <c r="A139" s="21" t="s">
        <v>71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3.5" customHeight="1">
      <c r="A141" s="69"/>
      <c r="B141" s="69" t="s">
        <v>72</v>
      </c>
      <c r="C141" s="69" t="s">
        <v>73</v>
      </c>
      <c r="D141" s="69" t="s">
        <v>74</v>
      </c>
      <c r="E141" s="69" t="s">
        <v>75</v>
      </c>
      <c r="F141" s="69" t="s">
        <v>76</v>
      </c>
      <c r="G141" s="69" t="s">
        <v>77</v>
      </c>
      <c r="H141" s="1"/>
      <c r="I141" s="1"/>
      <c r="J141" s="1"/>
      <c r="K141" s="1"/>
      <c r="L141" s="1"/>
      <c r="M141" s="1"/>
      <c r="N141" s="1"/>
    </row>
    <row r="142" ht="13.5" customHeight="1">
      <c r="A142" s="46" t="s">
        <v>78</v>
      </c>
      <c r="B142" s="70"/>
      <c r="C142" s="70"/>
      <c r="D142" s="70"/>
      <c r="E142" s="70"/>
      <c r="F142" s="70"/>
      <c r="G142" s="70"/>
      <c r="H142" s="71"/>
      <c r="I142" s="1"/>
      <c r="J142" s="1"/>
      <c r="K142" s="1"/>
      <c r="L142" s="1"/>
      <c r="M142" s="1"/>
      <c r="N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5"/>
      <c r="L143" s="25"/>
      <c r="M143" s="25"/>
      <c r="N143" s="25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5"/>
      <c r="M144" s="25"/>
      <c r="N144" s="25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25"/>
      <c r="K145" s="25"/>
      <c r="L145" s="25"/>
      <c r="M145" s="25"/>
      <c r="N145" s="25"/>
    </row>
    <row r="146" ht="13.5" customHeight="1">
      <c r="A146" s="72" t="s">
        <v>79</v>
      </c>
      <c r="B146" s="17"/>
      <c r="C146" s="1"/>
      <c r="D146" s="73" t="s">
        <v>80</v>
      </c>
      <c r="E146" s="1"/>
      <c r="F146" s="1"/>
      <c r="G146" s="1"/>
      <c r="H146" s="1"/>
      <c r="I146" s="1"/>
      <c r="J146" s="25"/>
      <c r="K146" s="25"/>
      <c r="L146" s="1"/>
      <c r="M146" s="1"/>
      <c r="N146" s="1"/>
    </row>
    <row r="147" ht="13.5" customHeight="1">
      <c r="A147" s="74" t="s">
        <v>81</v>
      </c>
      <c r="B147" s="17"/>
      <c r="C147" s="1"/>
      <c r="D147" s="38" t="str">
        <f>(G142/B142)^(1/5)-1</f>
        <v>#DIV/0!</v>
      </c>
      <c r="E147" s="1"/>
      <c r="F147" s="1"/>
      <c r="G147" s="1"/>
      <c r="H147" s="1"/>
      <c r="I147" s="1"/>
      <c r="J147" s="25"/>
      <c r="K147" s="1"/>
      <c r="L147" s="1"/>
      <c r="M147" s="1"/>
      <c r="N147" s="1"/>
    </row>
    <row r="148" ht="13.5" customHeight="1">
      <c r="A148" s="73" t="s">
        <v>82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3.5" customHeight="1">
      <c r="A149" s="74" t="s">
        <v>83</v>
      </c>
      <c r="B149" s="2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3.5" customHeight="1">
      <c r="A151" s="75" t="s">
        <v>84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3.5" customHeight="1">
      <c r="A152" s="76" t="s">
        <v>85</v>
      </c>
      <c r="B152" s="17"/>
      <c r="C152" s="1"/>
      <c r="D152" s="77" t="s">
        <v>87</v>
      </c>
      <c r="E152" s="78"/>
      <c r="F152" s="78"/>
      <c r="G152" s="78"/>
      <c r="H152" s="1"/>
      <c r="I152" s="1"/>
      <c r="J152" s="1"/>
      <c r="K152" s="1"/>
      <c r="L152" s="1"/>
      <c r="M152" s="1"/>
      <c r="N152" s="1"/>
    </row>
    <row r="153" ht="13.5" customHeight="1">
      <c r="A153" s="73" t="s">
        <v>82</v>
      </c>
      <c r="B153" s="1"/>
      <c r="C153" s="1"/>
      <c r="D153" s="1" t="s">
        <v>88</v>
      </c>
      <c r="E153" s="1"/>
      <c r="F153" s="1"/>
      <c r="G153" s="26"/>
      <c r="H153" s="1"/>
      <c r="I153" s="1"/>
      <c r="J153" s="1"/>
      <c r="K153" s="1"/>
      <c r="L153" s="1"/>
      <c r="M153" s="1"/>
      <c r="N153" s="1"/>
    </row>
    <row r="154" ht="13.5" customHeight="1">
      <c r="A154" s="79" t="s">
        <v>89</v>
      </c>
      <c r="B154" s="26"/>
      <c r="C154" s="1"/>
      <c r="D154" s="1" t="s">
        <v>90</v>
      </c>
      <c r="E154" s="1"/>
      <c r="F154" s="1"/>
      <c r="G154" s="26"/>
      <c r="H154" s="1"/>
      <c r="I154" s="1"/>
      <c r="J154" s="1"/>
      <c r="K154" s="1"/>
      <c r="L154" s="1"/>
      <c r="M154" s="1"/>
      <c r="N154" s="1"/>
    </row>
    <row r="155" ht="13.5" customHeight="1">
      <c r="A155" s="79" t="s">
        <v>91</v>
      </c>
      <c r="B155" s="26"/>
      <c r="C155" s="1"/>
      <c r="D155" s="1" t="s">
        <v>92</v>
      </c>
      <c r="E155" s="1"/>
      <c r="F155" s="1"/>
      <c r="G155" s="26"/>
      <c r="H155" s="1"/>
      <c r="I155" s="1"/>
      <c r="J155" s="1"/>
      <c r="K155" s="1"/>
      <c r="L155" s="1"/>
      <c r="M155" s="1"/>
      <c r="N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3.5" customHeight="1">
      <c r="A157" s="79" t="s">
        <v>93</v>
      </c>
      <c r="B157" s="8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3.5" customHeight="1">
      <c r="A159" s="1"/>
      <c r="B159" s="46"/>
      <c r="C159" s="46">
        <v>0.0</v>
      </c>
      <c r="D159" s="46">
        <v>1.0</v>
      </c>
      <c r="E159" s="46">
        <v>2.0</v>
      </c>
      <c r="F159" s="46">
        <v>3.0</v>
      </c>
      <c r="G159" s="46">
        <f t="shared" ref="G159:M159" si="21">IF(AND((F159+1)&lt;=$B$157,F159&gt;0),F159+1,0)</f>
        <v>0</v>
      </c>
      <c r="H159" s="46">
        <f t="shared" si="21"/>
        <v>0</v>
      </c>
      <c r="I159" s="46">
        <f t="shared" si="21"/>
        <v>0</v>
      </c>
      <c r="J159" s="46">
        <f t="shared" si="21"/>
        <v>0</v>
      </c>
      <c r="K159" s="46">
        <f t="shared" si="21"/>
        <v>0</v>
      </c>
      <c r="L159" s="46">
        <f t="shared" si="21"/>
        <v>0</v>
      </c>
      <c r="M159" s="46">
        <f t="shared" si="21"/>
        <v>0</v>
      </c>
      <c r="N159" s="47" t="s">
        <v>45</v>
      </c>
    </row>
    <row r="160" ht="13.5" customHeight="1">
      <c r="A160" s="1"/>
      <c r="B160" s="46" t="s">
        <v>94</v>
      </c>
      <c r="C160" s="65" t="str">
        <f>B19</f>
        <v/>
      </c>
      <c r="D160" s="65">
        <f t="shared" ref="D160:M160" si="22">IF(AND(D159&gt;0,$B$152="yes"),C160*(1+$B$34),IF(AND(D159&gt;0,$B$152="no"),C160*(1+$B$154),0))</f>
        <v>0</v>
      </c>
      <c r="E160" s="65">
        <f t="shared" si="22"/>
        <v>0</v>
      </c>
      <c r="F160" s="65">
        <f t="shared" si="22"/>
        <v>0</v>
      </c>
      <c r="G160" s="65">
        <f t="shared" si="22"/>
        <v>0</v>
      </c>
      <c r="H160" s="65">
        <f t="shared" si="22"/>
        <v>0</v>
      </c>
      <c r="I160" s="65">
        <f t="shared" si="22"/>
        <v>0</v>
      </c>
      <c r="J160" s="65">
        <f t="shared" si="22"/>
        <v>0</v>
      </c>
      <c r="K160" s="65">
        <f t="shared" si="22"/>
        <v>0</v>
      </c>
      <c r="L160" s="65">
        <f t="shared" si="22"/>
        <v>0</v>
      </c>
      <c r="M160" s="65">
        <f t="shared" si="22"/>
        <v>0</v>
      </c>
      <c r="N160" s="51"/>
    </row>
    <row r="161" ht="13.5" customHeight="1">
      <c r="A161" s="1"/>
      <c r="B161" s="46" t="s">
        <v>95</v>
      </c>
      <c r="C161" s="65">
        <f>$B$146*C160</f>
        <v>0</v>
      </c>
      <c r="D161" s="65">
        <f t="shared" ref="D161:M161" si="23">IF($B$147="yes",$B$146*D160,$B$149*D160)</f>
        <v>0</v>
      </c>
      <c r="E161" s="65">
        <f t="shared" si="23"/>
        <v>0</v>
      </c>
      <c r="F161" s="65">
        <f t="shared" si="23"/>
        <v>0</v>
      </c>
      <c r="G161" s="65">
        <f t="shared" si="23"/>
        <v>0</v>
      </c>
      <c r="H161" s="65">
        <f t="shared" si="23"/>
        <v>0</v>
      </c>
      <c r="I161" s="65">
        <f t="shared" si="23"/>
        <v>0</v>
      </c>
      <c r="J161" s="65">
        <f t="shared" si="23"/>
        <v>0</v>
      </c>
      <c r="K161" s="65">
        <f t="shared" si="23"/>
        <v>0</v>
      </c>
      <c r="L161" s="65">
        <f t="shared" si="23"/>
        <v>0</v>
      </c>
      <c r="M161" s="65">
        <f t="shared" si="23"/>
        <v>0</v>
      </c>
      <c r="N161" s="65" t="str">
        <f>HLOOKUP($B$157,D159:M161,3,FALSE)*(1+IF(B152="YES",$B$35,$B$155))/($B$28-$B$35)</f>
        <v>#DIV/0!</v>
      </c>
    </row>
    <row r="162" ht="13.5" customHeight="1">
      <c r="A162" s="1"/>
      <c r="B162" s="4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3.5" customHeight="1">
      <c r="A163" s="1"/>
      <c r="B163" s="46" t="s">
        <v>96</v>
      </c>
      <c r="C163" s="1"/>
      <c r="D163" s="65">
        <f t="shared" ref="D163:E163" si="24">D161</f>
        <v>0</v>
      </c>
      <c r="E163" s="65">
        <f t="shared" si="24"/>
        <v>0</v>
      </c>
      <c r="F163" s="65">
        <f t="shared" ref="F163:L163" si="25">IF(AND(G159=0,F160&gt;0),F160+$N$161,F160)</f>
        <v>0</v>
      </c>
      <c r="G163" s="65">
        <f t="shared" si="25"/>
        <v>0</v>
      </c>
      <c r="H163" s="65">
        <f t="shared" si="25"/>
        <v>0</v>
      </c>
      <c r="I163" s="65">
        <f t="shared" si="25"/>
        <v>0</v>
      </c>
      <c r="J163" s="65">
        <f t="shared" si="25"/>
        <v>0</v>
      </c>
      <c r="K163" s="65">
        <f t="shared" si="25"/>
        <v>0</v>
      </c>
      <c r="L163" s="65">
        <f t="shared" si="25"/>
        <v>0</v>
      </c>
      <c r="M163" s="65">
        <f>IF(AND(N159="Horizon Value",M160&gt;0),M160+$N$161,M160)</f>
        <v>0</v>
      </c>
      <c r="N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8.0" customHeight="1">
      <c r="A165" s="57" t="s">
        <v>97</v>
      </c>
      <c r="B165" s="58" t="str">
        <f t="array" ref="B165">NPV(B28,D163:M163)</f>
        <v>#DIV/0!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3.5" customHeight="1">
      <c r="A168" s="1"/>
      <c r="B168" s="1"/>
      <c r="C168" s="1"/>
      <c r="D168" s="1"/>
      <c r="E168" s="1"/>
      <c r="F168" s="62" t="s">
        <v>56</v>
      </c>
      <c r="G168" s="1"/>
      <c r="H168" s="1"/>
      <c r="I168" s="1"/>
      <c r="J168" s="1"/>
      <c r="K168" s="1"/>
      <c r="L168" s="1"/>
      <c r="M168" s="1"/>
      <c r="N168" s="1"/>
    </row>
    <row r="169" ht="13.5" customHeight="1">
      <c r="A169" s="1"/>
      <c r="B169" s="81" t="str">
        <f>B165</f>
        <v>#DIV/0!</v>
      </c>
      <c r="C169" s="64">
        <f>F169*0.6</f>
        <v>0</v>
      </c>
      <c r="D169" s="64">
        <f>F169*0.75</f>
        <v>0</v>
      </c>
      <c r="E169" s="64">
        <f>F169*0.9</f>
        <v>0</v>
      </c>
      <c r="F169" s="64" t="str">
        <f>G153</f>
        <v/>
      </c>
      <c r="G169" s="64">
        <f>F169*1.1</f>
        <v>0</v>
      </c>
      <c r="H169" s="64">
        <f>F169*1.25</f>
        <v>0</v>
      </c>
      <c r="I169" s="64">
        <f>F169*1.4</f>
        <v>0</v>
      </c>
      <c r="J169" s="1"/>
      <c r="K169" s="1"/>
      <c r="L169" s="1"/>
      <c r="M169" s="1"/>
      <c r="N169" s="1"/>
    </row>
    <row r="170" ht="13.5" customHeight="1">
      <c r="A170" s="1"/>
      <c r="B170" s="64">
        <f>B173*0.7</f>
        <v>0</v>
      </c>
      <c r="C170" s="65">
        <v>99.3017696654273</v>
      </c>
      <c r="D170" s="65">
        <v>64.4610361714501</v>
      </c>
      <c r="E170" s="65">
        <v>47.8703607531645</v>
      </c>
      <c r="F170" s="65">
        <v>40.9153574205978</v>
      </c>
      <c r="G170" s="65">
        <v>35.7561861756911</v>
      </c>
      <c r="H170" s="65">
        <v>30.1069452022669</v>
      </c>
      <c r="I170" s="65">
        <v>26.0300433043642</v>
      </c>
      <c r="J170" s="1"/>
      <c r="K170" s="1"/>
      <c r="L170" s="1"/>
      <c r="M170" s="1"/>
      <c r="N170" s="1"/>
    </row>
    <row r="171" ht="13.5" customHeight="1">
      <c r="A171" s="1"/>
      <c r="B171" s="64">
        <f>B173*0.8</f>
        <v>0</v>
      </c>
      <c r="C171" s="65">
        <v>113.045002552795</v>
      </c>
      <c r="D171" s="65">
        <v>73.2385414058679</v>
      </c>
      <c r="E171" s="65">
        <v>54.2888932614673</v>
      </c>
      <c r="F171" s="65">
        <v>46.3475221161164</v>
      </c>
      <c r="G171" s="65">
        <v>40.4583667135949</v>
      </c>
      <c r="H171" s="65">
        <v>34.0123547572345</v>
      </c>
      <c r="I171" s="65">
        <v>29.3629585715855</v>
      </c>
      <c r="J171" s="1"/>
      <c r="K171" s="1"/>
      <c r="L171" s="1"/>
      <c r="M171" s="1"/>
      <c r="N171" s="1"/>
    </row>
    <row r="172" ht="13.5" customHeight="1">
      <c r="A172" s="66" t="s">
        <v>98</v>
      </c>
      <c r="B172" s="64">
        <f>B173*0.9</f>
        <v>0</v>
      </c>
      <c r="C172" s="65">
        <v>126.788235440164</v>
      </c>
      <c r="D172" s="65">
        <v>82.0160466402857</v>
      </c>
      <c r="E172" s="65">
        <v>60.7074257697701</v>
      </c>
      <c r="F172" s="65">
        <v>51.7796868116351</v>
      </c>
      <c r="G172" s="65">
        <v>45.1605472514988</v>
      </c>
      <c r="H172" s="65">
        <v>37.9177643122021</v>
      </c>
      <c r="I172" s="65">
        <v>32.6958738388068</v>
      </c>
      <c r="J172" s="1"/>
      <c r="K172" s="1"/>
      <c r="L172" s="1"/>
      <c r="M172" s="1"/>
      <c r="N172" s="1"/>
    </row>
    <row r="173" ht="13.5" customHeight="1">
      <c r="A173" s="66" t="s">
        <v>99</v>
      </c>
      <c r="B173" s="64" t="str">
        <f>G154</f>
        <v/>
      </c>
      <c r="C173" s="65">
        <v>140.531468327532</v>
      </c>
      <c r="D173" s="65">
        <v>90.7935518747035</v>
      </c>
      <c r="E173" s="65">
        <v>67.1259582780728</v>
      </c>
      <c r="F173" s="65">
        <v>57.2118515071538</v>
      </c>
      <c r="G173" s="65">
        <v>49.8627277894025</v>
      </c>
      <c r="H173" s="65">
        <v>41.8231738671697</v>
      </c>
      <c r="I173" s="65">
        <v>36.0287891060281</v>
      </c>
      <c r="J173" s="1"/>
      <c r="K173" s="1"/>
      <c r="L173" s="1"/>
      <c r="M173" s="1"/>
      <c r="N173" s="1"/>
    </row>
    <row r="174" ht="13.5" customHeight="1">
      <c r="A174" s="1"/>
      <c r="B174" s="64">
        <f>B173*1.1</f>
        <v>0</v>
      </c>
      <c r="C174" s="65">
        <v>154.2747012149</v>
      </c>
      <c r="D174" s="65">
        <v>99.5710571091212</v>
      </c>
      <c r="E174" s="65">
        <v>73.5444907863756</v>
      </c>
      <c r="F174" s="65">
        <v>62.6440162026725</v>
      </c>
      <c r="G174" s="65">
        <v>54.5649083273064</v>
      </c>
      <c r="H174" s="65">
        <v>45.7285834221372</v>
      </c>
      <c r="I174" s="65">
        <v>39.3617043732494</v>
      </c>
      <c r="J174" s="1"/>
      <c r="K174" s="1"/>
      <c r="L174" s="1"/>
      <c r="M174" s="1"/>
      <c r="N174" s="1"/>
    </row>
    <row r="175" ht="13.5" customHeight="1">
      <c r="A175" s="1"/>
      <c r="B175" s="64">
        <f>B173*1.2</f>
        <v>0</v>
      </c>
      <c r="C175" s="65">
        <v>168.017934102268</v>
      </c>
      <c r="D175" s="65">
        <v>108.348562343539</v>
      </c>
      <c r="E175" s="65">
        <v>79.9630232946784</v>
      </c>
      <c r="F175" s="65">
        <v>68.0761808981912</v>
      </c>
      <c r="G175" s="65">
        <v>59.2670888652102</v>
      </c>
      <c r="H175" s="65">
        <v>49.6339929771048</v>
      </c>
      <c r="I175" s="65">
        <v>42.6946196404707</v>
      </c>
      <c r="J175" s="1"/>
      <c r="K175" s="1"/>
      <c r="L175" s="1"/>
      <c r="M175" s="1"/>
      <c r="N175" s="1"/>
    </row>
    <row r="176" ht="13.5" customHeight="1">
      <c r="A176" s="1"/>
      <c r="B176" s="64">
        <f>B173*1.3</f>
        <v>0</v>
      </c>
      <c r="C176" s="65">
        <v>181.761166989636</v>
      </c>
      <c r="D176" s="65">
        <v>117.126067577957</v>
      </c>
      <c r="E176" s="65">
        <v>86.3815558029811</v>
      </c>
      <c r="F176" s="65">
        <v>73.5083455937098</v>
      </c>
      <c r="G176" s="65">
        <v>63.969269403114</v>
      </c>
      <c r="H176" s="65">
        <v>53.5394025320724</v>
      </c>
      <c r="I176" s="65">
        <v>46.027534907692</v>
      </c>
      <c r="J176" s="1"/>
      <c r="K176" s="1"/>
      <c r="L176" s="1"/>
      <c r="M176" s="1"/>
      <c r="N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3.5" customHeight="1">
      <c r="A179" s="1"/>
      <c r="B179" s="1"/>
      <c r="C179" s="1"/>
      <c r="D179" s="1"/>
      <c r="E179" s="1"/>
      <c r="F179" s="62" t="s">
        <v>56</v>
      </c>
      <c r="G179" s="1"/>
      <c r="H179" s="1"/>
      <c r="I179" s="1"/>
      <c r="J179" s="1"/>
      <c r="K179" s="1"/>
      <c r="L179" s="1"/>
      <c r="M179" s="1"/>
      <c r="N179" s="1"/>
    </row>
    <row r="180" ht="13.5" customHeight="1">
      <c r="A180" s="1"/>
      <c r="B180" s="81" t="str">
        <f>B165</f>
        <v>#DIV/0!</v>
      </c>
      <c r="C180" s="64">
        <f>F180*0.6</f>
        <v>0</v>
      </c>
      <c r="D180" s="64">
        <f>F180*0.75</f>
        <v>0</v>
      </c>
      <c r="E180" s="64">
        <f>F180*0.9</f>
        <v>0</v>
      </c>
      <c r="F180" s="64" t="str">
        <f>G153</f>
        <v/>
      </c>
      <c r="G180" s="64">
        <f>F180*1.1</f>
        <v>0</v>
      </c>
      <c r="H180" s="64">
        <f>F180*1.25</f>
        <v>0</v>
      </c>
      <c r="I180" s="64">
        <f>F180*1.4</f>
        <v>0</v>
      </c>
      <c r="J180" s="1"/>
      <c r="K180" s="1"/>
      <c r="L180" s="1"/>
      <c r="M180" s="1"/>
      <c r="N180" s="1"/>
    </row>
    <row r="181" ht="13.5" customHeight="1">
      <c r="A181" s="1"/>
      <c r="B181" s="64">
        <v>0.0</v>
      </c>
      <c r="C181" s="65">
        <v>66.5042917358318</v>
      </c>
      <c r="D181" s="65">
        <v>53.2808202694959</v>
      </c>
      <c r="E181" s="65">
        <v>44.4595654072924</v>
      </c>
      <c r="F181" s="65">
        <v>40.0462783704413</v>
      </c>
      <c r="G181" s="65">
        <v>36.4335599733917</v>
      </c>
      <c r="H181" s="65">
        <v>32.0953866062379</v>
      </c>
      <c r="I181" s="65">
        <v>28.6838615849404</v>
      </c>
      <c r="J181" s="1"/>
      <c r="K181" s="1"/>
      <c r="L181" s="1"/>
      <c r="M181" s="1"/>
      <c r="N181" s="1"/>
    </row>
    <row r="182" ht="13.5" customHeight="1">
      <c r="A182" s="1"/>
      <c r="B182" s="64">
        <f>B185*0.5</f>
        <v>0</v>
      </c>
      <c r="C182" s="65">
        <v>89.602997213693</v>
      </c>
      <c r="D182" s="65">
        <v>66.7906501832594</v>
      </c>
      <c r="E182" s="65">
        <v>53.2686646410367</v>
      </c>
      <c r="F182" s="65">
        <v>46.9461656116688</v>
      </c>
      <c r="G182" s="65">
        <v>41.9722097468953</v>
      </c>
      <c r="H182" s="65">
        <v>36.2251076132373</v>
      </c>
      <c r="I182" s="65">
        <v>31.8692611862609</v>
      </c>
      <c r="J182" s="1"/>
      <c r="K182" s="1"/>
      <c r="L182" s="1"/>
      <c r="M182" s="1"/>
      <c r="N182" s="1"/>
    </row>
    <row r="183" ht="13.5" customHeight="1">
      <c r="A183" s="1"/>
      <c r="B183" s="64">
        <f>0.75*B185</f>
        <v>0</v>
      </c>
      <c r="C183" s="65">
        <v>109.172733799103</v>
      </c>
      <c r="D183" s="65">
        <v>76.8406456069128</v>
      </c>
      <c r="E183" s="65">
        <v>59.3290599785375</v>
      </c>
      <c r="F183" s="65">
        <v>51.5210908477002</v>
      </c>
      <c r="G183" s="65">
        <v>45.5388450616946</v>
      </c>
      <c r="H183" s="65">
        <v>38.795648240043</v>
      </c>
      <c r="I183" s="65">
        <v>33.80131463763</v>
      </c>
      <c r="J183" s="1"/>
      <c r="K183" s="1"/>
      <c r="L183" s="1"/>
      <c r="M183" s="1"/>
      <c r="N183" s="1"/>
    </row>
    <row r="184" ht="13.5" customHeight="1">
      <c r="A184" s="66" t="s">
        <v>100</v>
      </c>
      <c r="B184" s="64">
        <f>B185*0.9</f>
        <v>0</v>
      </c>
      <c r="C184" s="65">
        <v>125.964830353036</v>
      </c>
      <c r="D184" s="65">
        <v>84.609020447899</v>
      </c>
      <c r="E184" s="65">
        <v>63.7536412899811</v>
      </c>
      <c r="F184" s="65">
        <v>54.7767353179923</v>
      </c>
      <c r="G184" s="65">
        <v>48.0274993567053</v>
      </c>
      <c r="H184" s="65">
        <v>40.5497939896657</v>
      </c>
      <c r="I184" s="65">
        <v>35.0981410195283</v>
      </c>
      <c r="J184" s="1"/>
      <c r="K184" s="1"/>
      <c r="L184" s="1"/>
      <c r="M184" s="1"/>
      <c r="N184" s="1"/>
    </row>
    <row r="185" ht="13.5" customHeight="1">
      <c r="A185" s="66" t="s">
        <v>58</v>
      </c>
      <c r="B185" s="64" t="str">
        <f>G155</f>
        <v/>
      </c>
      <c r="C185" s="65">
        <v>140.531468327532</v>
      </c>
      <c r="D185" s="65">
        <v>90.7935518747035</v>
      </c>
      <c r="E185" s="65">
        <v>67.1259582780728</v>
      </c>
      <c r="F185" s="65">
        <v>57.2118515071538</v>
      </c>
      <c r="G185" s="65">
        <v>49.8627277894025</v>
      </c>
      <c r="H185" s="65">
        <v>41.8231738671697</v>
      </c>
      <c r="I185" s="65">
        <v>36.0287891060281</v>
      </c>
      <c r="J185" s="1"/>
      <c r="K185" s="1"/>
      <c r="L185" s="1"/>
      <c r="M185" s="1"/>
      <c r="N185" s="1"/>
    </row>
    <row r="186" ht="13.5" customHeight="1">
      <c r="A186" s="1"/>
      <c r="B186" s="64">
        <f>1.1*B185</f>
        <v>0</v>
      </c>
      <c r="C186" s="65">
        <v>159.088966021068</v>
      </c>
      <c r="D186" s="65">
        <v>98.0196885944435</v>
      </c>
      <c r="E186" s="65">
        <v>70.9082834106134</v>
      </c>
      <c r="F186" s="65">
        <v>59.896723202896</v>
      </c>
      <c r="G186" s="65">
        <v>51.8607259278822</v>
      </c>
      <c r="H186" s="65">
        <v>43.1904435052269</v>
      </c>
      <c r="I186" s="65">
        <v>37.0181531601305</v>
      </c>
      <c r="J186" s="1"/>
      <c r="K186" s="1"/>
      <c r="L186" s="1"/>
      <c r="M186" s="1"/>
      <c r="N186" s="1"/>
    </row>
    <row r="187" ht="13.5" customHeight="1">
      <c r="A187" s="1"/>
      <c r="B187" s="64">
        <f>1.25*B185</f>
        <v>0</v>
      </c>
      <c r="C187" s="65">
        <v>198.923594690812</v>
      </c>
      <c r="D187" s="65">
        <v>111.470750319743</v>
      </c>
      <c r="E187" s="65">
        <v>77.5305148717672</v>
      </c>
      <c r="F187" s="65">
        <v>64.4833790164556</v>
      </c>
      <c r="G187" s="65">
        <v>55.2136610462572</v>
      </c>
      <c r="H187" s="65">
        <v>45.4414362020284</v>
      </c>
      <c r="I187" s="65">
        <v>38.6250507380682</v>
      </c>
      <c r="J187" s="1"/>
      <c r="K187" s="1"/>
      <c r="L187" s="1"/>
      <c r="M187" s="1"/>
      <c r="N187" s="1"/>
    </row>
    <row r="188" ht="13.5" customHeight="1">
      <c r="A188" s="1"/>
      <c r="B188" s="64">
        <f>1.5*B185</f>
        <v>0</v>
      </c>
      <c r="C188" s="65">
        <v>345.788639786336</v>
      </c>
      <c r="D188" s="65">
        <v>145.276328729886</v>
      </c>
      <c r="E188" s="65">
        <v>92.1136082500777</v>
      </c>
      <c r="F188" s="65">
        <v>74.1005605610162</v>
      </c>
      <c r="G188" s="65">
        <v>62.006894372345</v>
      </c>
      <c r="H188" s="65">
        <v>49.842025528208</v>
      </c>
      <c r="I188" s="65">
        <v>41.6899516538701</v>
      </c>
      <c r="J188" s="1"/>
      <c r="K188" s="1"/>
      <c r="L188" s="1"/>
      <c r="M188" s="1"/>
      <c r="N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3.5" customHeight="1">
      <c r="A191" s="21" t="s">
        <v>101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8.0" customHeight="1">
      <c r="A193" s="57" t="s">
        <v>102</v>
      </c>
      <c r="B193" s="58" t="str">
        <f>B49</f>
        <v>#DIV/0!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8.0" customHeight="1">
      <c r="A194" s="57" t="s">
        <v>103</v>
      </c>
      <c r="B194" s="58" t="str">
        <f>B104</f>
        <v>#DIV/0!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8.0" customHeight="1">
      <c r="A195" s="57" t="s">
        <v>104</v>
      </c>
      <c r="B195" s="58" t="str">
        <f>B165</f>
        <v>#DIV/0!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23.25" customHeight="1">
      <c r="A196" s="82"/>
      <c r="B196" s="8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23.25" customHeight="1">
      <c r="A197" s="84" t="s">
        <v>105</v>
      </c>
      <c r="B197" s="85" t="str">
        <f>AVERAGE(B193:B195)</f>
        <v>#DIV/0!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 count="1">
    <mergeCell ref="D3:D4"/>
  </mergeCells>
  <conditionalFormatting sqref="D91:L91">
    <cfRule type="cellIs" dxfId="0" priority="1" operator="equal">
      <formula>0</formula>
    </cfRule>
  </conditionalFormatting>
  <conditionalFormatting sqref="G38:M38">
    <cfRule type="cellIs" dxfId="0" priority="2" operator="equal">
      <formula>0</formula>
    </cfRule>
  </conditionalFormatting>
  <conditionalFormatting sqref="C59:I65">
    <cfRule type="cellIs" dxfId="1" priority="3" operator="lessThan">
      <formula>$B$11</formula>
    </cfRule>
  </conditionalFormatting>
  <conditionalFormatting sqref="C59:I65">
    <cfRule type="cellIs" dxfId="2" priority="4" operator="greaterThan">
      <formula>$B$11</formula>
    </cfRule>
  </conditionalFormatting>
  <conditionalFormatting sqref="C69:I76">
    <cfRule type="cellIs" dxfId="1" priority="5" operator="lessThan">
      <formula>$B$11</formula>
    </cfRule>
  </conditionalFormatting>
  <conditionalFormatting sqref="C69:I76">
    <cfRule type="cellIs" dxfId="2" priority="6" operator="greaterThan">
      <formula>$B$11</formula>
    </cfRule>
  </conditionalFormatting>
  <conditionalFormatting sqref="C118:I125">
    <cfRule type="cellIs" dxfId="1" priority="7" operator="lessThan">
      <formula>$B$11</formula>
    </cfRule>
  </conditionalFormatting>
  <conditionalFormatting sqref="C118:I125">
    <cfRule type="cellIs" dxfId="2" priority="8" operator="greaterThan">
      <formula>$B$11</formula>
    </cfRule>
  </conditionalFormatting>
  <conditionalFormatting sqref="C107:I113">
    <cfRule type="cellIs" dxfId="1" priority="9" operator="lessThan">
      <formula>$B$11</formula>
    </cfRule>
  </conditionalFormatting>
  <conditionalFormatting sqref="C107:I113">
    <cfRule type="cellIs" dxfId="2" priority="10" operator="greaterThan">
      <formula>$B$11</formula>
    </cfRule>
  </conditionalFormatting>
  <conditionalFormatting sqref="F159">
    <cfRule type="cellIs" dxfId="0" priority="11" operator="equal">
      <formula>0</formula>
    </cfRule>
  </conditionalFormatting>
  <conditionalFormatting sqref="G159:M159">
    <cfRule type="cellIs" dxfId="0" priority="12" operator="equal">
      <formula>0</formula>
    </cfRule>
  </conditionalFormatting>
  <conditionalFormatting sqref="G159:M159">
    <cfRule type="cellIs" dxfId="3" priority="13" operator="equal">
      <formula>0</formula>
    </cfRule>
  </conditionalFormatting>
  <conditionalFormatting sqref="C181:I188">
    <cfRule type="cellIs" dxfId="1" priority="14" operator="lessThan">
      <formula>$B$11</formula>
    </cfRule>
  </conditionalFormatting>
  <conditionalFormatting sqref="C181:I188">
    <cfRule type="cellIs" dxfId="2" priority="15" operator="greaterThan">
      <formula>$B$11</formula>
    </cfRule>
  </conditionalFormatting>
  <conditionalFormatting sqref="C170:I176">
    <cfRule type="cellIs" dxfId="1" priority="16" operator="lessThan">
      <formula>$B$11</formula>
    </cfRule>
  </conditionalFormatting>
  <conditionalFormatting sqref="C170:I176">
    <cfRule type="cellIs" dxfId="2" priority="17" operator="greaterThan">
      <formula>$B$11</formula>
    </cfRule>
  </conditionalFormatting>
  <conditionalFormatting sqref="C80:I87">
    <cfRule type="cellIs" dxfId="1" priority="18" operator="lessThan">
      <formula>$B$11</formula>
    </cfRule>
  </conditionalFormatting>
  <conditionalFormatting sqref="C80:I87">
    <cfRule type="cellIs" dxfId="2" priority="19" operator="greaterThan">
      <formula>$B$11</formula>
    </cfRule>
  </conditionalFormatting>
  <conditionalFormatting sqref="C129:I136">
    <cfRule type="cellIs" dxfId="1" priority="20" operator="lessThan">
      <formula>$B$11</formula>
    </cfRule>
  </conditionalFormatting>
  <conditionalFormatting sqref="C129:I136">
    <cfRule type="cellIs" dxfId="2" priority="21" operator="greaterThan">
      <formula>$B$11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