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BSIF:
If no, use the "Cost of Debt Derived from Notes" Table to find Cost of Debt and Estimated Market Value</t>
      </text>
    </comment>
    <comment authorId="0" ref="D5">
      <text>
        <t xml:space="preserve">BSIF:
From 10-K Annual Report Footnotes
Example- Lorillard Page 66</t>
      </text>
    </comment>
    <comment authorId="0" ref="C6">
      <text>
        <t xml:space="preserve">BSIF:
If Yes, use cell D6 to insert WACC</t>
      </text>
    </comment>
    <comment authorId="0" ref="C7">
      <text>
        <t xml:space="preserve">BSIF:
If yes, enter value after tax.
Ex-
(Pretax Rd)*(1-TaxRate)
</t>
      </text>
    </comment>
    <comment authorId="0" ref="E10">
      <text>
        <t xml:space="preserve">BSIF:
Derived from stated long term debt issuances outlined in annual report
Include all outstanding issuances of debt, Value of Issuance, and Interest Rate
Ex-Lorillard 2013 10-K Page 66</t>
      </text>
    </comment>
    <comment authorId="0" ref="B12">
      <text>
        <t xml:space="preserve">BSIF:
Morningstar.com Key Ratios</t>
      </text>
    </comment>
    <comment authorId="0" ref="B13">
      <text>
        <t xml:space="preserve">BSIF:
20 Year AAA Rate
http://finance.yahoo.com/bonds/composite_bond_rates</t>
      </text>
    </comment>
    <comment authorId="0" ref="B14">
      <text>
        <t xml:space="preserve">BSIF:
Damodaran Website Data
2013: 5.80%</t>
      </text>
    </comment>
    <comment authorId="0" ref="B40">
      <text>
        <t xml:space="preserve">BSIF:
From 10-K Annual Report Footnotes</t>
      </text>
    </comment>
    <comment authorId="0" ref="D45">
      <text>
        <t xml:space="preserve">BSIF:
Pre-Tax Cost of Debt</t>
      </text>
    </comment>
    <comment authorId="0" ref="D46">
      <text>
        <t xml:space="preserve">BSIF:
After Tax Cost of Debt</t>
      </text>
    </comment>
    <comment authorId="0" ref="A52">
      <text>
        <t xml:space="preserve">BSIF:
Minimum 3 Years, Maximum 10 Years</t>
      </text>
    </comment>
    <comment authorId="0" ref="A53">
      <text>
        <t xml:space="preserve">BSIF: 
Make sure that you can justify this</t>
      </text>
    </comment>
    <comment authorId="0" ref="G54">
      <text>
        <t xml:space="preserve">BSIF:
Other Equity Claims
Ex- Minority Interest, Treasury Stock, Etc.</t>
      </text>
    </comment>
    <comment authorId="0" ref="D55">
      <text>
        <t xml:space="preserve">BSIF:
Current Assets- Current Liabilities</t>
      </text>
    </comment>
    <comment authorId="0" ref="A112">
      <text>
        <t xml:space="preserve">BSIF:
On Morningstar, CapEx is listed as a negative number, however, insert expenditures as positive</t>
      </text>
    </comment>
    <comment authorId="0" ref="D165">
      <text>
        <t xml:space="preserve">BSIF:
This number is one way to select your growth rate of dividends without considering future analysis.  It could be one number used as your growth rate</t>
      </text>
    </comment>
    <comment authorId="0" ref="A172">
      <text>
        <t xml:space="preserve">BSIF:
Could use CAGR from right, an analyst opinion, or other source</t>
      </text>
    </comment>
    <comment authorId="0" ref="A176">
      <text>
        <t xml:space="preserve">BSIF:
Minimum 3 Years</t>
      </text>
    </comment>
  </commentList>
</comments>
</file>

<file path=xl/sharedStrings.xml><?xml version="1.0" encoding="utf-8"?>
<sst xmlns="http://schemas.openxmlformats.org/spreadsheetml/2006/main" count="139" uniqueCount="109">
  <si>
    <t>Name of Company</t>
  </si>
  <si>
    <t>Johnson &amp; Johnson</t>
  </si>
  <si>
    <t>Ticker:</t>
  </si>
  <si>
    <t>JNJ</t>
  </si>
  <si>
    <t>https://www.sec.gov/Archives/edgar/data/200406/000020040617000006/form10-k20170101.htm</t>
  </si>
  <si>
    <t>If YES, Input Here</t>
  </si>
  <si>
    <t>Do you have a Market Value of debt?</t>
  </si>
  <si>
    <t>no</t>
  </si>
  <si>
    <t>Would you like to directly input a WACC?</t>
  </si>
  <si>
    <t>NO</t>
  </si>
  <si>
    <t>Would you like to directly input a cost of Debt?</t>
  </si>
  <si>
    <t>Would you like to directly input a cost of Equity?</t>
  </si>
  <si>
    <t>* You should be able to find a MV of debt from the 10-K</t>
  </si>
  <si>
    <t>WACC</t>
  </si>
  <si>
    <t>Cost of Debt Derived From Notes Outst.</t>
  </si>
  <si>
    <t>Current Share Price</t>
  </si>
  <si>
    <t>Maturity</t>
  </si>
  <si>
    <t>Value</t>
  </si>
  <si>
    <t>Rate</t>
  </si>
  <si>
    <t>Shares Outstanding (Millions)</t>
  </si>
  <si>
    <t>20 Year AAA Corp Bond Rate</t>
  </si>
  <si>
    <t>Equity Market Risk Premium</t>
  </si>
  <si>
    <t>Beta of Equity</t>
  </si>
  <si>
    <t>Corporate Tax Rate</t>
  </si>
  <si>
    <t>Long Term Debt</t>
  </si>
  <si>
    <t>Interest Expense</t>
  </si>
  <si>
    <t>Earnings Per Share</t>
  </si>
  <si>
    <t>Market Value of Debt</t>
  </si>
  <si>
    <t>Cost of Equity</t>
  </si>
  <si>
    <t>Cost of Debt</t>
  </si>
  <si>
    <t>Market Value of Equity</t>
  </si>
  <si>
    <t>Total BV</t>
  </si>
  <si>
    <t>Weight of Debt</t>
  </si>
  <si>
    <t>WA Cost</t>
  </si>
  <si>
    <t>Weight of Equity</t>
  </si>
  <si>
    <t>Cost Debt</t>
  </si>
  <si>
    <t>FCFF</t>
  </si>
  <si>
    <t>High Growth Period</t>
  </si>
  <si>
    <t>EBIT</t>
  </si>
  <si>
    <t>Cash</t>
  </si>
  <si>
    <t>High Growth Period Growth Rate</t>
  </si>
  <si>
    <t>PPE</t>
  </si>
  <si>
    <t>Total Liabilities</t>
  </si>
  <si>
    <t>Horizon Growth Rate</t>
  </si>
  <si>
    <t>Depr &amp; Amor</t>
  </si>
  <si>
    <t>Other Claims</t>
  </si>
  <si>
    <t>avg 5 yr growth = 2.1%</t>
  </si>
  <si>
    <t>NWC</t>
  </si>
  <si>
    <t>Horizon Value</t>
  </si>
  <si>
    <t>FCF</t>
  </si>
  <si>
    <t>FCF to Discount</t>
  </si>
  <si>
    <t>Value of Operating Assets</t>
  </si>
  <si>
    <t>Value of Outstanding Equity</t>
  </si>
  <si>
    <t>Value Per Share (Base Case)</t>
  </si>
  <si>
    <t>For Sensitivity Tables</t>
  </si>
  <si>
    <t>Finish valuation above, then manually type in values for the axes baselines below:</t>
  </si>
  <si>
    <t>READ THIS</t>
  </si>
  <si>
    <t>Hi Growth Period Rate</t>
  </si>
  <si>
    <t>Terminal Growth Rate</t>
  </si>
  <si>
    <t>WACC Range</t>
  </si>
  <si>
    <t>High Growth</t>
  </si>
  <si>
    <t>Period Rate</t>
  </si>
  <si>
    <t>Length of High</t>
  </si>
  <si>
    <t>Growth Period</t>
  </si>
  <si>
    <t>Terminal</t>
  </si>
  <si>
    <t>Growth Rate</t>
  </si>
  <si>
    <t>FCFE</t>
  </si>
  <si>
    <t>Net Income</t>
  </si>
  <si>
    <t>Capital Expenditure</t>
  </si>
  <si>
    <t>Depreciation</t>
  </si>
  <si>
    <t>Working Capital</t>
  </si>
  <si>
    <t>Cash Flows to Discount</t>
  </si>
  <si>
    <t>Value of Equity</t>
  </si>
  <si>
    <t>Other Equity Claims</t>
  </si>
  <si>
    <t>DDM</t>
  </si>
  <si>
    <t>t-5</t>
  </si>
  <si>
    <t>t-4</t>
  </si>
  <si>
    <t>t-3</t>
  </si>
  <si>
    <t>t-2</t>
  </si>
  <si>
    <t>t-1</t>
  </si>
  <si>
    <t>Most Recent Div</t>
  </si>
  <si>
    <t>Historical Dividends</t>
  </si>
  <si>
    <t>Current Payout Ratio</t>
  </si>
  <si>
    <t>CAGR of Divs</t>
  </si>
  <si>
    <t>Would you like to keep POR constant?</t>
  </si>
  <si>
    <t>Yes</t>
  </si>
  <si>
    <t>IF NO:</t>
  </si>
  <si>
    <t>What would you like to use as the POR?</t>
  </si>
  <si>
    <t>Would you like to use the estimates of</t>
  </si>
  <si>
    <t xml:space="preserve"> growth from the FCF analysis?</t>
  </si>
  <si>
    <t>FOR DATA TABLES BELOW</t>
  </si>
  <si>
    <t>Manually Enter WACC From Above Here:</t>
  </si>
  <si>
    <t>High Growth Period Rate</t>
  </si>
  <si>
    <t>Manually Enter POR Selected Here:</t>
  </si>
  <si>
    <t>Stable Growth Rate</t>
  </si>
  <si>
    <t>Manually Enter Terminal Growth Rate Here:</t>
  </si>
  <si>
    <t>High Growth Period Length</t>
  </si>
  <si>
    <t>EPS</t>
  </si>
  <si>
    <t>Dividend</t>
  </si>
  <si>
    <t>CF to Discount</t>
  </si>
  <si>
    <t>Value Per Share</t>
  </si>
  <si>
    <t>Payout</t>
  </si>
  <si>
    <t>Ratio</t>
  </si>
  <si>
    <t>Terminal Growth</t>
  </si>
  <si>
    <t>Summary Output</t>
  </si>
  <si>
    <t>FCFF Value</t>
  </si>
  <si>
    <t>FCFE Value</t>
  </si>
  <si>
    <t>DDM Value</t>
  </si>
  <si>
    <t>Average Valuation: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</si>
</sst>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#,###,##0.00"/>
    <numFmt numFmtId="167" formatCode="0.000%"/>
    <numFmt numFmtId="168" formatCode="_(* #,##0_);_(* \(#,##0\);_(* &quot;-&quot;??_);_(@_)"/>
    <numFmt numFmtId="169" formatCode="&quot;$&quot;#,##0_);[Red]\(&quot;$&quot;#,##0\)"/>
    <numFmt numFmtId="170" formatCode="&quot;$&quot;#,##0.00_);[Red]\(&quot;$&quot;#,##0.00\)"/>
    <numFmt numFmtId="171" formatCode="&quot;$&quot;#,##0.00"/>
  </numFmts>
  <fonts count="19">
    <font>
      <sz val="11.0"/>
      <color rgb="FF000000"/>
      <name val="Calibri"/>
    </font>
    <font>
      <b/>
      <sz val="20.0"/>
      <color rgb="FF000000"/>
      <name val="Calibri"/>
    </font>
    <font>
      <b/>
      <sz val="14.0"/>
      <color rgb="FF000000"/>
      <name val="Calibri"/>
    </font>
    <font>
      <u/>
      <sz val="11.0"/>
      <color rgb="FF000000"/>
      <name val="Calibri"/>
    </font>
    <font/>
    <font>
      <b/>
      <sz val="18.0"/>
      <color rgb="FF000000"/>
      <name val="Calibri"/>
    </font>
    <font>
      <sz val="11.0"/>
      <color rgb="FFFFFFFF"/>
      <name val="Calibri"/>
    </font>
    <font>
      <sz val="11.0"/>
      <color rgb="FFF8F8F8"/>
      <name val="Calibri"/>
    </font>
    <font>
      <sz val="11.0"/>
      <name val="Calibri"/>
    </font>
    <font>
      <b/>
      <sz val="11.0"/>
      <color rgb="FF002060"/>
      <name val="Calibri"/>
    </font>
    <font>
      <b/>
      <sz val="14.0"/>
      <color rgb="FF3F3151"/>
      <name val="Calibri"/>
    </font>
    <font>
      <sz val="9.0"/>
      <color rgb="FF000000"/>
      <name val="Calibri"/>
    </font>
    <font>
      <b/>
      <sz val="11.0"/>
      <color rgb="FF000000"/>
      <name val="Calibri"/>
    </font>
    <font>
      <sz val="11.0"/>
      <color rgb="FFCCC0D9"/>
      <name val="Calibri"/>
    </font>
    <font>
      <b/>
      <sz val="11.0"/>
      <color rgb="FFFFFFFF"/>
      <name val="Calibri"/>
    </font>
    <font>
      <sz val="18.0"/>
      <color rgb="FFFFFFFF"/>
      <name val="Calibri"/>
    </font>
    <font>
      <sz val="18.0"/>
      <color rgb="FF000000"/>
      <name val="Calibri"/>
    </font>
    <font>
      <b/>
      <sz val="18.0"/>
      <color rgb="FFFFFFFF"/>
      <name val="Calibri"/>
    </font>
    <font>
      <b/>
      <sz val="18.0"/>
      <color rgb="FF00B05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5F497A"/>
        <bgColor rgb="FF5F497A"/>
      </patternFill>
    </fill>
    <fill>
      <patternFill patternType="solid">
        <fgColor rgb="FF8064A2"/>
        <bgColor rgb="FF8064A2"/>
      </patternFill>
    </fill>
    <fill>
      <patternFill patternType="solid">
        <fgColor rgb="FF7030A0"/>
        <bgColor rgb="FF7030A0"/>
      </patternFill>
    </fill>
    <fill>
      <patternFill patternType="solid">
        <fgColor rgb="FFE5E0EC"/>
        <bgColor rgb="FFE5E0EC"/>
      </patternFill>
    </fill>
    <fill>
      <patternFill patternType="solid">
        <fgColor rgb="FFBFB1D0"/>
        <bgColor rgb="FFBFB1D0"/>
      </patternFill>
    </fill>
    <fill>
      <patternFill patternType="solid">
        <fgColor rgb="FF4BACC6"/>
        <bgColor rgb="FF4BACC6"/>
      </patternFill>
    </fill>
    <fill>
      <patternFill patternType="solid">
        <fgColor rgb="FFFFFFFF"/>
        <bgColor rgb="FFFFFFFF"/>
      </patternFill>
    </fill>
    <fill>
      <patternFill patternType="solid">
        <fgColor rgb="FFE36C09"/>
        <bgColor rgb="FFE36C09"/>
      </patternFill>
    </fill>
    <fill>
      <patternFill patternType="solid">
        <fgColor rgb="FFB2A1C7"/>
        <bgColor rgb="FFB2A1C7"/>
      </patternFill>
    </fill>
    <fill>
      <patternFill patternType="solid">
        <fgColor rgb="FFE5DFEC"/>
        <bgColor rgb="FFE5DFEC"/>
      </patternFill>
    </fill>
  </fills>
  <borders count="12"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  <xf borderId="0" fillId="0" fontId="0" numFmtId="0" xfId="0" applyFont="1"/>
    <xf borderId="1" fillId="0" fontId="0" numFmtId="0" xfId="0" applyBorder="1" applyFont="1"/>
    <xf borderId="2" fillId="0" fontId="0" numFmtId="0" xfId="0" applyBorder="1" applyFont="1"/>
    <xf borderId="3" fillId="0" fontId="1" numFmtId="0" xfId="0" applyAlignment="1" applyBorder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0" numFmtId="0" xfId="0" applyAlignment="1" applyFont="1">
      <alignment horizontal="center"/>
    </xf>
    <xf borderId="0" fillId="2" fontId="0" numFmtId="0" xfId="0" applyAlignment="1" applyBorder="1" applyFill="1" applyFont="1">
      <alignment horizontal="center" wrapText="1"/>
    </xf>
    <xf borderId="0" fillId="3" fontId="0" numFmtId="0" xfId="0" applyBorder="1" applyFill="1" applyFont="1"/>
    <xf borderId="0" fillId="0" fontId="4" numFmtId="0" xfId="0" applyBorder="1" applyFont="1"/>
    <xf borderId="4" fillId="4" fontId="0" numFmtId="164" xfId="0" applyAlignment="1" applyBorder="1" applyFill="1" applyFont="1" applyNumberFormat="1">
      <alignment horizontal="center"/>
    </xf>
    <xf borderId="4" fillId="4" fontId="0" numFmtId="165" xfId="0" applyAlignment="1" applyBorder="1" applyFont="1" applyNumberFormat="1">
      <alignment horizontal="center"/>
    </xf>
    <xf borderId="4" fillId="4" fontId="0" numFmtId="164" xfId="0" applyAlignment="1" applyBorder="1" applyFont="1" applyNumberFormat="1">
      <alignment horizontal="center"/>
    </xf>
    <xf borderId="4" fillId="4" fontId="0" numFmtId="10" xfId="0" applyAlignment="1" applyBorder="1" applyFont="1" applyNumberFormat="1">
      <alignment horizontal="center"/>
    </xf>
    <xf borderId="0" fillId="0" fontId="5" numFmtId="0" xfId="0" applyAlignment="1" applyFont="1">
      <alignment vertical="center"/>
    </xf>
    <xf borderId="0" fillId="0" fontId="0" numFmtId="0" xfId="0" applyAlignment="1" applyFont="1">
      <alignment/>
    </xf>
    <xf borderId="0" fillId="0" fontId="5" numFmtId="0" xfId="0" applyAlignment="1" applyFont="1">
      <alignment vertical="center"/>
    </xf>
    <xf borderId="0" fillId="5" fontId="6" numFmtId="0" xfId="0" applyBorder="1" applyFill="1" applyFont="1"/>
    <xf borderId="0" fillId="6" fontId="7" numFmtId="0" xfId="0" applyBorder="1" applyFill="1" applyFont="1"/>
    <xf borderId="0" fillId="6" fontId="7" numFmtId="0" xfId="0" applyAlignment="1" applyBorder="1" applyFont="1">
      <alignment horizontal="center"/>
    </xf>
    <xf borderId="0" fillId="6" fontId="0" numFmtId="0" xfId="0" applyBorder="1" applyFont="1"/>
    <xf borderId="0" fillId="0" fontId="0" numFmtId="166" xfId="0" applyFont="1" applyNumberFormat="1"/>
    <xf borderId="4" fillId="4" fontId="0" numFmtId="4" xfId="0" applyAlignment="1" applyBorder="1" applyFont="1" applyNumberFormat="1">
      <alignment/>
    </xf>
    <xf borderId="0" fillId="7" fontId="7" numFmtId="0" xfId="0" applyAlignment="1" applyBorder="1" applyFill="1" applyFont="1">
      <alignment horizontal="center"/>
    </xf>
    <xf borderId="5" fillId="8" fontId="0" numFmtId="0" xfId="0" applyAlignment="1" applyBorder="1" applyFill="1" applyFont="1">
      <alignment/>
    </xf>
    <xf borderId="6" fillId="9" fontId="0" numFmtId="0" xfId="0" applyAlignment="1" applyBorder="1" applyFill="1" applyFont="1">
      <alignment/>
    </xf>
    <xf borderId="2" fillId="9" fontId="0" numFmtId="167" xfId="0" applyAlignment="1" applyBorder="1" applyFont="1" applyNumberFormat="1">
      <alignment/>
    </xf>
    <xf borderId="4" fillId="4" fontId="0" numFmtId="10" xfId="0" applyAlignment="1" applyBorder="1" applyFont="1" applyNumberFormat="1">
      <alignment/>
    </xf>
    <xf borderId="5" fillId="9" fontId="0" numFmtId="0" xfId="0" applyAlignment="1" applyBorder="1" applyFont="1">
      <alignment/>
    </xf>
    <xf borderId="4" fillId="8" fontId="0" numFmtId="0" xfId="0" applyAlignment="1" applyBorder="1" applyFont="1">
      <alignment/>
    </xf>
    <xf borderId="7" fillId="8" fontId="0" numFmtId="167" xfId="0" applyAlignment="1" applyBorder="1" applyFont="1" applyNumberFormat="1">
      <alignment/>
    </xf>
    <xf borderId="4" fillId="9" fontId="0" numFmtId="0" xfId="0" applyAlignment="1" applyBorder="1" applyFont="1">
      <alignment/>
    </xf>
    <xf borderId="7" fillId="9" fontId="0" numFmtId="167" xfId="0" applyAlignment="1" applyBorder="1" applyFont="1" applyNumberFormat="1">
      <alignment/>
    </xf>
    <xf borderId="4" fillId="4" fontId="0" numFmtId="9" xfId="0" applyAlignment="1" applyBorder="1" applyFont="1" applyNumberFormat="1">
      <alignment/>
    </xf>
    <xf borderId="7" fillId="8" fontId="0" numFmtId="167" xfId="0" applyAlignment="1" applyBorder="1" applyFont="1" applyNumberFormat="1">
      <alignment/>
    </xf>
    <xf borderId="7" fillId="9" fontId="0" numFmtId="167" xfId="0" applyAlignment="1" applyBorder="1" applyFont="1" applyNumberFormat="1">
      <alignment/>
    </xf>
    <xf borderId="7" fillId="9" fontId="0" numFmtId="10" xfId="0" applyAlignment="1" applyBorder="1" applyFont="1" applyNumberFormat="1">
      <alignment/>
    </xf>
    <xf borderId="0" fillId="6" fontId="6" numFmtId="165" xfId="0" applyBorder="1" applyFont="1" applyNumberFormat="1"/>
    <xf borderId="0" fillId="6" fontId="6" numFmtId="10" xfId="0" applyBorder="1" applyFont="1" applyNumberFormat="1"/>
    <xf borderId="8" fillId="9" fontId="0" numFmtId="0" xfId="0" applyAlignment="1" applyBorder="1" applyFont="1">
      <alignment/>
    </xf>
    <xf borderId="9" fillId="9" fontId="0" numFmtId="167" xfId="0" applyAlignment="1" applyBorder="1" applyFont="1" applyNumberFormat="1">
      <alignment/>
    </xf>
    <xf borderId="0" fillId="0" fontId="6" numFmtId="0" xfId="0" applyFont="1"/>
    <xf borderId="4" fillId="4" fontId="0" numFmtId="168" xfId="0" applyAlignment="1" applyBorder="1" applyFont="1" applyNumberFormat="1">
      <alignment/>
    </xf>
    <xf borderId="4" fillId="4" fontId="0" numFmtId="0" xfId="0" applyAlignment="1" applyBorder="1" applyFont="1">
      <alignment/>
    </xf>
    <xf borderId="4" fillId="4" fontId="0" numFmtId="165" xfId="0" applyAlignment="1" applyBorder="1" applyFont="1" applyNumberFormat="1">
      <alignment/>
    </xf>
    <xf borderId="4" fillId="4" fontId="0" numFmtId="10" xfId="0" applyAlignment="1" applyBorder="1" applyFont="1" applyNumberFormat="1">
      <alignment/>
    </xf>
    <xf borderId="0" fillId="2" fontId="0" numFmtId="0" xfId="0" applyBorder="1" applyFont="1"/>
    <xf borderId="10" fillId="2" fontId="0" numFmtId="0" xfId="0" applyBorder="1" applyFont="1"/>
    <xf borderId="0" fillId="2" fontId="0" numFmtId="165" xfId="0" applyBorder="1" applyFont="1" applyNumberFormat="1"/>
    <xf borderId="11" fillId="0" fontId="0" numFmtId="165" xfId="0" applyBorder="1" applyFont="1" applyNumberFormat="1"/>
    <xf borderId="0" fillId="0" fontId="0" numFmtId="165" xfId="0" applyFont="1" applyNumberFormat="1"/>
    <xf borderId="0" fillId="5" fontId="0" numFmtId="165" xfId="0" applyBorder="1" applyFont="1" applyNumberFormat="1"/>
    <xf borderId="3" fillId="2" fontId="0" numFmtId="165" xfId="0" applyBorder="1" applyFont="1" applyNumberFormat="1"/>
    <xf borderId="2" fillId="0" fontId="0" numFmtId="165" xfId="0" applyBorder="1" applyFont="1" applyNumberFormat="1"/>
    <xf borderId="10" fillId="0" fontId="0" numFmtId="165" xfId="0" applyBorder="1" applyFont="1" applyNumberFormat="1"/>
    <xf borderId="10" fillId="5" fontId="0" numFmtId="165" xfId="0" applyBorder="1" applyFont="1" applyNumberFormat="1"/>
    <xf borderId="0" fillId="0" fontId="8" numFmtId="165" xfId="0" applyFont="1" applyNumberFormat="1"/>
    <xf borderId="0" fillId="0" fontId="0" numFmtId="169" xfId="0" applyFont="1" applyNumberFormat="1"/>
    <xf borderId="0" fillId="10" fontId="9" numFmtId="0" xfId="0" applyBorder="1" applyFill="1" applyFont="1"/>
    <xf borderId="0" fillId="10" fontId="10" numFmtId="164" xfId="0" applyBorder="1" applyFont="1" applyNumberFormat="1"/>
    <xf borderId="0" fillId="11" fontId="0" numFmtId="0" xfId="0" applyAlignment="1" applyFill="1" applyFont="1">
      <alignment/>
    </xf>
    <xf borderId="0" fillId="12" fontId="5" numFmtId="0" xfId="0" applyBorder="1" applyFill="1" applyFont="1"/>
    <xf borderId="0" fillId="12" fontId="11" numFmtId="0" xfId="0" applyBorder="1" applyFont="1"/>
    <xf borderId="0" fillId="12" fontId="0" numFmtId="0" xfId="0" applyBorder="1" applyFont="1"/>
    <xf borderId="0" fillId="0" fontId="12" numFmtId="0" xfId="0" applyFont="1"/>
    <xf borderId="0" fillId="2" fontId="13" numFmtId="164" xfId="0" applyBorder="1" applyFont="1" applyNumberFormat="1"/>
    <xf borderId="0" fillId="2" fontId="0" numFmtId="10" xfId="0" applyBorder="1" applyFont="1" applyNumberFormat="1"/>
    <xf borderId="0" fillId="0" fontId="0" numFmtId="164" xfId="0" applyFont="1" applyNumberFormat="1"/>
    <xf borderId="0" fillId="0" fontId="12" numFmtId="0" xfId="0" applyAlignment="1" applyFont="1">
      <alignment horizontal="right"/>
    </xf>
    <xf borderId="0" fillId="0" fontId="0" numFmtId="10" xfId="0" applyFont="1" applyNumberFormat="1"/>
    <xf borderId="0" fillId="0" fontId="0" numFmtId="170" xfId="0" applyFont="1" applyNumberFormat="1"/>
    <xf borderId="0" fillId="13" fontId="0" numFmtId="0" xfId="0" applyBorder="1" applyFill="1" applyFont="1"/>
    <xf borderId="4" fillId="4" fontId="0" numFmtId="164" xfId="0" applyAlignment="1" applyBorder="1" applyFont="1" applyNumberFormat="1">
      <alignment/>
    </xf>
    <xf borderId="0" fillId="0" fontId="0" numFmtId="0" xfId="0" applyAlignment="1" applyFont="1">
      <alignment horizontal="right" vertical="center" wrapText="1"/>
    </xf>
    <xf borderId="0" fillId="14" fontId="0" numFmtId="0" xfId="0" applyBorder="1" applyFill="1" applyFont="1"/>
    <xf borderId="4" fillId="4" fontId="0" numFmtId="10" xfId="0" applyAlignment="1" applyBorder="1" applyFont="1" applyNumberFormat="1">
      <alignment horizontal="center"/>
    </xf>
    <xf borderId="0" fillId="13" fontId="0" numFmtId="0" xfId="0" applyAlignment="1" applyBorder="1" applyFont="1">
      <alignment horizontal="center" vertical="center"/>
    </xf>
    <xf borderId="0" fillId="14" fontId="0" numFmtId="0" xfId="0" applyAlignment="1" applyBorder="1" applyFont="1">
      <alignment horizontal="right"/>
    </xf>
    <xf borderId="4" fillId="4" fontId="0" numFmtId="10" xfId="0" applyBorder="1" applyFont="1" applyNumberFormat="1"/>
    <xf borderId="0" fillId="14" fontId="0" numFmtId="0" xfId="0" applyAlignment="1" applyBorder="1" applyFont="1">
      <alignment horizontal="left" vertical="center"/>
    </xf>
    <xf borderId="0" fillId="14" fontId="0" numFmtId="0" xfId="0" applyAlignment="1" applyBorder="1" applyFont="1">
      <alignment horizontal="right" vertical="center"/>
    </xf>
    <xf borderId="0" fillId="7" fontId="14" numFmtId="0" xfId="0" applyBorder="1" applyFont="1"/>
    <xf borderId="0" fillId="7" fontId="0" numFmtId="0" xfId="0" applyBorder="1" applyFont="1"/>
    <xf borderId="0" fillId="0" fontId="0" numFmtId="0" xfId="0" applyAlignment="1" applyFont="1">
      <alignment horizontal="right"/>
    </xf>
    <xf borderId="4" fillId="4" fontId="0" numFmtId="1" xfId="0" applyAlignment="1" applyBorder="1" applyFont="1" applyNumberFormat="1">
      <alignment horizontal="center"/>
    </xf>
    <xf borderId="0" fillId="0" fontId="8" numFmtId="164" xfId="0" applyFont="1" applyNumberFormat="1"/>
    <xf borderId="0" fillId="2" fontId="13" numFmtId="170" xfId="0" applyBorder="1" applyFont="1" applyNumberFormat="1"/>
    <xf borderId="0" fillId="0" fontId="0" numFmtId="171" xfId="0" applyFont="1" applyNumberFormat="1"/>
    <xf borderId="0" fillId="0" fontId="15" numFmtId="0" xfId="0" applyFont="1"/>
    <xf borderId="0" fillId="0" fontId="16" numFmtId="0" xfId="0" applyFont="1"/>
    <xf borderId="0" fillId="5" fontId="17" numFmtId="0" xfId="0" applyBorder="1" applyFont="1"/>
    <xf borderId="0" fillId="2" fontId="18" numFmtId="164" xfId="0" applyBorder="1" applyFont="1" applyNumberFormat="1"/>
    <xf borderId="0" fillId="0" fontId="4" numFmtId="171" xfId="0" applyAlignment="1" applyFont="1" applyNumberForma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4">
    <dxf>
      <font>
        <color rgb="FFCCC0D9"/>
      </font>
      <fill>
        <patternFill patternType="none"/>
      </fill>
      <alignment/>
      <border>
        <left/>
        <right/>
        <top/>
        <bottom/>
      </border>
    </dxf>
    <dxf>
      <font>
        <color rgb="FF9C0006"/>
      </font>
      <fill>
        <patternFill patternType="solid">
          <fgColor rgb="FFFFC7CE"/>
          <bgColor rgb="FFFFC7CE"/>
        </patternFill>
      </fill>
      <alignment/>
      <border>
        <left/>
        <right/>
        <top/>
        <bottom/>
      </border>
    </dxf>
    <dxf>
      <font>
        <color rgb="FF006100"/>
      </font>
      <fill>
        <patternFill patternType="solid">
          <fgColor rgb="FFC6EFCE"/>
          <bgColor rgb="FFC6EFCE"/>
        </patternFill>
      </fill>
      <alignment/>
      <border>
        <left/>
        <right/>
        <top/>
        <bottom/>
      </border>
    </dxf>
    <dxf>
      <font/>
      <fill>
        <patternFill patternType="solid">
          <fgColor rgb="FFCCC0D9"/>
          <bgColor rgb="FFCCC0D9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Relationship Id="rId2" Type="http://schemas.openxmlformats.org/officeDocument/2006/relationships/image" Target="../media/image0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6</xdr:col>
      <xdr:colOff>0</xdr:colOff>
      <xdr:row>1</xdr:row>
      <xdr:rowOff>133350</xdr:rowOff>
    </xdr:from>
    <xdr:to>
      <xdr:col>12</xdr:col>
      <xdr:colOff>819150</xdr:colOff>
      <xdr:row>5</xdr:row>
      <xdr:rowOff>47625</xdr:rowOff>
    </xdr:to>
    <xdr:sp>
      <xdr:nvSpPr>
        <xdr:cNvPr id="3" name="Shape 3"/>
        <xdr:cNvSpPr txBox="1"/>
      </xdr:nvSpPr>
      <xdr:spPr>
        <a:xfrm>
          <a:off x="2374200" y="3479962"/>
          <a:ext cx="5943599" cy="600075"/>
        </a:xfrm>
        <a:prstGeom prst="rect">
          <a:avLst/>
        </a:prstGeom>
        <a:solidFill>
          <a:srgbClr val="92D050"/>
        </a:solidFill>
        <a:ln cap="flat" cmpd="sng" w="2857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t" bIns="45700" lIns="91425" rIns="91425" tIns="45700">
          <a:noAutofit/>
        </a:bodyPr>
        <a:lstStyle/>
        <a:p>
          <a:pPr indent="0" lvl="0" marL="0" marR="0" rtl="0" algn="ctr">
            <a:spcBef>
              <a:spcPts val="0"/>
            </a:spcBef>
            <a:buSzPct val="25000"/>
            <a:buNone/>
          </a:pPr>
          <a:r>
            <a:rPr b="1" i="0" lang="en-US" sz="2400" u="none" cap="none" strike="noStrike">
              <a:solidFill>
                <a:srgbClr val="4F6128"/>
              </a:solidFill>
              <a:latin typeface="Arial"/>
              <a:ea typeface="Arial"/>
              <a:cs typeface="Arial"/>
              <a:sym typeface="Arial"/>
            </a:rPr>
            <a:t>ONLY ENTER VALUES FOR GREEN BOXES</a:t>
          </a:r>
        </a:p>
      </xdr:txBody>
    </xdr:sp>
    <xdr:clientData fLocksWithSheet="0"/>
  </xdr:twoCellAnchor>
  <xdr:twoCellAnchor>
    <xdr:from>
      <xdr:col>4</xdr:col>
      <xdr:colOff>161925</xdr:colOff>
      <xdr:row>2</xdr:row>
      <xdr:rowOff>76200</xdr:rowOff>
    </xdr:from>
    <xdr:to>
      <xdr:col>5</xdr:col>
      <xdr:colOff>752475</xdr:colOff>
      <xdr:row>5</xdr:row>
      <xdr:rowOff>0</xdr:rowOff>
    </xdr:to>
    <xdr:pic>
      <xdr:nvPicPr>
        <xdr:cNvPr id="0" name="image0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438275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3</xdr:col>
      <xdr:colOff>9525</xdr:colOff>
      <xdr:row>211</xdr:row>
      <xdr:rowOff>38100</xdr:rowOff>
    </xdr:from>
    <xdr:to>
      <xdr:col>6</xdr:col>
      <xdr:colOff>847725</xdr:colOff>
      <xdr:row>216</xdr:row>
      <xdr:rowOff>0</xdr:rowOff>
    </xdr:to>
    <xdr:pic>
      <xdr:nvPicPr>
        <xdr:cNvPr id="0" name="image00.png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3381375" cy="1238250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sec.gov/Archives/edgar/data/200406/000020040617000006/form10-k20170101.htm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75"/>
  <cols>
    <col customWidth="1" min="1" max="1" width="28.25"/>
    <col customWidth="1" min="2" max="2" width="14.75"/>
    <col customWidth="1" min="3" max="6" width="11.13"/>
    <col customWidth="1" min="7" max="7" width="12.13"/>
    <col customWidth="1" min="8" max="14" width="11.13"/>
    <col customWidth="1" min="15" max="15" width="7.63"/>
  </cols>
  <sheetData>
    <row r="1" ht="25.5" customHeight="1">
      <c r="A1" s="1" t="s">
        <v>0</v>
      </c>
      <c r="B1" s="2" t="s">
        <v>1</v>
      </c>
      <c r="C1" s="3"/>
      <c r="D1" s="4"/>
      <c r="E1" s="5" t="s">
        <v>2</v>
      </c>
      <c r="F1" s="6" t="s">
        <v>3</v>
      </c>
      <c r="G1" s="1"/>
      <c r="H1" s="7"/>
      <c r="I1" s="8" t="s">
        <v>4</v>
      </c>
      <c r="J1" s="1"/>
      <c r="K1" s="1"/>
      <c r="L1" s="1"/>
      <c r="M1" s="1"/>
      <c r="N1" s="1"/>
    </row>
    <row r="2" ht="14.25" customHeight="1">
      <c r="A2" s="1"/>
      <c r="B2" s="3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</row>
    <row r="3" ht="14.25" customHeight="1">
      <c r="A3" s="1"/>
      <c r="B3" s="1"/>
      <c r="C3" s="9"/>
      <c r="D3" s="10" t="s">
        <v>5</v>
      </c>
      <c r="E3" s="1"/>
      <c r="F3" s="1"/>
      <c r="G3" s="11"/>
      <c r="H3" s="11"/>
      <c r="I3" s="11"/>
      <c r="J3" s="11"/>
      <c r="K3" s="11"/>
      <c r="L3" s="11"/>
      <c r="M3" s="11"/>
      <c r="N3" s="1"/>
    </row>
    <row r="4" ht="14.25" customHeight="1">
      <c r="A4" s="1"/>
      <c r="B4" s="1"/>
      <c r="C4" s="9"/>
      <c r="D4" s="12"/>
      <c r="E4" s="1"/>
      <c r="F4" s="1"/>
      <c r="G4" s="11"/>
      <c r="H4" s="11"/>
      <c r="I4" s="11"/>
      <c r="J4" s="11"/>
      <c r="K4" s="11"/>
      <c r="L4" s="11"/>
      <c r="M4" s="11"/>
      <c r="N4" s="1"/>
    </row>
    <row r="5" ht="14.25" customHeight="1">
      <c r="A5" s="1" t="s">
        <v>6</v>
      </c>
      <c r="B5" s="1"/>
      <c r="C5" s="13" t="s">
        <v>7</v>
      </c>
      <c r="D5" s="14"/>
      <c r="E5" s="1"/>
      <c r="F5" s="1"/>
      <c r="G5" s="11"/>
      <c r="H5" s="11"/>
      <c r="I5" s="11"/>
      <c r="J5" s="11"/>
      <c r="K5" s="11"/>
      <c r="L5" s="11"/>
      <c r="M5" s="11"/>
      <c r="N5" s="1"/>
    </row>
    <row r="6" ht="14.25" customHeight="1">
      <c r="A6" s="1" t="s">
        <v>8</v>
      </c>
      <c r="B6" s="1"/>
      <c r="C6" s="15" t="s">
        <v>9</v>
      </c>
      <c r="D6" s="16"/>
      <c r="E6" s="1"/>
      <c r="F6" s="1"/>
      <c r="G6" s="1"/>
      <c r="H6" s="1"/>
      <c r="I6" s="1"/>
      <c r="J6" s="1"/>
      <c r="K6" s="1"/>
      <c r="L6" s="1"/>
      <c r="M6" s="1"/>
      <c r="N6" s="1"/>
    </row>
    <row r="7" ht="23.25" customHeight="1">
      <c r="A7" s="1" t="s">
        <v>10</v>
      </c>
      <c r="B7" s="1"/>
      <c r="C7" s="15" t="s">
        <v>9</v>
      </c>
      <c r="D7" s="16"/>
      <c r="E7" s="1"/>
      <c r="F7" s="1"/>
      <c r="G7" s="1"/>
      <c r="H7" s="1"/>
      <c r="I7" s="1"/>
      <c r="J7" s="1"/>
      <c r="K7" s="1"/>
      <c r="L7" s="17"/>
      <c r="M7" s="1"/>
      <c r="N7" s="1"/>
    </row>
    <row r="8" ht="23.25" customHeight="1">
      <c r="A8" s="1" t="s">
        <v>11</v>
      </c>
      <c r="B8" s="1"/>
      <c r="C8" s="15" t="s">
        <v>9</v>
      </c>
      <c r="D8" s="16"/>
      <c r="E8" s="1"/>
      <c r="F8" s="1"/>
      <c r="G8" s="1"/>
      <c r="H8" s="18" t="s">
        <v>12</v>
      </c>
      <c r="I8" s="1"/>
      <c r="J8" s="1"/>
      <c r="K8" s="1"/>
      <c r="L8" s="19"/>
      <c r="M8" s="1"/>
      <c r="N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ht="14.25" customHeight="1">
      <c r="A10" s="20" t="s">
        <v>13</v>
      </c>
      <c r="B10" s="20"/>
      <c r="C10" s="1"/>
      <c r="D10" s="21"/>
      <c r="E10" s="22" t="s">
        <v>14</v>
      </c>
      <c r="F10" s="23"/>
      <c r="G10" s="1"/>
      <c r="H10" s="1"/>
      <c r="I10" s="1"/>
      <c r="J10" s="1"/>
      <c r="K10" s="1"/>
      <c r="L10" s="1"/>
      <c r="M10" s="1"/>
      <c r="N10" s="1"/>
      <c r="O10" s="24"/>
    </row>
    <row r="11" ht="14.25" customHeight="1">
      <c r="A11" s="1" t="s">
        <v>15</v>
      </c>
      <c r="B11" s="25">
        <v>121.37</v>
      </c>
      <c r="C11" s="18"/>
      <c r="D11" s="26" t="s">
        <v>16</v>
      </c>
      <c r="E11" s="26" t="s">
        <v>17</v>
      </c>
      <c r="F11" s="26" t="s">
        <v>18</v>
      </c>
      <c r="G11" s="1"/>
      <c r="I11" s="1"/>
      <c r="J11" s="1"/>
      <c r="K11" s="1"/>
      <c r="L11" s="1"/>
      <c r="M11" s="1"/>
      <c r="N11" s="1"/>
    </row>
    <row r="12" ht="14.25" customHeight="1">
      <c r="A12" s="1" t="s">
        <v>19</v>
      </c>
      <c r="B12" s="25">
        <v>2710.0</v>
      </c>
      <c r="C12" s="1"/>
      <c r="D12" s="27">
        <v>2017.0</v>
      </c>
      <c r="E12" s="28">
        <v>1000.0</v>
      </c>
      <c r="F12" s="29">
        <v>0.0555</v>
      </c>
      <c r="G12" s="1"/>
      <c r="H12" s="1"/>
      <c r="I12" s="1"/>
      <c r="J12" s="1"/>
      <c r="K12" s="1"/>
      <c r="L12" s="1"/>
      <c r="M12" s="1"/>
      <c r="N12" s="1"/>
    </row>
    <row r="13" ht="14.25" customHeight="1">
      <c r="A13" s="1" t="s">
        <v>20</v>
      </c>
      <c r="B13" s="30">
        <v>0.0241</v>
      </c>
      <c r="C13" s="1"/>
      <c r="D13" s="31">
        <v>2017.0</v>
      </c>
      <c r="E13" s="32">
        <v>699.0</v>
      </c>
      <c r="F13" s="33">
        <v>0.0115</v>
      </c>
      <c r="G13" s="1"/>
      <c r="H13" s="1"/>
      <c r="I13" s="1"/>
      <c r="J13" s="1"/>
      <c r="K13" s="1"/>
      <c r="L13" s="1"/>
      <c r="M13" s="1"/>
      <c r="N13" s="1"/>
    </row>
    <row r="14" ht="14.25" customHeight="1">
      <c r="A14" s="1" t="s">
        <v>21</v>
      </c>
      <c r="B14" s="30">
        <v>0.0429</v>
      </c>
      <c r="C14" s="1"/>
      <c r="D14" s="27">
        <v>2018.0</v>
      </c>
      <c r="E14" s="34">
        <v>899.0</v>
      </c>
      <c r="F14" s="35">
        <v>0.0518</v>
      </c>
      <c r="G14" s="1"/>
      <c r="H14" s="1"/>
      <c r="I14" s="1"/>
      <c r="J14" s="1"/>
      <c r="K14" s="1"/>
      <c r="L14" s="1"/>
      <c r="M14" s="1"/>
      <c r="N14" s="1"/>
    </row>
    <row r="15" ht="14.25" customHeight="1">
      <c r="A15" s="1" t="s">
        <v>22</v>
      </c>
      <c r="B15" s="25">
        <v>0.74</v>
      </c>
      <c r="C15" s="1">
        <f>(0.68+0.68+0.81+0.79)/4</f>
        <v>0.74</v>
      </c>
      <c r="D15" s="31">
        <v>2018.0</v>
      </c>
      <c r="E15" s="32">
        <v>600.0</v>
      </c>
      <c r="F15" s="33">
        <v>0.017</v>
      </c>
      <c r="G15" s="1"/>
      <c r="H15" s="1"/>
      <c r="I15" s="1"/>
      <c r="J15" s="1"/>
      <c r="K15" s="1"/>
      <c r="L15" s="1"/>
      <c r="M15" s="1"/>
      <c r="N15" s="1"/>
    </row>
    <row r="16" ht="14.25" customHeight="1">
      <c r="A16" s="1" t="s">
        <v>23</v>
      </c>
      <c r="B16" s="36">
        <v>0.181</v>
      </c>
      <c r="C16" s="1"/>
      <c r="D16" s="27">
        <v>2019.0</v>
      </c>
      <c r="E16" s="34">
        <v>1041.0</v>
      </c>
      <c r="F16" s="35">
        <v>0.0583</v>
      </c>
      <c r="G16" s="1"/>
      <c r="H16" s="1"/>
      <c r="I16" s="1"/>
      <c r="J16" s="1"/>
      <c r="K16" s="1"/>
      <c r="L16" s="1"/>
      <c r="M16" s="1"/>
      <c r="N16" s="1"/>
    </row>
    <row r="17" ht="14.25" customHeight="1">
      <c r="A17" s="1" t="s">
        <v>24</v>
      </c>
      <c r="B17" s="25">
        <v>22442.0</v>
      </c>
      <c r="C17" s="1"/>
      <c r="D17" s="31">
        <v>2019.0</v>
      </c>
      <c r="E17" s="32">
        <v>499.0</v>
      </c>
      <c r="F17" s="33">
        <v>0.0193</v>
      </c>
      <c r="G17" s="1"/>
      <c r="H17" s="1"/>
      <c r="I17" s="1"/>
      <c r="J17" s="1"/>
      <c r="K17" s="9"/>
      <c r="L17" s="1"/>
      <c r="M17" s="1"/>
      <c r="N17" s="1"/>
    </row>
    <row r="18" ht="14.25" customHeight="1">
      <c r="A18" s="1" t="s">
        <v>25</v>
      </c>
      <c r="B18" s="25">
        <v>726.0</v>
      </c>
      <c r="C18" s="1"/>
      <c r="D18" s="31">
        <v>2019.0</v>
      </c>
      <c r="E18" s="34">
        <v>299.0</v>
      </c>
      <c r="F18" s="35">
        <v>0.012</v>
      </c>
      <c r="G18" s="1"/>
      <c r="H18" s="1"/>
      <c r="I18" s="1"/>
      <c r="J18" s="1"/>
      <c r="K18" s="1"/>
      <c r="L18" s="1"/>
      <c r="M18" s="1"/>
      <c r="N18" s="1"/>
    </row>
    <row r="19" ht="14.25" customHeight="1">
      <c r="A19" s="1" t="s">
        <v>26</v>
      </c>
      <c r="B19" s="25">
        <v>5.93</v>
      </c>
      <c r="C19" s="1"/>
      <c r="D19" s="31">
        <v>2019.0</v>
      </c>
      <c r="E19" s="32">
        <v>699.0</v>
      </c>
      <c r="F19" s="37">
        <v>0.0113</v>
      </c>
      <c r="G19" s="1"/>
      <c r="H19" s="1"/>
      <c r="I19" s="1"/>
      <c r="J19" s="1"/>
      <c r="K19" s="1"/>
      <c r="L19" s="1"/>
      <c r="M19" s="1"/>
      <c r="N19" s="1"/>
    </row>
    <row r="20" ht="14.25" customHeight="1">
      <c r="A20" s="1"/>
      <c r="B20" s="1"/>
      <c r="C20" s="1"/>
      <c r="D20" s="31">
        <v>2020.0</v>
      </c>
      <c r="E20" s="34">
        <v>84.0</v>
      </c>
      <c r="F20" s="38">
        <v>0.03</v>
      </c>
      <c r="G20" s="1"/>
      <c r="H20" s="1"/>
      <c r="I20" s="1"/>
      <c r="J20" s="1"/>
      <c r="K20" s="1"/>
      <c r="L20" s="1"/>
      <c r="M20" s="1"/>
      <c r="N20" s="1"/>
    </row>
    <row r="21" ht="14.25" customHeight="1">
      <c r="A21" s="1"/>
      <c r="B21" s="1"/>
      <c r="C21" s="1"/>
      <c r="D21" s="31">
        <v>2020.0</v>
      </c>
      <c r="E21" s="34">
        <v>546.0</v>
      </c>
      <c r="F21" s="38">
        <v>0.0315</v>
      </c>
      <c r="G21" s="1"/>
      <c r="H21" s="1"/>
      <c r="I21" s="1"/>
      <c r="J21" s="1"/>
      <c r="K21" s="1"/>
      <c r="L21" s="1"/>
      <c r="M21" s="1"/>
      <c r="N21" s="1"/>
    </row>
    <row r="22" ht="14.25" customHeight="1">
      <c r="A22" s="1"/>
      <c r="B22" s="1"/>
      <c r="C22" s="1"/>
      <c r="D22" s="31">
        <v>2021.0</v>
      </c>
      <c r="E22" s="34">
        <v>447.0</v>
      </c>
      <c r="F22" s="38">
        <v>0.0367</v>
      </c>
      <c r="G22" s="1"/>
      <c r="H22" s="1"/>
      <c r="I22" s="1"/>
      <c r="J22" s="1"/>
      <c r="K22" s="1"/>
      <c r="L22" s="1"/>
      <c r="M22" s="1"/>
      <c r="N22" s="1"/>
    </row>
    <row r="23" ht="14.25" customHeight="1">
      <c r="A23" s="1"/>
      <c r="B23" s="1"/>
      <c r="C23" s="1"/>
      <c r="D23" s="31">
        <v>2021.0</v>
      </c>
      <c r="E23" s="34">
        <v>348.0</v>
      </c>
      <c r="F23" s="38">
        <v>0.0248</v>
      </c>
      <c r="G23" s="1"/>
      <c r="H23" s="1"/>
      <c r="I23" s="1"/>
      <c r="J23" s="1"/>
      <c r="K23" s="1"/>
      <c r="L23" s="1"/>
      <c r="M23" s="1"/>
      <c r="N23" s="1"/>
    </row>
    <row r="24" ht="14.25" customHeight="1">
      <c r="A24" s="1"/>
      <c r="B24" s="1"/>
      <c r="C24" s="1"/>
      <c r="D24" s="31">
        <v>2021.0</v>
      </c>
      <c r="E24" s="34">
        <v>997.0</v>
      </c>
      <c r="F24" s="38">
        <v>0.0165</v>
      </c>
      <c r="G24" s="1"/>
      <c r="H24" s="1"/>
      <c r="I24" s="1"/>
      <c r="J24" s="1"/>
      <c r="K24" s="1"/>
      <c r="L24" s="1"/>
      <c r="M24" s="1"/>
      <c r="N24" s="1"/>
    </row>
    <row r="25" ht="14.25" customHeight="1">
      <c r="A25" s="1"/>
      <c r="B25" s="1"/>
      <c r="C25" s="1"/>
      <c r="D25" s="31">
        <v>2022.0</v>
      </c>
      <c r="E25" s="34">
        <v>1041.0</v>
      </c>
      <c r="F25" s="39">
        <v>0.0026</v>
      </c>
      <c r="G25" s="1"/>
      <c r="H25" s="1"/>
      <c r="I25" s="1"/>
      <c r="J25" s="1"/>
      <c r="K25" s="1"/>
      <c r="L25" s="1"/>
      <c r="M25" s="1"/>
      <c r="N25" s="1"/>
    </row>
    <row r="26" ht="14.25" customHeight="1">
      <c r="A26" s="1"/>
      <c r="B26" s="1"/>
      <c r="C26" s="1"/>
      <c r="D26" s="31">
        <v>2023.0</v>
      </c>
      <c r="E26" s="34">
        <v>249.0</v>
      </c>
      <c r="F26" s="38">
        <v>0.0673</v>
      </c>
      <c r="G26" s="1"/>
      <c r="H26" s="1"/>
      <c r="I26" s="1"/>
      <c r="J26" s="1"/>
      <c r="K26" s="1"/>
      <c r="L26" s="1"/>
      <c r="M26" s="1"/>
      <c r="N26" s="1"/>
    </row>
    <row r="27" ht="14.25" customHeight="1">
      <c r="A27" s="1"/>
      <c r="B27" s="1"/>
      <c r="C27" s="1"/>
      <c r="D27" s="31">
        <v>2023.0</v>
      </c>
      <c r="E27" s="34">
        <v>807.0</v>
      </c>
      <c r="F27" s="38">
        <v>0.0317</v>
      </c>
      <c r="G27" s="1"/>
      <c r="H27" s="1"/>
      <c r="I27" s="1"/>
      <c r="J27" s="1"/>
      <c r="K27" s="1"/>
      <c r="L27" s="1"/>
      <c r="M27" s="1"/>
      <c r="N27" s="1"/>
    </row>
    <row r="28" ht="14.25" customHeight="1">
      <c r="A28" s="1"/>
      <c r="B28" s="1"/>
      <c r="C28" s="1"/>
      <c r="D28" s="31">
        <v>2023.0</v>
      </c>
      <c r="E28" s="34">
        <v>497.0</v>
      </c>
      <c r="F28" s="38">
        <v>0.0209</v>
      </c>
      <c r="G28" s="1"/>
      <c r="H28" s="1"/>
      <c r="I28" s="1"/>
      <c r="J28" s="1"/>
      <c r="K28" s="1"/>
      <c r="L28" s="1"/>
      <c r="M28" s="1"/>
      <c r="N28" s="1"/>
    </row>
    <row r="29" ht="14.25" customHeight="1">
      <c r="A29" s="1"/>
      <c r="B29" s="1"/>
      <c r="C29" s="1"/>
      <c r="D29" s="31">
        <v>2024.0</v>
      </c>
      <c r="E29" s="34">
        <v>779.0</v>
      </c>
      <c r="F29" s="38">
        <v>0.0068</v>
      </c>
      <c r="G29" s="1"/>
      <c r="H29" s="1"/>
      <c r="I29" s="1"/>
      <c r="J29" s="1"/>
      <c r="K29" s="1"/>
      <c r="L29" s="1"/>
      <c r="M29" s="1"/>
      <c r="N29" s="1"/>
    </row>
    <row r="30" ht="14.25" customHeight="1">
      <c r="A30" s="1"/>
      <c r="B30" s="1"/>
      <c r="C30" s="1"/>
      <c r="D30" s="31">
        <v>2024.0</v>
      </c>
      <c r="E30" s="34">
        <v>605.0</v>
      </c>
      <c r="F30" s="38">
        <v>0.0675</v>
      </c>
      <c r="G30" s="1"/>
      <c r="H30" s="1"/>
      <c r="I30" s="1"/>
      <c r="J30" s="1"/>
      <c r="K30" s="1"/>
      <c r="L30" s="1"/>
      <c r="M30" s="1"/>
      <c r="N30" s="1"/>
    </row>
    <row r="31" ht="14.25" customHeight="1">
      <c r="A31" s="1"/>
      <c r="B31" s="1"/>
      <c r="C31" s="1"/>
      <c r="D31" s="31">
        <v>2026.0</v>
      </c>
      <c r="E31" s="34">
        <v>1989.0</v>
      </c>
      <c r="F31" s="38">
        <v>0.0247</v>
      </c>
      <c r="G31" s="1"/>
      <c r="H31" s="1"/>
      <c r="I31" s="1"/>
      <c r="J31" s="1"/>
      <c r="K31" s="1"/>
      <c r="L31" s="1"/>
      <c r="M31" s="1"/>
      <c r="N31" s="1"/>
    </row>
    <row r="32" ht="14.25" customHeight="1">
      <c r="A32" s="1"/>
      <c r="B32" s="1"/>
      <c r="C32" s="1"/>
      <c r="D32" s="31">
        <v>2028.0</v>
      </c>
      <c r="E32" s="34">
        <v>775.0</v>
      </c>
      <c r="F32" s="38">
        <v>0.0121</v>
      </c>
      <c r="G32" s="1"/>
      <c r="H32" s="1"/>
      <c r="I32" s="1"/>
      <c r="J32" s="1"/>
      <c r="K32" s="1"/>
      <c r="L32" s="1"/>
      <c r="M32" s="1"/>
      <c r="N32" s="1"/>
    </row>
    <row r="33" ht="14.25" customHeight="1">
      <c r="A33" s="1"/>
      <c r="B33" s="1"/>
      <c r="C33" s="1"/>
      <c r="D33" s="31">
        <v>2029.0</v>
      </c>
      <c r="E33" s="34">
        <v>296.0</v>
      </c>
      <c r="F33" s="38">
        <v>0.0714</v>
      </c>
      <c r="G33" s="1"/>
      <c r="H33" s="1"/>
      <c r="I33" s="1"/>
      <c r="J33" s="1"/>
      <c r="K33" s="1"/>
      <c r="L33" s="1"/>
      <c r="M33" s="1"/>
      <c r="N33" s="1"/>
    </row>
    <row r="34" ht="14.25" customHeight="1">
      <c r="A34" s="1"/>
      <c r="B34" s="1"/>
      <c r="C34" s="1"/>
      <c r="D34" s="31">
        <v>2033.0</v>
      </c>
      <c r="E34" s="34">
        <v>497.0</v>
      </c>
      <c r="F34" s="38">
        <v>0.0495</v>
      </c>
      <c r="G34" s="1"/>
      <c r="H34" s="1"/>
      <c r="I34" s="1"/>
      <c r="J34" s="1"/>
      <c r="K34" s="1"/>
      <c r="L34" s="1"/>
      <c r="M34" s="1"/>
      <c r="N34" s="1"/>
    </row>
    <row r="35" ht="14.25" customHeight="1">
      <c r="A35" s="1"/>
      <c r="B35" s="1"/>
      <c r="C35" s="1"/>
      <c r="D35" s="31">
        <v>2033.0</v>
      </c>
      <c r="E35" s="34">
        <v>857.0</v>
      </c>
      <c r="F35" s="38">
        <v>0.0424</v>
      </c>
      <c r="G35" s="1"/>
      <c r="H35" s="1"/>
      <c r="I35" s="1"/>
      <c r="J35" s="1"/>
      <c r="K35" s="1"/>
      <c r="L35" s="1"/>
      <c r="M35" s="1"/>
      <c r="N35" s="1"/>
    </row>
    <row r="36" ht="14.25" customHeight="1">
      <c r="A36" s="1"/>
      <c r="B36" s="1"/>
      <c r="C36" s="1"/>
      <c r="D36" s="31">
        <v>2035.0</v>
      </c>
      <c r="E36" s="34">
        <v>1549.0</v>
      </c>
      <c r="F36" s="38">
        <v>0.0168</v>
      </c>
      <c r="G36" s="1"/>
      <c r="H36" s="1"/>
      <c r="I36" s="1"/>
      <c r="J36" s="1"/>
      <c r="K36" s="1"/>
      <c r="L36" s="1"/>
      <c r="M36" s="1"/>
      <c r="N36" s="1"/>
    </row>
    <row r="37" ht="14.25" customHeight="1">
      <c r="A37" s="1"/>
      <c r="B37" s="1"/>
      <c r="C37" s="1"/>
      <c r="D37" s="31">
        <v>2036.0</v>
      </c>
      <c r="E37" s="34">
        <v>987.0</v>
      </c>
      <c r="F37" s="38">
        <v>0.0359</v>
      </c>
      <c r="G37" s="1"/>
      <c r="H37" s="1"/>
      <c r="I37" s="1"/>
      <c r="J37" s="1"/>
      <c r="K37" s="1"/>
      <c r="L37" s="1"/>
      <c r="M37" s="1"/>
      <c r="N37" s="1"/>
    </row>
    <row r="38" ht="14.25" customHeight="1">
      <c r="A38" s="1"/>
      <c r="B38" s="1"/>
      <c r="C38" s="1"/>
      <c r="D38" s="31">
        <v>2037.0</v>
      </c>
      <c r="E38" s="34">
        <v>990.0</v>
      </c>
      <c r="F38" s="38">
        <v>0.0599</v>
      </c>
      <c r="G38" s="1"/>
      <c r="H38" s="1"/>
      <c r="I38" s="1"/>
      <c r="J38" s="1"/>
      <c r="K38" s="1"/>
      <c r="L38" s="1"/>
      <c r="M38" s="1"/>
      <c r="N38" s="1"/>
    </row>
    <row r="39" ht="14.25" customHeight="1">
      <c r="A39" s="1"/>
      <c r="B39" s="1"/>
      <c r="C39" s="1"/>
      <c r="D39" s="31">
        <v>2038.0</v>
      </c>
      <c r="E39" s="34">
        <v>695.0</v>
      </c>
      <c r="F39" s="38">
        <v>0.0585</v>
      </c>
      <c r="G39" s="1"/>
      <c r="H39" s="1"/>
      <c r="I39" s="1"/>
      <c r="J39" s="1"/>
      <c r="K39" s="1"/>
      <c r="L39" s="1"/>
      <c r="M39" s="1"/>
      <c r="N39" s="1"/>
    </row>
    <row r="40" ht="14.25" customHeight="1">
      <c r="A40" s="1" t="s">
        <v>27</v>
      </c>
      <c r="B40" s="40">
        <f>IF(C5="NO",E44,D5)</f>
        <v>24069</v>
      </c>
      <c r="C40" s="1"/>
      <c r="D40" s="31">
        <v>2040.0</v>
      </c>
      <c r="E40" s="32">
        <v>537.0</v>
      </c>
      <c r="F40" s="37">
        <v>0.0463</v>
      </c>
      <c r="G40" s="1"/>
      <c r="H40" s="1"/>
      <c r="I40" s="1"/>
      <c r="J40" s="1"/>
      <c r="K40" s="1"/>
      <c r="L40" s="1"/>
      <c r="M40" s="1"/>
      <c r="N40" s="1"/>
    </row>
    <row r="41" ht="14.25" customHeight="1">
      <c r="A41" s="1" t="s">
        <v>28</v>
      </c>
      <c r="B41" s="41">
        <f>IF(C8="yes",D8,B13+(B14*B15))</f>
        <v>0.055846</v>
      </c>
      <c r="C41" s="1"/>
      <c r="D41" s="31">
        <v>2041.0</v>
      </c>
      <c r="E41" s="34">
        <v>296.0</v>
      </c>
      <c r="F41" s="38">
        <v>0.0489</v>
      </c>
      <c r="G41" s="1"/>
      <c r="H41" s="1"/>
      <c r="I41" s="1"/>
      <c r="J41" s="1"/>
      <c r="K41" s="1"/>
      <c r="L41" s="1"/>
      <c r="M41" s="1"/>
      <c r="N41" s="1"/>
    </row>
    <row r="42" ht="14.25" customHeight="1">
      <c r="A42" s="1" t="s">
        <v>29</v>
      </c>
      <c r="B42" s="41">
        <f>IF(C7="Yes",D7,E46)</f>
        <v>0.0272989928</v>
      </c>
      <c r="C42" s="1"/>
      <c r="D42" s="31">
        <v>2043.0</v>
      </c>
      <c r="E42" s="32">
        <v>495.0</v>
      </c>
      <c r="F42" s="37">
        <v>0.0452</v>
      </c>
      <c r="G42" s="1"/>
      <c r="H42" s="1"/>
      <c r="I42" s="1"/>
      <c r="J42" s="1"/>
      <c r="K42" s="1"/>
      <c r="L42" s="1"/>
      <c r="M42" s="1"/>
      <c r="N42" s="1"/>
    </row>
    <row r="43" ht="14.25" customHeight="1">
      <c r="A43" s="1" t="s">
        <v>27</v>
      </c>
      <c r="B43" s="40">
        <f>B40</f>
        <v>24069</v>
      </c>
      <c r="C43" s="1"/>
      <c r="D43" s="27">
        <v>2046.0</v>
      </c>
      <c r="E43" s="42">
        <v>1970.0</v>
      </c>
      <c r="F43" s="43">
        <v>0.0374</v>
      </c>
      <c r="G43" s="1"/>
      <c r="H43" s="1"/>
      <c r="I43" s="1"/>
      <c r="J43" s="1"/>
      <c r="K43" s="1"/>
      <c r="L43" s="1"/>
      <c r="M43" s="1"/>
      <c r="N43" s="1"/>
    </row>
    <row r="44" ht="14.25" customHeight="1">
      <c r="A44" s="1" t="s">
        <v>30</v>
      </c>
      <c r="B44" s="40">
        <f>B12*B11</f>
        <v>328912.7</v>
      </c>
      <c r="C44" s="1"/>
      <c r="D44" s="21" t="s">
        <v>31</v>
      </c>
      <c r="E44" s="40">
        <f>SUM(E12:E43)</f>
        <v>24069</v>
      </c>
      <c r="F44" s="1"/>
      <c r="G44" s="1"/>
      <c r="H44" s="1"/>
      <c r="I44" s="1"/>
      <c r="J44" s="1"/>
      <c r="K44" s="1"/>
      <c r="L44" s="1"/>
      <c r="M44" s="1"/>
      <c r="N44" s="1"/>
    </row>
    <row r="45" ht="14.25" customHeight="1">
      <c r="A45" s="1" t="s">
        <v>32</v>
      </c>
      <c r="B45" s="41">
        <f>B43/SUM(B43:B44)</f>
        <v>0.06818767092</v>
      </c>
      <c r="C45" s="1"/>
      <c r="D45" s="21" t="s">
        <v>33</v>
      </c>
      <c r="E45" s="41">
        <f>SUMPRODUCT(E12:E43,F12:F43)/E44</f>
        <v>0.03333210354</v>
      </c>
      <c r="F45" s="1"/>
      <c r="G45" s="1"/>
      <c r="H45" s="1"/>
      <c r="I45" s="1"/>
      <c r="J45" s="1"/>
      <c r="K45" s="1"/>
      <c r="L45" s="1"/>
      <c r="M45" s="1"/>
      <c r="N45" s="1"/>
    </row>
    <row r="46" ht="14.25" customHeight="1">
      <c r="A46" s="1" t="s">
        <v>34</v>
      </c>
      <c r="B46" s="41">
        <f>B44/SUM(B43:B44)</f>
        <v>0.9318123291</v>
      </c>
      <c r="C46" s="1"/>
      <c r="D46" s="21" t="s">
        <v>35</v>
      </c>
      <c r="E46" s="41">
        <f>E45*(1-B16)</f>
        <v>0.0272989928</v>
      </c>
      <c r="F46" s="1"/>
      <c r="G46" s="1"/>
      <c r="H46" s="1"/>
      <c r="I46" s="1"/>
      <c r="J46" s="1"/>
      <c r="K46" s="1"/>
      <c r="L46" s="1"/>
      <c r="M46" s="1"/>
      <c r="N46" s="1"/>
    </row>
    <row r="47" ht="14.25" customHeight="1">
      <c r="A47" s="1" t="s">
        <v>13</v>
      </c>
      <c r="B47" s="41">
        <f>IF(C6="yes",D6,(B45*B42+B46*B41))</f>
        <v>0.05389944607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14.25" customHeight="1">
      <c r="A50" s="20" t="s">
        <v>36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ht="14.2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3"/>
      <c r="O51" s="3"/>
    </row>
    <row r="52" ht="14.25" customHeight="1">
      <c r="A52" s="1" t="s">
        <v>37</v>
      </c>
      <c r="B52" s="45">
        <v>4.0</v>
      </c>
      <c r="C52" s="1"/>
      <c r="D52" s="1" t="s">
        <v>38</v>
      </c>
      <c r="E52" s="46">
        <v>21165.0</v>
      </c>
      <c r="F52" s="1"/>
      <c r="G52" s="1" t="s">
        <v>39</v>
      </c>
      <c r="H52" s="47">
        <v>18972.0</v>
      </c>
      <c r="I52" s="1"/>
      <c r="J52" s="1"/>
      <c r="K52" s="1"/>
      <c r="L52" s="1"/>
      <c r="M52" s="1"/>
      <c r="N52" s="1"/>
    </row>
    <row r="53" ht="14.25" customHeight="1">
      <c r="A53" s="1" t="s">
        <v>40</v>
      </c>
      <c r="B53" s="48">
        <v>0.05</v>
      </c>
      <c r="C53" s="1"/>
      <c r="D53" s="1" t="s">
        <v>41</v>
      </c>
      <c r="E53" s="46">
        <v>15912.0</v>
      </c>
      <c r="F53" s="1"/>
      <c r="G53" s="1" t="s">
        <v>42</v>
      </c>
      <c r="H53" s="47">
        <v>70790.0</v>
      </c>
      <c r="I53" s="1"/>
      <c r="J53" s="1"/>
      <c r="K53" s="1"/>
      <c r="L53" s="1"/>
      <c r="M53" s="1"/>
      <c r="N53" s="1"/>
    </row>
    <row r="54" ht="14.25" customHeight="1">
      <c r="A54" s="1" t="s">
        <v>43</v>
      </c>
      <c r="B54" s="48">
        <v>0.02</v>
      </c>
      <c r="C54" s="1"/>
      <c r="D54" s="1" t="s">
        <v>44</v>
      </c>
      <c r="E54" s="46">
        <v>3754.0</v>
      </c>
      <c r="F54" s="1"/>
      <c r="G54" s="1" t="s">
        <v>45</v>
      </c>
      <c r="H54" s="47"/>
      <c r="I54" s="1"/>
      <c r="J54" s="1"/>
      <c r="K54" s="1"/>
      <c r="L54" s="1"/>
      <c r="M54" s="1"/>
      <c r="N54" s="1"/>
    </row>
    <row r="55" ht="14.25" customHeight="1">
      <c r="A55" s="1"/>
      <c r="B55" s="18" t="s">
        <v>46</v>
      </c>
      <c r="C55" s="1"/>
      <c r="D55" s="1" t="s">
        <v>47</v>
      </c>
      <c r="E55" s="46">
        <v>38745.0</v>
      </c>
      <c r="F55" s="1"/>
      <c r="G55" s="1"/>
      <c r="H55" s="1"/>
      <c r="I55" s="1"/>
      <c r="J55" s="1"/>
      <c r="K55" s="1"/>
      <c r="L55" s="1"/>
      <c r="M55" s="1"/>
      <c r="N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ht="14.25" customHeight="1">
      <c r="A57" s="1"/>
      <c r="B57" s="49"/>
      <c r="C57" s="49">
        <v>0.0</v>
      </c>
      <c r="D57" s="50">
        <v>1.0</v>
      </c>
      <c r="E57" s="50">
        <v>2.0</v>
      </c>
      <c r="F57" s="50">
        <v>3.0</v>
      </c>
      <c r="G57" s="50">
        <f t="shared" ref="G57:M57" si="1">IF(AND((F57+1)&lt;=$B$52,F57&gt;0),F57+1,0)</f>
        <v>4</v>
      </c>
      <c r="H57" s="50">
        <f t="shared" si="1"/>
        <v>0</v>
      </c>
      <c r="I57" s="50">
        <f t="shared" si="1"/>
        <v>0</v>
      </c>
      <c r="J57" s="50">
        <f t="shared" si="1"/>
        <v>0</v>
      </c>
      <c r="K57" s="50">
        <f t="shared" si="1"/>
        <v>0</v>
      </c>
      <c r="L57" s="50">
        <f t="shared" si="1"/>
        <v>0</v>
      </c>
      <c r="M57" s="50">
        <f t="shared" si="1"/>
        <v>0</v>
      </c>
      <c r="N57" s="50" t="s">
        <v>48</v>
      </c>
    </row>
    <row r="58" ht="14.25" customHeight="1">
      <c r="A58" s="1"/>
      <c r="B58" s="49" t="s">
        <v>38</v>
      </c>
      <c r="C58" s="51">
        <f t="shared" ref="C58:C61" si="4">E52</f>
        <v>21165</v>
      </c>
      <c r="D58" s="52">
        <f t="shared" ref="D58:D61" si="5">E52*(1+$B$53)</f>
        <v>22223.25</v>
      </c>
      <c r="E58" s="53">
        <f t="shared" ref="E58:F58" si="2">D58*(1+$B$53)</f>
        <v>23334.4125</v>
      </c>
      <c r="F58" s="53">
        <f t="shared" si="2"/>
        <v>24501.13313</v>
      </c>
      <c r="G58" s="53">
        <f t="shared" ref="G58:M58" si="3">IF(G$57=F$57+1,(F58*(1+$B$53))," ")</f>
        <v>25726.18978</v>
      </c>
      <c r="H58" s="53" t="str">
        <f t="shared" si="3"/>
        <v> </v>
      </c>
      <c r="I58" s="53" t="str">
        <f t="shared" si="3"/>
        <v> </v>
      </c>
      <c r="J58" s="53" t="str">
        <f t="shared" si="3"/>
        <v> </v>
      </c>
      <c r="K58" s="53" t="str">
        <f t="shared" si="3"/>
        <v> </v>
      </c>
      <c r="L58" s="53" t="str">
        <f t="shared" si="3"/>
        <v> </v>
      </c>
      <c r="M58" s="53" t="str">
        <f t="shared" si="3"/>
        <v> </v>
      </c>
      <c r="N58" s="54"/>
    </row>
    <row r="59" ht="14.25" customHeight="1">
      <c r="A59" s="1"/>
      <c r="B59" s="49" t="s">
        <v>41</v>
      </c>
      <c r="C59" s="51">
        <f t="shared" si="4"/>
        <v>15912</v>
      </c>
      <c r="D59" s="52">
        <f t="shared" si="5"/>
        <v>16707.6</v>
      </c>
      <c r="E59" s="53">
        <f t="shared" ref="E59:F59" si="6">D59*(1+$B$53)</f>
        <v>17542.98</v>
      </c>
      <c r="F59" s="53">
        <f t="shared" si="6"/>
        <v>18420.129</v>
      </c>
      <c r="G59" s="53">
        <f t="shared" ref="G59:M59" si="7">IF(G$57=F$57+1,(F59*(1+$B$53))," ")</f>
        <v>19341.13545</v>
      </c>
      <c r="H59" s="53" t="str">
        <f t="shared" si="7"/>
        <v> </v>
      </c>
      <c r="I59" s="53" t="str">
        <f t="shared" si="7"/>
        <v> </v>
      </c>
      <c r="J59" s="53" t="str">
        <f t="shared" si="7"/>
        <v> </v>
      </c>
      <c r="K59" s="53" t="str">
        <f t="shared" si="7"/>
        <v> </v>
      </c>
      <c r="L59" s="53" t="str">
        <f t="shared" si="7"/>
        <v> </v>
      </c>
      <c r="M59" s="53" t="str">
        <f t="shared" si="7"/>
        <v> </v>
      </c>
      <c r="N59" s="54"/>
    </row>
    <row r="60" ht="14.25" customHeight="1">
      <c r="A60" s="1"/>
      <c r="B60" s="49" t="s">
        <v>44</v>
      </c>
      <c r="C60" s="51">
        <f t="shared" si="4"/>
        <v>3754</v>
      </c>
      <c r="D60" s="52">
        <f t="shared" si="5"/>
        <v>3941.7</v>
      </c>
      <c r="E60" s="53">
        <f t="shared" ref="E60:F60" si="8">D60*(1+$B$53)</f>
        <v>4138.785</v>
      </c>
      <c r="F60" s="53">
        <f t="shared" si="8"/>
        <v>4345.72425</v>
      </c>
      <c r="G60" s="53">
        <f t="shared" ref="G60:M60" si="9">IF(G$57=F$57+1,(F60*(1+$B$53))," ")</f>
        <v>4563.010463</v>
      </c>
      <c r="H60" s="53" t="str">
        <f t="shared" si="9"/>
        <v> </v>
      </c>
      <c r="I60" s="53" t="str">
        <f t="shared" si="9"/>
        <v> </v>
      </c>
      <c r="J60" s="53" t="str">
        <f t="shared" si="9"/>
        <v> </v>
      </c>
      <c r="K60" s="53" t="str">
        <f t="shared" si="9"/>
        <v> </v>
      </c>
      <c r="L60" s="53" t="str">
        <f t="shared" si="9"/>
        <v> </v>
      </c>
      <c r="M60" s="53" t="str">
        <f t="shared" si="9"/>
        <v> </v>
      </c>
      <c r="N60" s="54"/>
    </row>
    <row r="61" ht="14.25" customHeight="1">
      <c r="A61" s="1"/>
      <c r="B61" s="50" t="s">
        <v>47</v>
      </c>
      <c r="C61" s="55">
        <f t="shared" si="4"/>
        <v>38745</v>
      </c>
      <c r="D61" s="56">
        <f t="shared" si="5"/>
        <v>40682.25</v>
      </c>
      <c r="E61" s="57">
        <f t="shared" ref="E61:F61" si="10">D61*(1+$B$53)</f>
        <v>42716.3625</v>
      </c>
      <c r="F61" s="57">
        <f t="shared" si="10"/>
        <v>44852.18063</v>
      </c>
      <c r="G61" s="57">
        <f t="shared" ref="G61:M61" si="11">IF(G$57=F$57+1,(F61*(1+$B$53))," ")</f>
        <v>47094.78966</v>
      </c>
      <c r="H61" s="57" t="str">
        <f t="shared" si="11"/>
        <v> </v>
      </c>
      <c r="I61" s="57" t="str">
        <f t="shared" si="11"/>
        <v> </v>
      </c>
      <c r="J61" s="57" t="str">
        <f t="shared" si="11"/>
        <v> </v>
      </c>
      <c r="K61" s="57" t="str">
        <f t="shared" si="11"/>
        <v> </v>
      </c>
      <c r="L61" s="57" t="str">
        <f t="shared" si="11"/>
        <v> </v>
      </c>
      <c r="M61" s="57" t="str">
        <f t="shared" si="11"/>
        <v> </v>
      </c>
      <c r="N61" s="58"/>
    </row>
    <row r="62" ht="14.25" customHeight="1">
      <c r="A62" s="1"/>
      <c r="B62" s="49" t="s">
        <v>49</v>
      </c>
      <c r="C62" s="49"/>
      <c r="D62" s="53">
        <f t="shared" ref="D62:M62" si="12">IF(D57&gt;0,(D58*(1-$B$16))-(D59-C59)+(D60-C60)-(D61-C61),0)</f>
        <v>15655.69175</v>
      </c>
      <c r="E62" s="53">
        <f t="shared" si="12"/>
        <v>16438.47634</v>
      </c>
      <c r="F62" s="53">
        <f t="shared" si="12"/>
        <v>17260.40015</v>
      </c>
      <c r="G62" s="53">
        <f t="shared" si="12"/>
        <v>18123.42016</v>
      </c>
      <c r="H62" s="53">
        <f t="shared" si="12"/>
        <v>0</v>
      </c>
      <c r="I62" s="53">
        <f t="shared" si="12"/>
        <v>0</v>
      </c>
      <c r="J62" s="53">
        <f t="shared" si="12"/>
        <v>0</v>
      </c>
      <c r="K62" s="53">
        <f t="shared" si="12"/>
        <v>0</v>
      </c>
      <c r="L62" s="53">
        <f t="shared" si="12"/>
        <v>0</v>
      </c>
      <c r="M62" s="53">
        <f t="shared" si="12"/>
        <v>0</v>
      </c>
      <c r="N62" s="59">
        <f>(HLOOKUP(B52,D57:M62,6,)*(1+B54))/(B47-B54)</f>
        <v>545315.3579</v>
      </c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ht="14.25" customHeight="1">
      <c r="A64" s="1"/>
      <c r="B64" s="49" t="s">
        <v>50</v>
      </c>
      <c r="C64" s="49"/>
      <c r="D64" s="53">
        <f t="shared" ref="D64:E64" si="13">D62</f>
        <v>15655.69175</v>
      </c>
      <c r="E64" s="53">
        <f t="shared" si="13"/>
        <v>16438.47634</v>
      </c>
      <c r="F64" s="53">
        <f t="shared" ref="F64:L64" si="14">IF(AND(G57=0,F62&gt;0),F62+$N$62,F62)</f>
        <v>17260.40015</v>
      </c>
      <c r="G64" s="53">
        <f t="shared" si="14"/>
        <v>563438.7781</v>
      </c>
      <c r="H64" s="53">
        <f t="shared" si="14"/>
        <v>0</v>
      </c>
      <c r="I64" s="53">
        <f t="shared" si="14"/>
        <v>0</v>
      </c>
      <c r="J64" s="53">
        <f t="shared" si="14"/>
        <v>0</v>
      </c>
      <c r="K64" s="53">
        <f t="shared" si="14"/>
        <v>0</v>
      </c>
      <c r="L64" s="53">
        <f t="shared" si="14"/>
        <v>0</v>
      </c>
      <c r="M64" s="53">
        <f>IF(M62&gt;0,M62+$N$62,M62)</f>
        <v>0</v>
      </c>
      <c r="N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ht="14.25" customHeight="1">
      <c r="A66" s="49" t="s">
        <v>51</v>
      </c>
      <c r="B66" s="60">
        <f t="array" ref="B66">NPV(B47,D64:M64)+H52</f>
        <v>520092.3545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ht="14.25" customHeight="1">
      <c r="A67" s="49" t="s">
        <v>52</v>
      </c>
      <c r="B67" s="60">
        <f>B66-H53-H54</f>
        <v>449302.3545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ht="18.0" customHeight="1">
      <c r="A68" s="61" t="s">
        <v>53</v>
      </c>
      <c r="B68" s="62">
        <f>B67/B12</f>
        <v>165.7942267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ht="14.25" customHeight="1">
      <c r="A69" s="1"/>
      <c r="B69" s="1"/>
      <c r="C69" s="63"/>
      <c r="D69" s="63"/>
      <c r="E69" s="63"/>
      <c r="F69" s="1"/>
      <c r="G69" s="1"/>
      <c r="H69" s="1"/>
      <c r="I69" s="1"/>
      <c r="J69" s="1"/>
      <c r="K69" s="1"/>
      <c r="L69" s="1"/>
      <c r="M69" s="1"/>
      <c r="N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ht="23.25" customHeight="1">
      <c r="A71" s="64" t="s">
        <v>54</v>
      </c>
      <c r="B71" s="65" t="s">
        <v>55</v>
      </c>
      <c r="C71" s="66"/>
      <c r="D71" s="66"/>
      <c r="E71" s="66"/>
      <c r="F71" s="66"/>
      <c r="G71" s="66"/>
      <c r="H71" s="64" t="s">
        <v>56</v>
      </c>
      <c r="I71" s="64"/>
      <c r="J71" s="64"/>
      <c r="K71" s="64"/>
      <c r="L71" s="64"/>
      <c r="M71" s="64"/>
      <c r="N71" s="64"/>
      <c r="O71" s="66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14.25" customHeight="1">
      <c r="A73" s="1"/>
      <c r="B73" s="1" t="s">
        <v>13</v>
      </c>
      <c r="C73" s="1"/>
      <c r="D73" s="30">
        <v>0.062</v>
      </c>
      <c r="E73" s="1"/>
      <c r="F73" s="1"/>
      <c r="G73" s="1"/>
      <c r="H73" s="1"/>
      <c r="I73" s="1"/>
      <c r="J73" s="1"/>
      <c r="K73" s="1"/>
      <c r="L73" s="1"/>
      <c r="M73" s="1"/>
      <c r="N73" s="1"/>
    </row>
    <row r="74" ht="14.25" customHeight="1">
      <c r="A74" s="1"/>
      <c r="B74" s="1" t="s">
        <v>57</v>
      </c>
      <c r="C74" s="1"/>
      <c r="D74" s="36">
        <v>0.05</v>
      </c>
      <c r="E74" s="1"/>
      <c r="F74" s="1"/>
      <c r="G74" s="1"/>
      <c r="H74" s="1"/>
      <c r="I74" s="1"/>
      <c r="J74" s="1"/>
      <c r="K74" s="1"/>
      <c r="L74" s="1"/>
      <c r="M74" s="1"/>
      <c r="N74" s="1"/>
    </row>
    <row r="75" ht="14.25" customHeight="1">
      <c r="A75" s="1"/>
      <c r="B75" s="1" t="s">
        <v>58</v>
      </c>
      <c r="C75" s="1"/>
      <c r="D75" s="36">
        <v>0.02</v>
      </c>
      <c r="E75" s="1"/>
      <c r="F75" s="1"/>
      <c r="G75" s="1"/>
      <c r="H75" s="1"/>
      <c r="I75" s="1"/>
      <c r="J75" s="1"/>
      <c r="K75" s="1"/>
      <c r="L75" s="1"/>
      <c r="M75" s="1"/>
      <c r="N75" s="1"/>
    </row>
    <row r="76" ht="14.25" customHeight="1">
      <c r="A76" s="1"/>
      <c r="B76" s="1"/>
      <c r="C76" s="1"/>
      <c r="D76" s="1"/>
      <c r="E76" s="1"/>
      <c r="F76" s="67" t="s">
        <v>59</v>
      </c>
      <c r="G76" s="1"/>
      <c r="H76" s="1"/>
      <c r="I76" s="1"/>
      <c r="J76" s="1"/>
      <c r="K76" s="1"/>
      <c r="L76" s="1"/>
      <c r="M76" s="1"/>
      <c r="N76" s="1"/>
    </row>
    <row r="77" ht="14.25" customHeight="1">
      <c r="A77" s="1"/>
      <c r="B77" s="68">
        <f>B68</f>
        <v>165.7942267</v>
      </c>
      <c r="C77" s="69">
        <f>F77*0.6</f>
        <v>0.0372</v>
      </c>
      <c r="D77" s="69">
        <f>F77*0.75</f>
        <v>0.0465</v>
      </c>
      <c r="E77" s="69">
        <f>F77*0.9</f>
        <v>0.0558</v>
      </c>
      <c r="F77" s="69">
        <f>D73</f>
        <v>0.062</v>
      </c>
      <c r="G77" s="69">
        <f>F77*1.1</f>
        <v>0.0682</v>
      </c>
      <c r="H77" s="69">
        <f>F77*1.25</f>
        <v>0.0775</v>
      </c>
      <c r="I77" s="69">
        <f>F77*1.4</f>
        <v>0.0868</v>
      </c>
      <c r="J77" s="1"/>
      <c r="K77" s="1"/>
      <c r="L77" s="1"/>
      <c r="M77" s="1"/>
      <c r="N77" s="1"/>
    </row>
    <row r="78" ht="14.25" customHeight="1">
      <c r="A78" s="1"/>
      <c r="B78" s="69">
        <f>B81*0.6</f>
        <v>0.03</v>
      </c>
      <c r="C78" s="70">
        <v>177.74549399810977</v>
      </c>
      <c r="D78" s="70">
        <v>106.27824401034297</v>
      </c>
      <c r="E78" s="70">
        <v>72.28643473593735</v>
      </c>
      <c r="F78" s="70">
        <v>58.054647336772774</v>
      </c>
      <c r="G78" s="70">
        <v>47.509602456336516</v>
      </c>
      <c r="H78" s="70">
        <v>35.980930968584175</v>
      </c>
      <c r="I78" s="70">
        <v>27.67875159470596</v>
      </c>
      <c r="J78" s="1"/>
      <c r="K78" s="1"/>
      <c r="L78" s="1"/>
      <c r="M78" s="1"/>
      <c r="N78" s="1"/>
    </row>
    <row r="79" ht="14.25" customHeight="1">
      <c r="A79" s="1"/>
      <c r="B79" s="69">
        <f>B81*0.75</f>
        <v>0.0375</v>
      </c>
      <c r="C79" s="70">
        <v>180.91363619246138</v>
      </c>
      <c r="D79" s="70">
        <v>108.28685094938282</v>
      </c>
      <c r="E79" s="70">
        <v>73.74409084499568</v>
      </c>
      <c r="F79" s="70">
        <v>59.28188533797478</v>
      </c>
      <c r="G79" s="70">
        <v>48.566285654874754</v>
      </c>
      <c r="H79" s="70">
        <v>36.851415963161905</v>
      </c>
      <c r="I79" s="70">
        <v>28.415415641807705</v>
      </c>
      <c r="J79" s="1"/>
      <c r="K79" s="1"/>
      <c r="L79" s="1"/>
      <c r="M79" s="1"/>
      <c r="N79" s="1"/>
    </row>
    <row r="80" ht="14.25" customHeight="1">
      <c r="A80" s="71" t="s">
        <v>60</v>
      </c>
      <c r="B80" s="69">
        <f>B81*0.9</f>
        <v>0.045</v>
      </c>
      <c r="C80" s="70">
        <v>184.088159967507</v>
      </c>
      <c r="D80" s="70">
        <v>110.29940710822419</v>
      </c>
      <c r="E80" s="70">
        <v>75.20454297621278</v>
      </c>
      <c r="F80" s="70">
        <v>60.511438229617085</v>
      </c>
      <c r="G80" s="70">
        <v>49.624928393910984</v>
      </c>
      <c r="H80" s="70">
        <v>37.723473747686626</v>
      </c>
      <c r="I80" s="70">
        <v>29.153375710735677</v>
      </c>
      <c r="J80" s="1"/>
      <c r="K80" s="1"/>
      <c r="L80" s="1"/>
      <c r="M80" s="1"/>
      <c r="N80" s="1"/>
    </row>
    <row r="81" ht="14.25" customHeight="1">
      <c r="A81" s="71" t="s">
        <v>61</v>
      </c>
      <c r="B81" s="69">
        <f>D74</f>
        <v>0.05</v>
      </c>
      <c r="C81" s="70">
        <v>186.207801156279</v>
      </c>
      <c r="D81" s="70">
        <v>111.64314476681615</v>
      </c>
      <c r="E81" s="70">
        <v>76.17961473115136</v>
      </c>
      <c r="F81" s="70">
        <v>61.33232830810586</v>
      </c>
      <c r="G81" s="70">
        <v>50.331694604686035</v>
      </c>
      <c r="H81" s="70">
        <v>38.30565002625255</v>
      </c>
      <c r="I81" s="70">
        <v>29.646010456228236</v>
      </c>
      <c r="J81" s="1"/>
      <c r="K81" s="1"/>
      <c r="L81" s="1"/>
      <c r="M81" s="1"/>
      <c r="N81" s="1"/>
    </row>
    <row r="82" ht="14.25" customHeight="1">
      <c r="A82" s="1"/>
      <c r="B82" s="69">
        <f>B81*1.1</f>
        <v>0.055</v>
      </c>
      <c r="C82" s="70">
        <v>188.32989862733783</v>
      </c>
      <c r="D82" s="70">
        <v>112.98839694675394</v>
      </c>
      <c r="E82" s="70">
        <v>77.15575464533015</v>
      </c>
      <c r="F82" s="70">
        <v>62.15410037751431</v>
      </c>
      <c r="G82" s="70">
        <v>51.039205349060424</v>
      </c>
      <c r="H82" s="70">
        <v>38.88842129760762</v>
      </c>
      <c r="I82" s="70">
        <v>30.139133242543608</v>
      </c>
      <c r="J82" s="1"/>
      <c r="K82" s="1"/>
      <c r="L82" s="1"/>
      <c r="M82" s="1"/>
      <c r="N82" s="1"/>
    </row>
    <row r="83" ht="14.25" customHeight="1">
      <c r="A83" s="1"/>
      <c r="B83" s="69">
        <f>B81*1.25</f>
        <v>0.0625</v>
      </c>
      <c r="C83" s="70">
        <v>191.51731788438943</v>
      </c>
      <c r="D83" s="70">
        <v>115.00890434266114</v>
      </c>
      <c r="E83" s="70">
        <v>78.6218146125581</v>
      </c>
      <c r="F83" s="70">
        <v>63.388283721484754</v>
      </c>
      <c r="G83" s="70">
        <v>52.101756889493224</v>
      </c>
      <c r="H83" s="70">
        <v>39.76360279427545</v>
      </c>
      <c r="I83" s="70">
        <v>30.87965552579143</v>
      </c>
      <c r="J83" s="1"/>
      <c r="K83" s="1"/>
      <c r="L83" s="1"/>
      <c r="M83" s="1"/>
      <c r="N83" s="1"/>
    </row>
    <row r="84" ht="14.25" customHeight="1">
      <c r="A84" s="1"/>
      <c r="B84" s="69">
        <f>B81*1.4</f>
        <v>0.07</v>
      </c>
      <c r="C84" s="70">
        <v>194.70940883103793</v>
      </c>
      <c r="D84" s="70">
        <v>117.03227786482317</v>
      </c>
      <c r="E84" s="70">
        <v>80.08988527420797</v>
      </c>
      <c r="F84" s="70">
        <v>64.62412113415333</v>
      </c>
      <c r="G84" s="70">
        <v>53.165699290625106</v>
      </c>
      <c r="H84" s="70">
        <v>40.63988896854751</v>
      </c>
      <c r="I84" s="70">
        <v>31.62107797091568</v>
      </c>
      <c r="J84" s="1"/>
      <c r="K84" s="1"/>
      <c r="L84" s="1"/>
      <c r="M84" s="1"/>
      <c r="N84" s="1"/>
    </row>
    <row r="85" ht="14.25" customHeight="1">
      <c r="A85" s="1"/>
      <c r="B85" s="7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ht="14.25" customHeight="1">
      <c r="A86" s="1"/>
      <c r="B86" s="72"/>
      <c r="C86" s="1"/>
      <c r="D86" s="1"/>
      <c r="E86" s="1"/>
      <c r="F86" s="67" t="s">
        <v>59</v>
      </c>
      <c r="G86" s="1"/>
      <c r="H86" s="1"/>
      <c r="I86" s="1"/>
      <c r="J86" s="1"/>
      <c r="K86" s="1"/>
      <c r="L86" s="1"/>
      <c r="M86" s="1"/>
      <c r="N86" s="1"/>
    </row>
    <row r="87" ht="14.25" customHeight="1">
      <c r="A87" s="1"/>
      <c r="B87" s="68">
        <f>B68</f>
        <v>165.7942267</v>
      </c>
      <c r="C87" s="69">
        <f>F87*0.6</f>
        <v>0.0372</v>
      </c>
      <c r="D87" s="69">
        <f>F87*0.75</f>
        <v>0.0465</v>
      </c>
      <c r="E87" s="69">
        <f>F87*0.9</f>
        <v>0.0558</v>
      </c>
      <c r="F87" s="69">
        <f>D73</f>
        <v>0.062</v>
      </c>
      <c r="G87" s="69">
        <f>F87*1.1</f>
        <v>0.0682</v>
      </c>
      <c r="H87" s="69">
        <f>F87*1.25</f>
        <v>0.0775</v>
      </c>
      <c r="I87" s="69">
        <f>F87*1.4</f>
        <v>0.0868</v>
      </c>
      <c r="J87" s="1"/>
      <c r="K87" s="1"/>
      <c r="L87" s="1"/>
      <c r="M87" s="1"/>
      <c r="N87" s="1"/>
    </row>
    <row r="88" ht="14.25" customHeight="1">
      <c r="A88" s="1"/>
      <c r="B88" s="49">
        <v>3.0</v>
      </c>
      <c r="C88" s="70">
        <v>186.207801156279</v>
      </c>
      <c r="D88" s="70">
        <v>111.64314476681615</v>
      </c>
      <c r="E88" s="70">
        <v>76.17961473115136</v>
      </c>
      <c r="F88" s="70">
        <v>61.33232830810586</v>
      </c>
      <c r="G88" s="70">
        <v>50.331694604686035</v>
      </c>
      <c r="H88" s="70">
        <v>38.30565002625255</v>
      </c>
      <c r="I88" s="70">
        <v>29.646010456228236</v>
      </c>
      <c r="J88" s="1"/>
      <c r="K88" s="1"/>
      <c r="L88" s="1"/>
      <c r="M88" s="1"/>
      <c r="N88" s="1"/>
    </row>
    <row r="89" ht="14.25" customHeight="1">
      <c r="A89" s="1"/>
      <c r="B89" s="49">
        <v>4.0</v>
      </c>
      <c r="C89" s="70">
        <v>196.20453125578487</v>
      </c>
      <c r="D89" s="70">
        <v>117.9199523463783</v>
      </c>
      <c r="E89" s="70">
        <v>80.69131629312852</v>
      </c>
      <c r="F89" s="70">
        <v>65.1069172211137</v>
      </c>
      <c r="G89" s="70">
        <v>53.5614036625444</v>
      </c>
      <c r="H89" s="70">
        <v>40.941602940201655</v>
      </c>
      <c r="I89" s="70">
        <v>31.856316790574137</v>
      </c>
      <c r="J89" s="1"/>
      <c r="K89" s="1"/>
      <c r="L89" s="1"/>
      <c r="M89" s="1"/>
      <c r="N89" s="1"/>
    </row>
    <row r="90" ht="14.25" customHeight="1">
      <c r="A90" s="1"/>
      <c r="B90" s="49">
        <v>5.0</v>
      </c>
      <c r="C90" s="70">
        <v>206.5330069808194</v>
      </c>
      <c r="D90" s="70">
        <v>124.34831564325708</v>
      </c>
      <c r="E90" s="70">
        <v>85.2718759413203</v>
      </c>
      <c r="F90" s="70">
        <v>68.9170819014449</v>
      </c>
      <c r="G90" s="70">
        <v>56.80291654884023</v>
      </c>
      <c r="H90" s="70">
        <v>43.56469754725343</v>
      </c>
      <c r="I90" s="70">
        <v>34.037298994447745</v>
      </c>
      <c r="J90" s="1"/>
      <c r="K90" s="1"/>
      <c r="L90" s="1"/>
      <c r="M90" s="1"/>
      <c r="N90" s="1"/>
    </row>
    <row r="91" ht="14.25" customHeight="1">
      <c r="A91" s="71" t="s">
        <v>62</v>
      </c>
      <c r="B91" s="49">
        <v>6.0</v>
      </c>
      <c r="C91" s="70">
        <v>217.2042374472598</v>
      </c>
      <c r="D91" s="70">
        <v>130.9318940233262</v>
      </c>
      <c r="E91" s="70">
        <v>89.92234459542348</v>
      </c>
      <c r="F91" s="70">
        <v>72.76315765322128</v>
      </c>
      <c r="G91" s="70">
        <v>60.05627640379562</v>
      </c>
      <c r="H91" s="70">
        <v>46.17499657085619</v>
      </c>
      <c r="I91" s="70">
        <v>36.1893461110395</v>
      </c>
      <c r="J91" s="1"/>
      <c r="K91" s="1"/>
      <c r="L91" s="1"/>
      <c r="M91" s="1"/>
      <c r="N91" s="1"/>
    </row>
    <row r="92" ht="14.25" customHeight="1">
      <c r="A92" s="71" t="s">
        <v>63</v>
      </c>
      <c r="B92" s="49">
        <v>7.0</v>
      </c>
      <c r="C92" s="70">
        <v>228.2295971130494</v>
      </c>
      <c r="D92" s="70">
        <v>137.67443520912965</v>
      </c>
      <c r="E92" s="70">
        <v>94.64378921438683</v>
      </c>
      <c r="F92" s="70">
        <v>76.64548294082964</v>
      </c>
      <c r="G92" s="70">
        <v>63.321526525299845</v>
      </c>
      <c r="H92" s="70">
        <v>48.77256242849015</v>
      </c>
      <c r="I92" s="70">
        <v>38.31284202210429</v>
      </c>
      <c r="J92" s="1"/>
      <c r="K92" s="1"/>
      <c r="L92" s="1"/>
      <c r="M92" s="1"/>
      <c r="N92" s="1"/>
    </row>
    <row r="93" ht="14.25" customHeight="1">
      <c r="A93" s="1"/>
      <c r="B93" s="49">
        <v>8.0</v>
      </c>
      <c r="C93" s="70">
        <v>239.62083790222636</v>
      </c>
      <c r="D93" s="70">
        <v>144.57977741328511</v>
      </c>
      <c r="E93" s="70">
        <v>99.4372930412044</v>
      </c>
      <c r="F93" s="70">
        <v>80.56439941870767</v>
      </c>
      <c r="G93" s="70">
        <v>66.59871036948603</v>
      </c>
      <c r="H93" s="70">
        <v>51.35745723316005</v>
      </c>
      <c r="I93" s="70">
        <v>40.40816551643859</v>
      </c>
      <c r="J93" s="1"/>
      <c r="K93" s="1"/>
      <c r="L93" s="1"/>
      <c r="M93" s="1"/>
      <c r="N93" s="1"/>
    </row>
    <row r="94" ht="14.25" customHeight="1">
      <c r="A94" s="1"/>
      <c r="B94" s="49">
        <v>9.0</v>
      </c>
      <c r="C94" s="70">
        <v>251.39010173129097</v>
      </c>
      <c r="D94" s="70">
        <v>151.65185152339785</v>
      </c>
      <c r="E94" s="70">
        <v>104.30395585144379</v>
      </c>
      <c r="F94" s="70">
        <v>84.52025196141017</v>
      </c>
      <c r="G94" s="70">
        <v>69.88787155130908</v>
      </c>
      <c r="H94" s="70">
        <v>53.92974279488033</v>
      </c>
      <c r="I94" s="70">
        <v>42.47569035744833</v>
      </c>
      <c r="J94" s="1"/>
      <c r="K94" s="1"/>
      <c r="L94" s="1"/>
      <c r="M94" s="1"/>
      <c r="N94" s="1"/>
    </row>
    <row r="95" ht="14.25" customHeight="1">
      <c r="A95" s="1"/>
      <c r="B95" s="49">
        <v>10.0</v>
      </c>
      <c r="C95" s="70">
        <v>263.5499334512681</v>
      </c>
      <c r="D95" s="70">
        <v>158.8946833397314</v>
      </c>
      <c r="E95" s="70">
        <v>109.24489420556873</v>
      </c>
      <c r="F95" s="70">
        <v>88.51338869395907</v>
      </c>
      <c r="G95" s="70">
        <v>73.18905384512642</v>
      </c>
      <c r="H95" s="70">
        <v>56.48948062215321</v>
      </c>
      <c r="I95" s="70">
        <v>44.51578534982115</v>
      </c>
      <c r="J95" s="1"/>
      <c r="K95" s="1"/>
      <c r="L95" s="1"/>
      <c r="M95" s="1"/>
      <c r="N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ht="14.25" customHeight="1">
      <c r="A97" s="1"/>
      <c r="B97" s="1"/>
      <c r="C97" s="1"/>
      <c r="D97" s="1"/>
      <c r="E97" s="1"/>
      <c r="F97" s="67" t="s">
        <v>59</v>
      </c>
      <c r="G97" s="1"/>
      <c r="H97" s="1"/>
      <c r="I97" s="1"/>
      <c r="J97" s="1"/>
      <c r="K97" s="1"/>
      <c r="L97" s="1"/>
      <c r="M97" s="1"/>
      <c r="N97" s="1"/>
    </row>
    <row r="98" ht="14.25" customHeight="1">
      <c r="A98" s="1"/>
      <c r="B98" s="68">
        <f>B68</f>
        <v>165.7942267</v>
      </c>
      <c r="C98" s="69">
        <f>F98*0.6</f>
        <v>0.0372</v>
      </c>
      <c r="D98" s="69">
        <f>F98*0.75</f>
        <v>0.0465</v>
      </c>
      <c r="E98" s="69">
        <f>F98*0.9</f>
        <v>0.0558</v>
      </c>
      <c r="F98" s="69">
        <f>F87</f>
        <v>0.062</v>
      </c>
      <c r="G98" s="69">
        <f>F98*1.1</f>
        <v>0.0682</v>
      </c>
      <c r="H98" s="69">
        <f>F98*1.25</f>
        <v>0.0775</v>
      </c>
      <c r="I98" s="69">
        <f>F98*1.4</f>
        <v>0.0868</v>
      </c>
      <c r="J98" s="1"/>
      <c r="K98" s="1"/>
      <c r="L98" s="1"/>
      <c r="M98" s="1"/>
      <c r="N98" s="1"/>
    </row>
    <row r="99" ht="14.25" customHeight="1">
      <c r="A99" s="1"/>
      <c r="B99" s="69">
        <v>0.0</v>
      </c>
      <c r="C99" s="70">
        <v>75.17586693204417</v>
      </c>
      <c r="D99" s="70">
        <v>55.37852223320757</v>
      </c>
      <c r="E99" s="70">
        <v>42.182729287173366</v>
      </c>
      <c r="F99" s="70">
        <v>35.586016275310406</v>
      </c>
      <c r="G99" s="70">
        <v>30.189544839099657</v>
      </c>
      <c r="H99" s="70">
        <v>23.71512955752753</v>
      </c>
      <c r="I99" s="70">
        <v>18.629495347172703</v>
      </c>
      <c r="J99" s="1"/>
      <c r="K99" s="1"/>
      <c r="L99" s="1"/>
      <c r="M99" s="1"/>
      <c r="N99" s="1"/>
    </row>
    <row r="100" ht="14.25" customHeight="1">
      <c r="A100" s="1"/>
      <c r="B100" s="69">
        <f>B103*0.5</f>
        <v>0.01</v>
      </c>
      <c r="C100" s="70">
        <v>109.82116971629792</v>
      </c>
      <c r="D100" s="70">
        <v>75.6416555232834</v>
      </c>
      <c r="E100" s="70">
        <v>55.395327304933204</v>
      </c>
      <c r="F100" s="70">
        <v>45.93502405319878</v>
      </c>
      <c r="G100" s="70">
        <v>38.49685879671015</v>
      </c>
      <c r="H100" s="70">
        <v>29.909218435759847</v>
      </c>
      <c r="I100" s="70">
        <v>23.407214764495205</v>
      </c>
      <c r="J100" s="1"/>
      <c r="K100" s="1"/>
      <c r="L100" s="1"/>
      <c r="M100" s="1"/>
      <c r="N100" s="1"/>
    </row>
    <row r="101" ht="14.25" customHeight="1">
      <c r="A101" s="71" t="s">
        <v>64</v>
      </c>
      <c r="B101" s="69">
        <f>0.75*B103</f>
        <v>0.015</v>
      </c>
      <c r="C101" s="70">
        <v>139.17344013073506</v>
      </c>
      <c r="D101" s="70">
        <v>90.71544980004708</v>
      </c>
      <c r="E101" s="70">
        <v>64.48519736978301</v>
      </c>
      <c r="F101" s="70">
        <v>52.79686616679866</v>
      </c>
      <c r="G101" s="70">
        <v>43.84638630684127</v>
      </c>
      <c r="H101" s="70">
        <v>33.764722737516685</v>
      </c>
      <c r="I101" s="70">
        <v>26.305064467899598</v>
      </c>
      <c r="J101" s="1"/>
      <c r="K101" s="1"/>
      <c r="L101" s="1"/>
      <c r="M101" s="1"/>
      <c r="N101" s="1"/>
    </row>
    <row r="102" ht="14.25" customHeight="1">
      <c r="A102" s="71" t="s">
        <v>65</v>
      </c>
      <c r="B102" s="69">
        <f>B103*0.9</f>
        <v>0.018</v>
      </c>
      <c r="C102" s="70">
        <v>164.35958184118766</v>
      </c>
      <c r="D102" s="70">
        <v>102.36708537614015</v>
      </c>
      <c r="E102" s="70">
        <v>71.12154153094977</v>
      </c>
      <c r="F102" s="70">
        <v>57.67994450810465</v>
      </c>
      <c r="G102" s="70">
        <v>47.579070879083496</v>
      </c>
      <c r="H102" s="70">
        <v>36.39573211081857</v>
      </c>
      <c r="I102" s="70">
        <v>28.250149343003688</v>
      </c>
      <c r="J102" s="1"/>
      <c r="K102" s="1"/>
      <c r="L102" s="1"/>
      <c r="M102" s="1"/>
      <c r="N102" s="1"/>
    </row>
    <row r="103" ht="14.25" customHeight="1">
      <c r="A103" s="1"/>
      <c r="B103" s="69">
        <f>D75</f>
        <v>0.02</v>
      </c>
      <c r="C103" s="70">
        <v>186.207801156279</v>
      </c>
      <c r="D103" s="70">
        <v>111.64314476681615</v>
      </c>
      <c r="E103" s="70">
        <v>76.17961473115136</v>
      </c>
      <c r="F103" s="70">
        <v>61.33232830810586</v>
      </c>
      <c r="G103" s="70">
        <v>50.331694604686035</v>
      </c>
      <c r="H103" s="70">
        <v>38.30565002625255</v>
      </c>
      <c r="I103" s="70">
        <v>29.646010456228236</v>
      </c>
      <c r="J103" s="1"/>
      <c r="K103" s="1"/>
      <c r="L103" s="1"/>
      <c r="M103" s="1"/>
      <c r="N103" s="1"/>
    </row>
    <row r="104" ht="14.25" customHeight="1">
      <c r="A104" s="1"/>
      <c r="B104" s="69">
        <f>1.1*B103</f>
        <v>0.022</v>
      </c>
      <c r="C104" s="70">
        <v>214.04183398235435</v>
      </c>
      <c r="D104" s="70">
        <v>122.48148784434288</v>
      </c>
      <c r="E104" s="70">
        <v>81.8526512383684</v>
      </c>
      <c r="F104" s="70">
        <v>65.35931557477387</v>
      </c>
      <c r="G104" s="70">
        <v>53.32845347224889</v>
      </c>
      <c r="H104" s="70">
        <v>40.35639138245584</v>
      </c>
      <c r="I104" s="70">
        <v>31.129938516659386</v>
      </c>
      <c r="J104" s="1"/>
      <c r="K104" s="1"/>
      <c r="L104" s="1"/>
      <c r="M104" s="1"/>
      <c r="N104" s="1"/>
    </row>
    <row r="105" ht="14.25" customHeight="1">
      <c r="A105" s="1"/>
      <c r="B105" s="69">
        <f>1.25*B103</f>
        <v>0.025</v>
      </c>
      <c r="C105" s="70">
        <v>273.78902513487805</v>
      </c>
      <c r="D105" s="70">
        <v>142.65647586214857</v>
      </c>
      <c r="E105" s="70">
        <v>91.78520846755937</v>
      </c>
      <c r="F105" s="70">
        <v>72.23875215533171</v>
      </c>
      <c r="G105" s="70">
        <v>58.35745617992858</v>
      </c>
      <c r="H105" s="70">
        <v>43.73261190791245</v>
      </c>
      <c r="I105" s="70">
        <v>33.54009319759141</v>
      </c>
      <c r="J105" s="1"/>
      <c r="K105" s="1"/>
      <c r="L105" s="1"/>
      <c r="M105" s="1"/>
      <c r="N105" s="1"/>
    </row>
    <row r="106" ht="14.25" customHeight="1">
      <c r="A106" s="1"/>
      <c r="B106" s="69">
        <f>1.5*B103</f>
        <v>0.03</v>
      </c>
      <c r="C106" s="70">
        <v>494.0690733234755</v>
      </c>
      <c r="D106" s="70">
        <v>193.36081082753336</v>
      </c>
      <c r="E106" s="70">
        <v>113.65810892541631</v>
      </c>
      <c r="F106" s="70">
        <v>86.66337724359816</v>
      </c>
      <c r="G106" s="70">
        <v>68.54649580779717</v>
      </c>
      <c r="H106" s="70">
        <v>50.33297095317452</v>
      </c>
      <c r="I106" s="70">
        <v>38.13707896086131</v>
      </c>
      <c r="J106" s="1"/>
      <c r="K106" s="1"/>
      <c r="L106" s="1"/>
      <c r="M106" s="1"/>
      <c r="N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ht="14.25" customHeight="1">
      <c r="A108" s="20" t="s">
        <v>66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ht="14.25" customHeight="1">
      <c r="A110" s="49"/>
      <c r="B110" s="49">
        <v>0.0</v>
      </c>
      <c r="C110" s="49">
        <v>1.0</v>
      </c>
      <c r="D110" s="49">
        <f t="shared" ref="D110:L110" si="15">IF(AND(C110&lt;$B$52,C110&gt;0),C110+1,0)</f>
        <v>2</v>
      </c>
      <c r="E110" s="49">
        <f t="shared" si="15"/>
        <v>3</v>
      </c>
      <c r="F110" s="49">
        <f t="shared" si="15"/>
        <v>4</v>
      </c>
      <c r="G110" s="49">
        <f t="shared" si="15"/>
        <v>0</v>
      </c>
      <c r="H110" s="49">
        <f t="shared" si="15"/>
        <v>0</v>
      </c>
      <c r="I110" s="49">
        <f t="shared" si="15"/>
        <v>0</v>
      </c>
      <c r="J110" s="49">
        <f t="shared" si="15"/>
        <v>0</v>
      </c>
      <c r="K110" s="49">
        <f t="shared" si="15"/>
        <v>0</v>
      </c>
      <c r="L110" s="49">
        <f t="shared" si="15"/>
        <v>0</v>
      </c>
      <c r="M110" s="50" t="s">
        <v>48</v>
      </c>
      <c r="N110" s="1"/>
    </row>
    <row r="111" ht="14.25" customHeight="1">
      <c r="A111" s="49" t="s">
        <v>67</v>
      </c>
      <c r="B111" s="46">
        <v>10576.0</v>
      </c>
      <c r="C111" s="53">
        <f t="shared" ref="C111:L111" si="16">IF(C110&gt;0,B111*(1+$B$53),0)</f>
        <v>11104.8</v>
      </c>
      <c r="D111" s="53">
        <f t="shared" si="16"/>
        <v>11660.04</v>
      </c>
      <c r="E111" s="53">
        <f t="shared" si="16"/>
        <v>12243.042</v>
      </c>
      <c r="F111" s="53">
        <f t="shared" si="16"/>
        <v>12855.1941</v>
      </c>
      <c r="G111" s="53">
        <f t="shared" si="16"/>
        <v>0</v>
      </c>
      <c r="H111" s="53">
        <f t="shared" si="16"/>
        <v>0</v>
      </c>
      <c r="I111" s="53">
        <f t="shared" si="16"/>
        <v>0</v>
      </c>
      <c r="J111" s="53">
        <f t="shared" si="16"/>
        <v>0</v>
      </c>
      <c r="K111" s="53">
        <f t="shared" si="16"/>
        <v>0</v>
      </c>
      <c r="L111" s="53">
        <f t="shared" si="16"/>
        <v>0</v>
      </c>
      <c r="M111" s="54"/>
      <c r="N111" s="1"/>
    </row>
    <row r="112" ht="14.25" customHeight="1">
      <c r="A112" s="49" t="s">
        <v>68</v>
      </c>
      <c r="B112" s="46">
        <v>3226.0</v>
      </c>
      <c r="C112" s="53">
        <f t="shared" ref="C112:L112" si="17">IF(C110&gt;0,B112*(1+$B$53),0)</f>
        <v>3387.3</v>
      </c>
      <c r="D112" s="53">
        <f t="shared" si="17"/>
        <v>3556.665</v>
      </c>
      <c r="E112" s="53">
        <f t="shared" si="17"/>
        <v>3734.49825</v>
      </c>
      <c r="F112" s="53">
        <f t="shared" si="17"/>
        <v>3921.223163</v>
      </c>
      <c r="G112" s="53">
        <f t="shared" si="17"/>
        <v>0</v>
      </c>
      <c r="H112" s="53">
        <f t="shared" si="17"/>
        <v>0</v>
      </c>
      <c r="I112" s="53">
        <f t="shared" si="17"/>
        <v>0</v>
      </c>
      <c r="J112" s="53">
        <f t="shared" si="17"/>
        <v>0</v>
      </c>
      <c r="K112" s="53">
        <f t="shared" si="17"/>
        <v>0</v>
      </c>
      <c r="L112" s="53">
        <f t="shared" si="17"/>
        <v>0</v>
      </c>
      <c r="M112" s="54"/>
      <c r="N112" s="1"/>
      <c r="O112" s="3"/>
    </row>
    <row r="113" ht="14.25" customHeight="1">
      <c r="A113" s="49" t="s">
        <v>69</v>
      </c>
      <c r="B113" s="46">
        <v>3754.0</v>
      </c>
      <c r="C113" s="53">
        <f t="shared" ref="C113:L113" si="18">IF(C110&gt;0,B113*(1+$B$53),0)</f>
        <v>3941.7</v>
      </c>
      <c r="D113" s="53">
        <f t="shared" si="18"/>
        <v>4138.785</v>
      </c>
      <c r="E113" s="53">
        <f t="shared" si="18"/>
        <v>4345.72425</v>
      </c>
      <c r="F113" s="53">
        <f t="shared" si="18"/>
        <v>4563.010463</v>
      </c>
      <c r="G113" s="53">
        <f t="shared" si="18"/>
        <v>0</v>
      </c>
      <c r="H113" s="53">
        <f t="shared" si="18"/>
        <v>0</v>
      </c>
      <c r="I113" s="53">
        <f t="shared" si="18"/>
        <v>0</v>
      </c>
      <c r="J113" s="53">
        <f t="shared" si="18"/>
        <v>0</v>
      </c>
      <c r="K113" s="53">
        <f t="shared" si="18"/>
        <v>0</v>
      </c>
      <c r="L113" s="53">
        <f t="shared" si="18"/>
        <v>0</v>
      </c>
      <c r="M113" s="54"/>
      <c r="N113" s="1"/>
    </row>
    <row r="114" ht="14.25" customHeight="1">
      <c r="A114" s="49" t="s">
        <v>70</v>
      </c>
      <c r="B114" s="46">
        <v>2358.0</v>
      </c>
      <c r="C114" s="53">
        <f t="shared" ref="C114:L114" si="19">IF(C110&gt;0,B114*(1+$B$53),0)</f>
        <v>2475.9</v>
      </c>
      <c r="D114" s="53">
        <f t="shared" si="19"/>
        <v>2599.695</v>
      </c>
      <c r="E114" s="53">
        <f t="shared" si="19"/>
        <v>2729.67975</v>
      </c>
      <c r="F114" s="53">
        <f t="shared" si="19"/>
        <v>2866.163738</v>
      </c>
      <c r="G114" s="53">
        <f t="shared" si="19"/>
        <v>0</v>
      </c>
      <c r="H114" s="53">
        <f t="shared" si="19"/>
        <v>0</v>
      </c>
      <c r="I114" s="53">
        <f t="shared" si="19"/>
        <v>0</v>
      </c>
      <c r="J114" s="53">
        <f t="shared" si="19"/>
        <v>0</v>
      </c>
      <c r="K114" s="53">
        <f t="shared" si="19"/>
        <v>0</v>
      </c>
      <c r="L114" s="53">
        <f t="shared" si="19"/>
        <v>0</v>
      </c>
      <c r="M114" s="54"/>
      <c r="N114" s="1"/>
    </row>
    <row r="115" ht="14.25" customHeight="1">
      <c r="A115" s="49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54"/>
      <c r="N115" s="1"/>
    </row>
    <row r="116" ht="14.25" customHeight="1">
      <c r="A116" s="49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54"/>
      <c r="N116" s="1"/>
    </row>
    <row r="117" ht="14.25" customHeight="1">
      <c r="A117" s="49" t="s">
        <v>66</v>
      </c>
      <c r="B117" s="1"/>
      <c r="C117" s="53">
        <f>IF(C110&gt;0,C111-(C112-C113)*Sheet2!$B$46-(C114-B114)*Sheet2!$B$46,0)</f>
        <v>11511.53608</v>
      </c>
      <c r="D117" s="53">
        <f>IF(D110&gt;0,D111-(D112-D113)*Sheet2!$B$46-(D114-C114)*Sheet2!$B$46,0)</f>
        <v>12087.11289</v>
      </c>
      <c r="E117" s="53">
        <f>IF(E110&gt;0,E111-(E112-E113)*$B$46-(E114-D114)*$B$46,0)</f>
        <v>12691.46853</v>
      </c>
      <c r="F117" s="53">
        <f>IF(F110&gt;0,F111-(F112-F113)*Sheet2!$B$46-(F114-E114)*Sheet2!$B$46,0)</f>
        <v>13326.04196</v>
      </c>
      <c r="G117" s="53">
        <f t="shared" ref="G117:L117" si="20">IF(G110&gt;0,G111-(G112-G113)*Sheet1!$B$27-(G114-F114)*Sheet1!$B$27,0)</f>
        <v>0</v>
      </c>
      <c r="H117" s="53">
        <f t="shared" si="20"/>
        <v>0</v>
      </c>
      <c r="I117" s="53">
        <f t="shared" si="20"/>
        <v>0</v>
      </c>
      <c r="J117" s="53">
        <f t="shared" si="20"/>
        <v>0</v>
      </c>
      <c r="K117" s="53">
        <f t="shared" si="20"/>
        <v>0</v>
      </c>
      <c r="L117" s="53">
        <f t="shared" si="20"/>
        <v>0</v>
      </c>
      <c r="M117" s="59">
        <f>HLOOKUP(B52,B110:L117,8,FALSE)/($B$47-$B$54)</f>
        <v>393105.0062</v>
      </c>
      <c r="N117" s="1"/>
    </row>
    <row r="118" ht="14.25" customHeight="1">
      <c r="A118" s="49" t="s">
        <v>71</v>
      </c>
      <c r="B118" s="1"/>
      <c r="C118" s="53">
        <f>IF(D110=0,C117+$M$15,C117)</f>
        <v>11511.53608</v>
      </c>
      <c r="D118" s="53">
        <f t="shared" ref="D118:K118" si="21">IF(AND(E110=0,D110&gt;0),D117+$M$117,D117)</f>
        <v>12087.11289</v>
      </c>
      <c r="E118" s="53">
        <f t="shared" si="21"/>
        <v>12691.46853</v>
      </c>
      <c r="F118" s="53">
        <f t="shared" si="21"/>
        <v>406431.0482</v>
      </c>
      <c r="G118" s="53">
        <f t="shared" si="21"/>
        <v>0</v>
      </c>
      <c r="H118" s="53">
        <f t="shared" si="21"/>
        <v>0</v>
      </c>
      <c r="I118" s="53">
        <f t="shared" si="21"/>
        <v>0</v>
      </c>
      <c r="J118" s="53">
        <f t="shared" si="21"/>
        <v>0</v>
      </c>
      <c r="K118" s="53">
        <f t="shared" si="21"/>
        <v>0</v>
      </c>
      <c r="L118" s="53">
        <f>IF(AND(M110="Horizon Value",L110&gt;0),L117+$M$117,L117)</f>
        <v>0</v>
      </c>
      <c r="M118" s="1"/>
      <c r="N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ht="14.25" customHeight="1">
      <c r="A120" s="49" t="s">
        <v>72</v>
      </c>
      <c r="B120" s="73">
        <f t="array" ref="B120">NPV($B$47,C118:L118)</f>
        <v>362097.816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ht="14.25" customHeight="1">
      <c r="A121" s="49" t="s">
        <v>73</v>
      </c>
      <c r="B121" s="53" t="str">
        <f>H54</f>
        <v/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ht="14.25" customHeight="1">
      <c r="A122" s="49" t="s">
        <v>52</v>
      </c>
      <c r="B122" s="60">
        <f>B120-B121</f>
        <v>362097.816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ht="18.0" customHeight="1">
      <c r="A123" s="61" t="s">
        <v>53</v>
      </c>
      <c r="B123" s="62">
        <f>B122/Sheet2!$B$12</f>
        <v>133.6154302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ht="14.25" customHeight="1">
      <c r="A124" s="1"/>
      <c r="B124" s="1"/>
      <c r="C124" s="1"/>
      <c r="D124" s="1"/>
      <c r="E124" s="1"/>
      <c r="F124" s="67" t="s">
        <v>59</v>
      </c>
      <c r="G124" s="1"/>
      <c r="H124" s="1"/>
      <c r="I124" s="1"/>
      <c r="J124" s="1"/>
      <c r="K124" s="1"/>
      <c r="L124" s="1"/>
      <c r="M124" s="1"/>
      <c r="N124" s="1"/>
    </row>
    <row r="125" ht="14.25" customHeight="1">
      <c r="A125" s="1"/>
      <c r="B125" s="68">
        <f>B123</f>
        <v>133.6154302</v>
      </c>
      <c r="C125" s="69">
        <f>F125*0.6</f>
        <v>0.0372</v>
      </c>
      <c r="D125" s="69">
        <f>F125*0.75</f>
        <v>0.0465</v>
      </c>
      <c r="E125" s="69">
        <f>F125*0.9</f>
        <v>0.0558</v>
      </c>
      <c r="F125" s="69">
        <f>D73</f>
        <v>0.062</v>
      </c>
      <c r="G125" s="69">
        <f>F125*1.1</f>
        <v>0.0682</v>
      </c>
      <c r="H125" s="69">
        <f>F125*1.25</f>
        <v>0.0775</v>
      </c>
      <c r="I125" s="69">
        <f>F125*1.4</f>
        <v>0.0868</v>
      </c>
      <c r="J125" s="1"/>
      <c r="K125" s="1"/>
      <c r="L125" s="1"/>
      <c r="M125" s="1"/>
      <c r="N125" s="1"/>
    </row>
    <row r="126" ht="14.25" customHeight="1">
      <c r="A126" s="1"/>
      <c r="B126" s="69">
        <f>B129*0.6</f>
        <v>0.03</v>
      </c>
      <c r="C126" s="70">
        <v>166.98518425356798</v>
      </c>
      <c r="D126" s="70">
        <v>103.36705310754097</v>
      </c>
      <c r="E126" s="70">
        <v>73.10707211086377</v>
      </c>
      <c r="F126" s="70">
        <v>60.43708644321687</v>
      </c>
      <c r="G126" s="70">
        <v>51.04882065849577</v>
      </c>
      <c r="H126" s="70">
        <v>40.78416575270574</v>
      </c>
      <c r="I126" s="70">
        <v>33.39158573550199</v>
      </c>
      <c r="J126" s="1"/>
      <c r="K126" s="1"/>
      <c r="L126" s="1"/>
      <c r="M126" s="1"/>
      <c r="N126" s="1"/>
    </row>
    <row r="127" ht="14.25" customHeight="1">
      <c r="A127" s="1"/>
      <c r="B127" s="69">
        <f>B129*0.75</f>
        <v>0.0375</v>
      </c>
      <c r="C127" s="70">
        <v>170.53871781196028</v>
      </c>
      <c r="D127" s="70">
        <v>105.62799548852973</v>
      </c>
      <c r="E127" s="70">
        <v>74.75370029251992</v>
      </c>
      <c r="F127" s="70">
        <v>61.82673153604328</v>
      </c>
      <c r="G127" s="70">
        <v>52.24820337238931</v>
      </c>
      <c r="H127" s="70">
        <v>41.775767375284516</v>
      </c>
      <c r="I127" s="70">
        <v>34.23378684938913</v>
      </c>
      <c r="J127" s="1"/>
      <c r="K127" s="1"/>
      <c r="L127" s="1"/>
      <c r="M127" s="1"/>
      <c r="N127" s="1"/>
    </row>
    <row r="128" ht="14.25" customHeight="1">
      <c r="A128" s="71" t="s">
        <v>60</v>
      </c>
      <c r="B128" s="69">
        <f>B129*0.9</f>
        <v>0.045</v>
      </c>
      <c r="C128" s="70">
        <v>174.12701500304996</v>
      </c>
      <c r="D128" s="70">
        <v>107.91095799331035</v>
      </c>
      <c r="E128" s="70">
        <v>76.4162946355107</v>
      </c>
      <c r="F128" s="70">
        <v>63.229811403608</v>
      </c>
      <c r="G128" s="70">
        <v>53.45914746966719</v>
      </c>
      <c r="H128" s="70">
        <v>42.77688566729649</v>
      </c>
      <c r="I128" s="70">
        <v>35.08403559616157</v>
      </c>
      <c r="J128" s="1"/>
      <c r="K128" s="1"/>
      <c r="L128" s="1"/>
      <c r="M128" s="1"/>
      <c r="N128" s="1"/>
    </row>
    <row r="129" ht="14.25" customHeight="1">
      <c r="A129" s="71" t="s">
        <v>61</v>
      </c>
      <c r="B129" s="69">
        <f>D74</f>
        <v>0.05</v>
      </c>
      <c r="C129" s="70">
        <v>176.53851574246312</v>
      </c>
      <c r="D129" s="70">
        <v>109.44515973552868</v>
      </c>
      <c r="E129" s="70">
        <v>77.53355612173245</v>
      </c>
      <c r="F129" s="70">
        <v>64.17265767928417</v>
      </c>
      <c r="G129" s="70">
        <v>54.27286302546625</v>
      </c>
      <c r="H129" s="70">
        <v>43.44958201917697</v>
      </c>
      <c r="I129" s="70">
        <v>35.65533656414583</v>
      </c>
      <c r="J129" s="1"/>
      <c r="K129" s="1"/>
      <c r="L129" s="1"/>
      <c r="M129" s="1"/>
      <c r="N129" s="1"/>
    </row>
    <row r="130" ht="14.25" customHeight="1">
      <c r="A130" s="1"/>
      <c r="B130" s="69">
        <f>B129*1.1</f>
        <v>0.055</v>
      </c>
      <c r="C130" s="70">
        <v>178.965451209413</v>
      </c>
      <c r="D130" s="70">
        <v>110.98913820481926</v>
      </c>
      <c r="E130" s="70">
        <v>78.65790643155482</v>
      </c>
      <c r="F130" s="70">
        <v>65.12146886628948</v>
      </c>
      <c r="G130" s="70">
        <v>55.09171172414772</v>
      </c>
      <c r="H130" s="70">
        <v>44.126503679864406</v>
      </c>
      <c r="I130" s="70">
        <v>36.23021060232309</v>
      </c>
      <c r="J130" s="1"/>
      <c r="K130" s="1"/>
      <c r="L130" s="1"/>
      <c r="M130" s="1"/>
      <c r="N130" s="1"/>
    </row>
    <row r="131" ht="14.25" customHeight="1">
      <c r="A131" s="1"/>
      <c r="B131" s="69">
        <f>B129*1.25</f>
        <v>0.0625</v>
      </c>
      <c r="C131" s="70">
        <v>182.63478072006995</v>
      </c>
      <c r="D131" s="70">
        <v>113.32342852672899</v>
      </c>
      <c r="E131" s="70">
        <v>80.35771709844882</v>
      </c>
      <c r="F131" s="70">
        <v>66.55586451833194</v>
      </c>
      <c r="G131" s="70">
        <v>56.32960482155809</v>
      </c>
      <c r="H131" s="70">
        <v>45.14980484311279</v>
      </c>
      <c r="I131" s="70">
        <v>37.09921796760873</v>
      </c>
      <c r="J131" s="1"/>
      <c r="K131" s="1"/>
      <c r="L131" s="1"/>
      <c r="M131" s="1"/>
      <c r="N131" s="1"/>
    </row>
    <row r="132" ht="14.25" customHeight="1">
      <c r="A132" s="1"/>
      <c r="B132" s="69">
        <f>B129*1.4</f>
        <v>0.07</v>
      </c>
      <c r="C132" s="70">
        <v>186.33880287194415</v>
      </c>
      <c r="D132" s="70">
        <v>115.6796939966717</v>
      </c>
      <c r="E132" s="70">
        <v>82.07346131021083</v>
      </c>
      <c r="F132" s="70">
        <v>68.00366749661694</v>
      </c>
      <c r="G132" s="70">
        <v>57.57903567855478</v>
      </c>
      <c r="H132" s="70">
        <v>46.18260322655911</v>
      </c>
      <c r="I132" s="70">
        <v>37.97625651587747</v>
      </c>
      <c r="J132" s="1"/>
      <c r="K132" s="1"/>
      <c r="L132" s="1"/>
      <c r="M132" s="1"/>
      <c r="N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ht="14.25" customHeight="1">
      <c r="A135" s="1"/>
      <c r="B135" s="1"/>
      <c r="C135" s="1"/>
      <c r="D135" s="1"/>
      <c r="E135" s="1"/>
      <c r="F135" s="67" t="s">
        <v>59</v>
      </c>
      <c r="G135" s="1"/>
      <c r="H135" s="1"/>
      <c r="I135" s="1"/>
      <c r="J135" s="1"/>
      <c r="K135" s="1"/>
      <c r="L135" s="1"/>
      <c r="M135" s="1"/>
      <c r="N135" s="1"/>
    </row>
    <row r="136" ht="14.25" customHeight="1">
      <c r="A136" s="1"/>
      <c r="B136" s="68">
        <f>B123</f>
        <v>133.6154302</v>
      </c>
      <c r="C136" s="69">
        <f>F136*0.6</f>
        <v>0.0372</v>
      </c>
      <c r="D136" s="69">
        <f>F136*0.75</f>
        <v>0.0465</v>
      </c>
      <c r="E136" s="69">
        <f>F136*0.9</f>
        <v>0.0558</v>
      </c>
      <c r="F136" s="69">
        <f>D73</f>
        <v>0.062</v>
      </c>
      <c r="G136" s="69">
        <f>F136*1.1</f>
        <v>0.0682</v>
      </c>
      <c r="H136" s="69">
        <f>F136*1.25</f>
        <v>0.0775</v>
      </c>
      <c r="I136" s="69">
        <f>F136*1.4</f>
        <v>0.0868</v>
      </c>
      <c r="J136" s="1"/>
      <c r="K136" s="1"/>
      <c r="L136" s="1"/>
      <c r="M136" s="1"/>
      <c r="N136" s="1"/>
    </row>
    <row r="137" ht="14.25" customHeight="1">
      <c r="A137" s="1"/>
      <c r="B137" s="49">
        <v>3.0</v>
      </c>
      <c r="C137" s="70">
        <v>176.53851574246312</v>
      </c>
      <c r="D137" s="70">
        <v>109.44515973552868</v>
      </c>
      <c r="E137" s="70">
        <v>77.53355612173245</v>
      </c>
      <c r="F137" s="70">
        <v>64.17265767928417</v>
      </c>
      <c r="G137" s="70">
        <v>54.27286302546625</v>
      </c>
      <c r="H137" s="70">
        <v>43.44958201917697</v>
      </c>
      <c r="I137" s="70">
        <v>35.65533656414583</v>
      </c>
      <c r="J137" s="1"/>
      <c r="K137" s="1"/>
      <c r="L137" s="1"/>
      <c r="M137" s="1"/>
      <c r="N137" s="1"/>
    </row>
    <row r="138" ht="14.25" customHeight="1">
      <c r="A138" s="1"/>
      <c r="B138" s="49">
        <v>4.0</v>
      </c>
      <c r="C138" s="70">
        <v>185.59367962575882</v>
      </c>
      <c r="D138" s="70">
        <v>115.1511929638443</v>
      </c>
      <c r="E138" s="70">
        <v>81.64941567624398</v>
      </c>
      <c r="F138" s="70">
        <v>67.62400601496509</v>
      </c>
      <c r="G138" s="70">
        <v>57.232700144793554</v>
      </c>
      <c r="H138" s="70">
        <v>45.873371792872256</v>
      </c>
      <c r="I138" s="70">
        <v>37.69441269121595</v>
      </c>
      <c r="J138" s="1"/>
      <c r="K138" s="1"/>
      <c r="L138" s="1"/>
      <c r="M138" s="1"/>
      <c r="N138" s="1"/>
    </row>
    <row r="139" ht="14.25" customHeight="1">
      <c r="A139" s="1"/>
      <c r="B139" s="49">
        <v>5.0</v>
      </c>
      <c r="C139" s="70">
        <v>194.9493428700283</v>
      </c>
      <c r="D139" s="70">
        <v>120.99500036286513</v>
      </c>
      <c r="E139" s="70">
        <v>85.8280919326492</v>
      </c>
      <c r="F139" s="70">
        <v>71.1078835526788</v>
      </c>
      <c r="G139" s="70">
        <v>60.20335477397503</v>
      </c>
      <c r="H139" s="70">
        <v>48.285338201817794</v>
      </c>
      <c r="I139" s="70">
        <v>39.70643639868978</v>
      </c>
      <c r="J139" s="1"/>
      <c r="K139" s="1"/>
      <c r="L139" s="1"/>
      <c r="M139" s="1"/>
      <c r="N139" s="1"/>
    </row>
    <row r="140" ht="14.25" customHeight="1">
      <c r="A140" s="71" t="s">
        <v>62</v>
      </c>
      <c r="B140" s="49">
        <v>6.0</v>
      </c>
      <c r="C140" s="70">
        <v>204.6154776709279</v>
      </c>
      <c r="D140" s="70">
        <v>126.9799085381951</v>
      </c>
      <c r="E140" s="70">
        <v>90.07054360637186</v>
      </c>
      <c r="F140" s="70">
        <v>74.6245968824539</v>
      </c>
      <c r="G140" s="70">
        <v>63.18486644846976</v>
      </c>
      <c r="H140" s="70">
        <v>50.68553892096361</v>
      </c>
      <c r="I140" s="70">
        <v>41.69176659097323</v>
      </c>
      <c r="J140" s="1"/>
      <c r="K140" s="1"/>
      <c r="L140" s="1"/>
      <c r="M140" s="1"/>
      <c r="N140" s="1"/>
    </row>
    <row r="141" ht="14.25" customHeight="1">
      <c r="A141" s="71" t="s">
        <v>63</v>
      </c>
      <c r="B141" s="49">
        <v>7.0</v>
      </c>
      <c r="C141" s="70">
        <v>214.60238715555417</v>
      </c>
      <c r="D141" s="70">
        <v>133.10932441749551</v>
      </c>
      <c r="E141" s="70">
        <v>94.37774404485599</v>
      </c>
      <c r="F141" s="70">
        <v>78.17445548395168</v>
      </c>
      <c r="G141" s="70">
        <v>66.17727484822976</v>
      </c>
      <c r="H141" s="70">
        <v>53.07403134391847</v>
      </c>
      <c r="I141" s="70">
        <v>43.6507574108881</v>
      </c>
      <c r="J141" s="1"/>
      <c r="K141" s="1"/>
      <c r="L141" s="1"/>
      <c r="M141" s="1"/>
      <c r="N141" s="1"/>
    </row>
    <row r="142" ht="14.25" customHeight="1">
      <c r="A142" s="1"/>
      <c r="B142" s="49">
        <v>8.0</v>
      </c>
      <c r="C142" s="70">
        <v>224.9207163645399</v>
      </c>
      <c r="D142" s="70">
        <v>139.38673718988923</v>
      </c>
      <c r="E142" s="70">
        <v>98.75068145088171</v>
      </c>
      <c r="F142" s="70">
        <v>81.75777175370106</v>
      </c>
      <c r="G142" s="70">
        <v>69.18061979822782</v>
      </c>
      <c r="H142" s="70">
        <v>55.450872584322326</v>
      </c>
      <c r="I142" s="70">
        <v>45.58375830284388</v>
      </c>
      <c r="J142" s="1"/>
      <c r="K142" s="1"/>
      <c r="L142" s="1"/>
      <c r="M142" s="1"/>
      <c r="N142" s="1"/>
    </row>
    <row r="143" ht="14.25" customHeight="1">
      <c r="A143" s="1"/>
      <c r="B143" s="49">
        <v>9.0</v>
      </c>
      <c r="C143" s="70">
        <v>235.58146359859722</v>
      </c>
      <c r="D143" s="70">
        <v>145.8157202921925</v>
      </c>
      <c r="E143" s="70">
        <v>103.19035910928869</v>
      </c>
      <c r="F143" s="70">
        <v>85.37486103259042</v>
      </c>
      <c r="G143" s="70">
        <v>72.19494126898778</v>
      </c>
      <c r="H143" s="70">
        <v>57.81611947721203</v>
      </c>
      <c r="I143" s="70">
        <v>47.491114075171744</v>
      </c>
      <c r="J143" s="1"/>
      <c r="K143" s="1"/>
      <c r="L143" s="1"/>
      <c r="M143" s="1"/>
      <c r="N143" s="1"/>
    </row>
    <row r="144" ht="14.25" customHeight="1">
      <c r="A144" s="1"/>
      <c r="B144" s="49">
        <v>10.0</v>
      </c>
      <c r="C144" s="70">
        <v>246.59599214159869</v>
      </c>
      <c r="D144" s="70">
        <v>152.39993344310506</v>
      </c>
      <c r="E144" s="70">
        <v>107.69779561716044</v>
      </c>
      <c r="F144" s="70">
        <v>89.02604163361823</v>
      </c>
      <c r="G144" s="70">
        <v>75.22027937711626</v>
      </c>
      <c r="H144" s="70">
        <v>60.169828580380305</v>
      </c>
      <c r="I144" s="70">
        <v>49.37316496163123</v>
      </c>
      <c r="J144" s="1"/>
      <c r="K144" s="1"/>
      <c r="L144" s="1"/>
      <c r="M144" s="1"/>
      <c r="N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ht="14.25" customHeight="1">
      <c r="A146" s="1"/>
      <c r="B146" s="1"/>
      <c r="C146" s="1"/>
      <c r="D146" s="1"/>
      <c r="E146" s="1"/>
      <c r="F146" s="67" t="s">
        <v>59</v>
      </c>
      <c r="G146" s="1"/>
      <c r="H146" s="1"/>
      <c r="I146" s="1"/>
      <c r="J146" s="1"/>
      <c r="K146" s="1"/>
      <c r="L146" s="1"/>
      <c r="M146" s="1"/>
      <c r="N146" s="1"/>
    </row>
    <row r="147" ht="14.25" customHeight="1">
      <c r="A147" s="1"/>
      <c r="B147" s="68">
        <f>B123</f>
        <v>133.6154302</v>
      </c>
      <c r="C147" s="69">
        <f>F147*0.6</f>
        <v>0.0372</v>
      </c>
      <c r="D147" s="69">
        <f>F147*0.75</f>
        <v>0.0465</v>
      </c>
      <c r="E147" s="69">
        <f>F147*0.9</f>
        <v>0.0558</v>
      </c>
      <c r="F147" s="69">
        <f>F136</f>
        <v>0.062</v>
      </c>
      <c r="G147" s="69">
        <f>F147*1.1</f>
        <v>0.0682</v>
      </c>
      <c r="H147" s="69">
        <f>F147*1.25</f>
        <v>0.0775</v>
      </c>
      <c r="I147" s="69">
        <f>F147*1.4</f>
        <v>0.0868</v>
      </c>
      <c r="J147" s="1"/>
      <c r="K147" s="1"/>
      <c r="L147" s="1"/>
      <c r="M147" s="1"/>
      <c r="N147" s="1"/>
    </row>
    <row r="148" ht="14.25" customHeight="1">
      <c r="A148" s="1"/>
      <c r="B148" s="69">
        <v>0.0</v>
      </c>
      <c r="C148" s="70">
        <v>78.23614153017304</v>
      </c>
      <c r="D148" s="70">
        <v>60.067006567211955</v>
      </c>
      <c r="E148" s="70">
        <v>47.95648636225363</v>
      </c>
      <c r="F148" s="70">
        <v>41.902312388533645</v>
      </c>
      <c r="G148" s="70">
        <v>36.949667509140326</v>
      </c>
      <c r="H148" s="70">
        <v>31.007733030217285</v>
      </c>
      <c r="I148" s="70">
        <v>26.34036092825965</v>
      </c>
      <c r="J148" s="1"/>
      <c r="K148" s="1"/>
      <c r="L148" s="1"/>
      <c r="M148" s="1"/>
      <c r="N148" s="1"/>
    </row>
    <row r="149" ht="14.25" customHeight="1">
      <c r="A149" s="1"/>
      <c r="B149" s="69">
        <f>B152*0.5</f>
        <v>0.01</v>
      </c>
      <c r="C149" s="70">
        <v>108.9094387467899</v>
      </c>
      <c r="D149" s="70">
        <v>77.85004774321413</v>
      </c>
      <c r="E149" s="70">
        <v>59.45136091242969</v>
      </c>
      <c r="F149" s="70">
        <v>50.85411784854121</v>
      </c>
      <c r="G149" s="70">
        <v>44.094347971653036</v>
      </c>
      <c r="H149" s="70">
        <v>36.28965005383225</v>
      </c>
      <c r="I149" s="70">
        <v>30.380144791568377</v>
      </c>
      <c r="J149" s="1"/>
      <c r="K149" s="1"/>
      <c r="L149" s="1"/>
      <c r="M149" s="1"/>
      <c r="N149" s="1"/>
    </row>
    <row r="150" ht="14.25" customHeight="1">
      <c r="A150" s="71" t="s">
        <v>64</v>
      </c>
      <c r="B150" s="69">
        <f>0.75*B152</f>
        <v>0.015</v>
      </c>
      <c r="C150" s="70">
        <v>134.8965377775347</v>
      </c>
      <c r="D150" s="70">
        <v>91.07889544731331</v>
      </c>
      <c r="E150" s="70">
        <v>67.35948889243804</v>
      </c>
      <c r="F150" s="70">
        <v>56.78955407745927</v>
      </c>
      <c r="G150" s="70">
        <v>48.6951930679544</v>
      </c>
      <c r="H150" s="70">
        <v>39.57737391547014</v>
      </c>
      <c r="I150" s="70">
        <v>32.83041142456955</v>
      </c>
      <c r="J150" s="1"/>
      <c r="K150" s="1"/>
      <c r="L150" s="1"/>
      <c r="M150" s="1"/>
      <c r="N150" s="1"/>
    </row>
    <row r="151" ht="14.25" customHeight="1">
      <c r="A151" s="71" t="s">
        <v>65</v>
      </c>
      <c r="B151" s="69">
        <f>B152*0.9</f>
        <v>0.018</v>
      </c>
      <c r="C151" s="70">
        <v>157.195145332948</v>
      </c>
      <c r="D151" s="70">
        <v>101.30443718615754</v>
      </c>
      <c r="E151" s="70">
        <v>73.13306525507831</v>
      </c>
      <c r="F151" s="70">
        <v>61.01337613803816</v>
      </c>
      <c r="G151" s="70">
        <v>51.90547724309258</v>
      </c>
      <c r="H151" s="70">
        <v>41.82092796697409</v>
      </c>
      <c r="I151" s="70">
        <v>34.47507110523681</v>
      </c>
      <c r="J151" s="1"/>
      <c r="K151" s="1"/>
      <c r="L151" s="1"/>
      <c r="M151" s="1"/>
      <c r="N151" s="1"/>
    </row>
    <row r="152" ht="14.25" customHeight="1">
      <c r="A152" s="1"/>
      <c r="B152" s="69">
        <f>D75</f>
        <v>0.02</v>
      </c>
      <c r="C152" s="70">
        <v>176.53851574246312</v>
      </c>
      <c r="D152" s="70">
        <v>109.44515973552868</v>
      </c>
      <c r="E152" s="70">
        <v>77.53355612173245</v>
      </c>
      <c r="F152" s="70">
        <v>64.17265767928417</v>
      </c>
      <c r="G152" s="70">
        <v>54.27286302546625</v>
      </c>
      <c r="H152" s="70">
        <v>43.44958201917697</v>
      </c>
      <c r="I152" s="70">
        <v>35.65533656414583</v>
      </c>
      <c r="J152" s="1"/>
      <c r="K152" s="1"/>
      <c r="L152" s="1"/>
      <c r="M152" s="1"/>
      <c r="N152" s="1"/>
    </row>
    <row r="153" ht="14.25" customHeight="1">
      <c r="A153" s="1"/>
      <c r="B153" s="69">
        <f>1.1*B152</f>
        <v>0.022</v>
      </c>
      <c r="C153" s="70">
        <v>201.18143968883177</v>
      </c>
      <c r="D153" s="70">
        <v>118.95695134584653</v>
      </c>
      <c r="E153" s="70">
        <v>82.46906107551783</v>
      </c>
      <c r="F153" s="70">
        <v>67.65596809655541</v>
      </c>
      <c r="G153" s="70">
        <v>56.8502165047245</v>
      </c>
      <c r="H153" s="70">
        <v>45.19832116278652</v>
      </c>
      <c r="I153" s="70">
        <v>36.91006672077782</v>
      </c>
      <c r="J153" s="1"/>
      <c r="K153" s="1"/>
      <c r="L153" s="1"/>
      <c r="M153" s="1"/>
      <c r="N153" s="1"/>
    </row>
    <row r="154" ht="14.25" customHeight="1">
      <c r="A154" s="1"/>
      <c r="B154" s="69">
        <f>1.25*B152</f>
        <v>0.025</v>
      </c>
      <c r="C154" s="70">
        <v>254.0787505737092</v>
      </c>
      <c r="D154" s="70">
        <v>136.66263572890807</v>
      </c>
      <c r="E154" s="70">
        <v>91.110321421025</v>
      </c>
      <c r="F154" s="70">
        <v>73.60662339272712</v>
      </c>
      <c r="G154" s="70">
        <v>61.175395205664984</v>
      </c>
      <c r="H154" s="70">
        <v>48.0773429236071</v>
      </c>
      <c r="I154" s="70">
        <v>38.94796454140029</v>
      </c>
      <c r="J154" s="1"/>
      <c r="K154" s="1"/>
      <c r="L154" s="1"/>
      <c r="M154" s="1"/>
      <c r="N154" s="1"/>
    </row>
    <row r="155" ht="14.25" customHeight="1">
      <c r="A155" s="1"/>
      <c r="B155" s="69">
        <f>1.5*B152</f>
        <v>0.03</v>
      </c>
      <c r="C155" s="70">
        <v>449.1041896947218</v>
      </c>
      <c r="D155" s="70">
        <v>181.16104886094098</v>
      </c>
      <c r="E155" s="70">
        <v>110.13960290477235</v>
      </c>
      <c r="F155" s="70">
        <v>86.08380385244195</v>
      </c>
      <c r="G155" s="70">
        <v>69.93844818915181</v>
      </c>
      <c r="H155" s="70">
        <v>53.70570078034643</v>
      </c>
      <c r="I155" s="70">
        <v>42.83492969866459</v>
      </c>
      <c r="J155" s="1"/>
      <c r="K155" s="1"/>
      <c r="L155" s="1"/>
      <c r="M155" s="1"/>
      <c r="N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ht="14.25" customHeight="1">
      <c r="A158" s="20" t="s">
        <v>74</v>
      </c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ht="14.25" customHeight="1">
      <c r="A160" s="74"/>
      <c r="B160" s="74" t="s">
        <v>75</v>
      </c>
      <c r="C160" s="74" t="s">
        <v>76</v>
      </c>
      <c r="D160" s="74" t="s">
        <v>77</v>
      </c>
      <c r="E160" s="74" t="s">
        <v>78</v>
      </c>
      <c r="F160" s="74" t="s">
        <v>79</v>
      </c>
      <c r="G160" s="74" t="s">
        <v>80</v>
      </c>
      <c r="H160" s="1"/>
      <c r="I160" s="1"/>
      <c r="J160" s="1"/>
      <c r="K160" s="1"/>
      <c r="L160" s="1"/>
      <c r="M160" s="1"/>
      <c r="N160" s="1"/>
    </row>
    <row r="161" ht="14.25" customHeight="1">
      <c r="A161" s="49" t="s">
        <v>81</v>
      </c>
      <c r="B161" s="75">
        <f>0.57*4</f>
        <v>2.28</v>
      </c>
      <c r="C161" s="75">
        <f>0.61*4</f>
        <v>2.44</v>
      </c>
      <c r="D161" s="75">
        <f>0.66*4</f>
        <v>2.64</v>
      </c>
      <c r="E161" s="75">
        <f>0.7*4</f>
        <v>2.8</v>
      </c>
      <c r="F161" s="75">
        <f>0.75*4</f>
        <v>3</v>
      </c>
      <c r="G161" s="75">
        <f>0.8*4</f>
        <v>3.2</v>
      </c>
      <c r="H161" s="76"/>
      <c r="I161" s="1"/>
      <c r="J161" s="1"/>
      <c r="K161" s="1"/>
      <c r="L161" s="1"/>
      <c r="M161" s="1"/>
      <c r="N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24"/>
      <c r="L162" s="24"/>
      <c r="M162" s="24"/>
      <c r="N162" s="24"/>
      <c r="O162" s="24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24"/>
      <c r="M163" s="24"/>
      <c r="N163" s="24"/>
      <c r="O163" s="24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24"/>
      <c r="K164" s="24"/>
      <c r="L164" s="24"/>
      <c r="M164" s="24"/>
      <c r="N164" s="24"/>
      <c r="O164" s="24"/>
    </row>
    <row r="165" ht="14.25" customHeight="1">
      <c r="A165" s="77" t="s">
        <v>82</v>
      </c>
      <c r="B165" s="78">
        <v>0.5312</v>
      </c>
      <c r="C165" s="1"/>
      <c r="D165" s="79" t="s">
        <v>83</v>
      </c>
      <c r="E165" s="1"/>
      <c r="F165" s="1"/>
      <c r="G165" s="1"/>
      <c r="H165" s="1"/>
      <c r="I165" s="1"/>
      <c r="J165" s="24"/>
      <c r="K165" s="24"/>
      <c r="L165" s="1"/>
      <c r="M165" s="1"/>
      <c r="N165" s="1"/>
    </row>
    <row r="166" ht="14.25" customHeight="1">
      <c r="A166" s="80" t="s">
        <v>84</v>
      </c>
      <c r="B166" s="13" t="s">
        <v>85</v>
      </c>
      <c r="C166" s="1"/>
      <c r="D166" s="41">
        <f>(G161/B161)^(1/5)-1</f>
        <v>0.07014598459</v>
      </c>
      <c r="E166" s="1"/>
      <c r="F166" s="1"/>
      <c r="G166" s="1"/>
      <c r="H166" s="1"/>
      <c r="I166" s="1"/>
      <c r="J166" s="24"/>
      <c r="K166" s="1"/>
      <c r="L166" s="1"/>
      <c r="M166" s="1"/>
      <c r="N166" s="1"/>
    </row>
    <row r="167" ht="14.25" customHeight="1">
      <c r="A167" s="79" t="s">
        <v>86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ht="14.25" customHeight="1">
      <c r="A168" s="80" t="s">
        <v>87</v>
      </c>
      <c r="B168" s="8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ht="14.25" customHeight="1">
      <c r="A170" s="82" t="s">
        <v>88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ht="14.25" customHeight="1">
      <c r="A171" s="83" t="s">
        <v>89</v>
      </c>
      <c r="B171" s="13" t="s">
        <v>85</v>
      </c>
      <c r="C171" s="1"/>
      <c r="D171" s="84" t="s">
        <v>90</v>
      </c>
      <c r="E171" s="85"/>
      <c r="F171" s="85"/>
      <c r="G171" s="85"/>
      <c r="H171" s="1"/>
      <c r="I171" s="1"/>
      <c r="J171" s="1"/>
      <c r="K171" s="1"/>
      <c r="L171" s="1"/>
      <c r="M171" s="1"/>
      <c r="N171" s="1"/>
    </row>
    <row r="172" ht="14.25" customHeight="1">
      <c r="A172" s="79" t="s">
        <v>86</v>
      </c>
      <c r="B172" s="1"/>
      <c r="C172" s="1"/>
      <c r="D172" s="1" t="s">
        <v>91</v>
      </c>
      <c r="E172" s="1"/>
      <c r="F172" s="1"/>
      <c r="G172" s="48">
        <v>0.062</v>
      </c>
      <c r="H172" s="1"/>
      <c r="I172" s="1"/>
      <c r="J172" s="1"/>
      <c r="K172" s="1"/>
      <c r="L172" s="1"/>
      <c r="M172" s="1"/>
      <c r="N172" s="1"/>
    </row>
    <row r="173" ht="14.25" customHeight="1">
      <c r="A173" s="86" t="s">
        <v>92</v>
      </c>
      <c r="B173" s="48">
        <v>0.05</v>
      </c>
      <c r="C173" s="1"/>
      <c r="D173" s="1" t="s">
        <v>93</v>
      </c>
      <c r="E173" s="1"/>
      <c r="F173" s="1"/>
      <c r="G173" s="48">
        <v>0.5312</v>
      </c>
      <c r="H173" s="1"/>
      <c r="I173" s="1"/>
      <c r="J173" s="1"/>
      <c r="K173" s="1"/>
      <c r="L173" s="1"/>
      <c r="M173" s="1"/>
      <c r="N173" s="1"/>
    </row>
    <row r="174" ht="14.25" customHeight="1">
      <c r="A174" s="86" t="s">
        <v>94</v>
      </c>
      <c r="B174" s="48">
        <v>0.02</v>
      </c>
      <c r="C174" s="1"/>
      <c r="D174" s="1" t="s">
        <v>95</v>
      </c>
      <c r="E174" s="1"/>
      <c r="F174" s="1"/>
      <c r="G174" s="48">
        <v>0.03</v>
      </c>
      <c r="H174" s="1"/>
      <c r="I174" s="1"/>
      <c r="J174" s="1"/>
      <c r="K174" s="1"/>
      <c r="L174" s="1"/>
      <c r="M174" s="1"/>
      <c r="N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ht="14.25" customHeight="1">
      <c r="A176" s="86" t="s">
        <v>96</v>
      </c>
      <c r="B176" s="87">
        <v>8.0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ht="14.25" customHeight="1">
      <c r="A178" s="1"/>
      <c r="B178" s="49"/>
      <c r="C178" s="49">
        <v>0.0</v>
      </c>
      <c r="D178" s="49">
        <v>1.0</v>
      </c>
      <c r="E178" s="49">
        <v>2.0</v>
      </c>
      <c r="F178" s="49">
        <v>3.0</v>
      </c>
      <c r="G178" s="49">
        <f t="shared" ref="G178:M178" si="22">IF(AND((F178+1)&lt;=$B$176,F178&gt;0),F178+1,0)</f>
        <v>4</v>
      </c>
      <c r="H178" s="49">
        <f t="shared" si="22"/>
        <v>5</v>
      </c>
      <c r="I178" s="49">
        <f t="shared" si="22"/>
        <v>6</v>
      </c>
      <c r="J178" s="49">
        <f t="shared" si="22"/>
        <v>7</v>
      </c>
      <c r="K178" s="49">
        <f t="shared" si="22"/>
        <v>8</v>
      </c>
      <c r="L178" s="49">
        <f t="shared" si="22"/>
        <v>0</v>
      </c>
      <c r="M178" s="49">
        <f t="shared" si="22"/>
        <v>0</v>
      </c>
      <c r="N178" s="50" t="s">
        <v>48</v>
      </c>
    </row>
    <row r="179" ht="14.25" customHeight="1">
      <c r="A179" s="1"/>
      <c r="B179" s="49" t="s">
        <v>97</v>
      </c>
      <c r="C179" s="70">
        <f>B19</f>
        <v>5.93</v>
      </c>
      <c r="D179" s="70">
        <f t="shared" ref="D179:M179" si="23">IF(AND(D178&gt;0,$B$171="yes"),C179*(1+$B$53),IF(AND(D178&gt;0,$B$171="no"),C179*(1+$B$173),0))</f>
        <v>6.2265</v>
      </c>
      <c r="E179" s="70">
        <f t="shared" si="23"/>
        <v>6.537825</v>
      </c>
      <c r="F179" s="70">
        <f t="shared" si="23"/>
        <v>6.86471625</v>
      </c>
      <c r="G179" s="70">
        <f t="shared" si="23"/>
        <v>7.207952063</v>
      </c>
      <c r="H179" s="70">
        <f t="shared" si="23"/>
        <v>7.568349666</v>
      </c>
      <c r="I179" s="70">
        <f t="shared" si="23"/>
        <v>7.946767149</v>
      </c>
      <c r="J179" s="70">
        <f t="shared" si="23"/>
        <v>8.344105506</v>
      </c>
      <c r="K179" s="70">
        <f t="shared" si="23"/>
        <v>8.761310782</v>
      </c>
      <c r="L179" s="70">
        <f t="shared" si="23"/>
        <v>0</v>
      </c>
      <c r="M179" s="70">
        <f t="shared" si="23"/>
        <v>0</v>
      </c>
      <c r="N179" s="54"/>
    </row>
    <row r="180" ht="14.25" customHeight="1">
      <c r="A180" s="1"/>
      <c r="B180" s="49" t="s">
        <v>98</v>
      </c>
      <c r="C180" s="70">
        <f>$B$165*C179</f>
        <v>3.150016</v>
      </c>
      <c r="D180" s="70">
        <f t="shared" ref="D180:M180" si="24">IF($B$166="yes",$B$165*D179,$B$168*D179)</f>
        <v>3.3075168</v>
      </c>
      <c r="E180" s="70">
        <f t="shared" si="24"/>
        <v>3.47289264</v>
      </c>
      <c r="F180" s="70">
        <f t="shared" si="24"/>
        <v>3.646537272</v>
      </c>
      <c r="G180" s="70">
        <f t="shared" si="24"/>
        <v>3.828864136</v>
      </c>
      <c r="H180" s="70">
        <f t="shared" si="24"/>
        <v>4.020307342</v>
      </c>
      <c r="I180" s="70">
        <f t="shared" si="24"/>
        <v>4.221322709</v>
      </c>
      <c r="J180" s="70">
        <f t="shared" si="24"/>
        <v>4.432388845</v>
      </c>
      <c r="K180" s="70">
        <f t="shared" si="24"/>
        <v>4.654008287</v>
      </c>
      <c r="L180" s="70">
        <f t="shared" si="24"/>
        <v>0</v>
      </c>
      <c r="M180" s="70">
        <f t="shared" si="24"/>
        <v>0</v>
      </c>
      <c r="N180" s="88">
        <f>HLOOKUP($B$176,D178:M180,3,FALSE)*(1+IF(B171="YES",$B$54,$B$174))/($B$47-$B$54)</f>
        <v>140.0343959</v>
      </c>
    </row>
    <row r="181" ht="14.25" customHeight="1">
      <c r="A181" s="1"/>
      <c r="B181" s="4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ht="14.25" customHeight="1">
      <c r="A182" s="1"/>
      <c r="B182" s="49" t="s">
        <v>99</v>
      </c>
      <c r="C182" s="1"/>
      <c r="D182" s="70">
        <f t="shared" ref="D182:E182" si="25">D180</f>
        <v>3.3075168</v>
      </c>
      <c r="E182" s="70">
        <f t="shared" si="25"/>
        <v>3.47289264</v>
      </c>
      <c r="F182" s="70">
        <f t="shared" ref="F182:L182" si="26">IF(AND(G178=0,F179&gt;0),F179+$N$180,F179)</f>
        <v>6.86471625</v>
      </c>
      <c r="G182" s="70">
        <f t="shared" si="26"/>
        <v>7.207952063</v>
      </c>
      <c r="H182" s="70">
        <f t="shared" si="26"/>
        <v>7.568349666</v>
      </c>
      <c r="I182" s="70">
        <f t="shared" si="26"/>
        <v>7.946767149</v>
      </c>
      <c r="J182" s="70">
        <f t="shared" si="26"/>
        <v>8.344105506</v>
      </c>
      <c r="K182" s="70">
        <f t="shared" si="26"/>
        <v>148.7957067</v>
      </c>
      <c r="L182" s="70">
        <f t="shared" si="26"/>
        <v>0</v>
      </c>
      <c r="M182" s="70">
        <f>IF(AND(N178="Horizon Value",M179&gt;0),M179+$N$180,M179)</f>
        <v>0</v>
      </c>
      <c r="N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ht="18.0" customHeight="1">
      <c r="A184" s="61" t="s">
        <v>100</v>
      </c>
      <c r="B184" s="62">
        <f t="array" ref="B184">NPV(B47,D182:M182)</f>
        <v>133.1390847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ht="14.25" customHeight="1">
      <c r="A187" s="1"/>
      <c r="B187" s="1"/>
      <c r="C187" s="1"/>
      <c r="D187" s="1"/>
      <c r="E187" s="1"/>
      <c r="F187" s="67" t="s">
        <v>59</v>
      </c>
      <c r="G187" s="1"/>
      <c r="H187" s="1"/>
      <c r="I187" s="1"/>
      <c r="J187" s="1"/>
      <c r="K187" s="1"/>
      <c r="L187" s="1"/>
      <c r="M187" s="1"/>
      <c r="N187" s="1"/>
    </row>
    <row r="188" ht="14.25" customHeight="1">
      <c r="A188" s="1"/>
      <c r="B188" s="89">
        <f>B184</f>
        <v>133.1390847</v>
      </c>
      <c r="C188" s="69">
        <f>F188*0.6</f>
        <v>0.0372</v>
      </c>
      <c r="D188" s="69">
        <f>F188*0.75</f>
        <v>0.0465</v>
      </c>
      <c r="E188" s="69">
        <f>F188*0.9</f>
        <v>0.0558</v>
      </c>
      <c r="F188" s="69">
        <f>G172</f>
        <v>0.062</v>
      </c>
      <c r="G188" s="69">
        <f>F188*1.1</f>
        <v>0.0682</v>
      </c>
      <c r="H188" s="69">
        <f>F188*1.25</f>
        <v>0.0775</v>
      </c>
      <c r="I188" s="69">
        <f>F188*1.4</f>
        <v>0.0868</v>
      </c>
      <c r="J188" s="1"/>
      <c r="K188" s="1"/>
      <c r="L188" s="1"/>
      <c r="M188" s="1"/>
      <c r="N188" s="1"/>
    </row>
    <row r="189" ht="14.25" customHeight="1">
      <c r="A189" s="1"/>
      <c r="B189" s="69">
        <f>B192*0.7</f>
        <v>0.37184</v>
      </c>
      <c r="C189" s="70">
        <v>99.30176966542724</v>
      </c>
      <c r="D189" s="70">
        <v>64.46103617145012</v>
      </c>
      <c r="E189" s="70">
        <v>47.870360753164526</v>
      </c>
      <c r="F189" s="70">
        <v>40.915357420597765</v>
      </c>
      <c r="G189" s="70">
        <v>35.756186175691134</v>
      </c>
      <c r="H189" s="70">
        <v>30.106945202266946</v>
      </c>
      <c r="I189" s="70">
        <v>26.030043304364156</v>
      </c>
      <c r="J189" s="1"/>
      <c r="K189" s="1"/>
      <c r="L189" s="1"/>
      <c r="M189" s="1"/>
      <c r="N189" s="1"/>
    </row>
    <row r="190" ht="14.25" customHeight="1">
      <c r="A190" s="1"/>
      <c r="B190" s="69">
        <f>B192*0.8</f>
        <v>0.42496</v>
      </c>
      <c r="C190" s="70">
        <v>113.04500255279542</v>
      </c>
      <c r="D190" s="70">
        <v>73.23854140586789</v>
      </c>
      <c r="E190" s="70">
        <v>54.288893261467294</v>
      </c>
      <c r="F190" s="70">
        <v>46.347522116116444</v>
      </c>
      <c r="G190" s="70">
        <v>40.45836671359495</v>
      </c>
      <c r="H190" s="70">
        <v>34.01235475723452</v>
      </c>
      <c r="I190" s="70">
        <v>29.362958571585473</v>
      </c>
      <c r="J190" s="1"/>
      <c r="K190" s="1"/>
      <c r="L190" s="1"/>
      <c r="M190" s="1"/>
      <c r="N190" s="1"/>
    </row>
    <row r="191" ht="14.25" customHeight="1">
      <c r="A191" s="71" t="s">
        <v>101</v>
      </c>
      <c r="B191" s="69">
        <f>B192*0.9</f>
        <v>0.47808</v>
      </c>
      <c r="C191" s="70">
        <v>126.78823544016362</v>
      </c>
      <c r="D191" s="70">
        <v>82.0160466402857</v>
      </c>
      <c r="E191" s="70">
        <v>60.707425769770055</v>
      </c>
      <c r="F191" s="70">
        <v>51.77968681163513</v>
      </c>
      <c r="G191" s="70">
        <v>45.160547251498755</v>
      </c>
      <c r="H191" s="70">
        <v>37.9177643122021</v>
      </c>
      <c r="I191" s="70">
        <v>32.69587383880679</v>
      </c>
      <c r="J191" s="1"/>
      <c r="K191" s="1"/>
      <c r="L191" s="1"/>
      <c r="M191" s="1"/>
      <c r="N191" s="1"/>
    </row>
    <row r="192" ht="14.25" customHeight="1">
      <c r="A192" s="71" t="s">
        <v>102</v>
      </c>
      <c r="B192" s="69">
        <f>G173</f>
        <v>0.5312</v>
      </c>
      <c r="C192" s="70">
        <v>140.53146832753177</v>
      </c>
      <c r="D192" s="70">
        <v>90.79355187470347</v>
      </c>
      <c r="E192" s="70">
        <v>67.12595827807282</v>
      </c>
      <c r="F192" s="70">
        <v>57.21185150715381</v>
      </c>
      <c r="G192" s="70">
        <v>49.86272778940256</v>
      </c>
      <c r="H192" s="70">
        <v>41.823173867169665</v>
      </c>
      <c r="I192" s="70">
        <v>36.02878910602811</v>
      </c>
      <c r="J192" s="1"/>
      <c r="K192" s="1"/>
      <c r="L192" s="1"/>
      <c r="M192" s="1"/>
      <c r="N192" s="1"/>
    </row>
    <row r="193" ht="14.25" customHeight="1">
      <c r="A193" s="1"/>
      <c r="B193" s="69">
        <f>B192*1.1</f>
        <v>0.58432</v>
      </c>
      <c r="C193" s="70">
        <v>154.27470121489995</v>
      </c>
      <c r="D193" s="70">
        <v>99.57105710912126</v>
      </c>
      <c r="E193" s="70">
        <v>73.5444907863756</v>
      </c>
      <c r="F193" s="70">
        <v>62.64401620267249</v>
      </c>
      <c r="G193" s="70">
        <v>54.564908327306384</v>
      </c>
      <c r="H193" s="70">
        <v>45.72858342213724</v>
      </c>
      <c r="I193" s="70">
        <v>39.361704373249424</v>
      </c>
      <c r="J193" s="1"/>
      <c r="K193" s="1"/>
      <c r="L193" s="1"/>
      <c r="M193" s="1"/>
      <c r="N193" s="1"/>
    </row>
    <row r="194" ht="14.25" customHeight="1">
      <c r="A194" s="1"/>
      <c r="B194" s="69">
        <f>B192*1.2</f>
        <v>0.63744</v>
      </c>
      <c r="C194" s="70">
        <v>168.01793410226813</v>
      </c>
      <c r="D194" s="70">
        <v>108.34856234353904</v>
      </c>
      <c r="E194" s="70">
        <v>79.96302329467834</v>
      </c>
      <c r="F194" s="70">
        <v>68.07618089819117</v>
      </c>
      <c r="G194" s="70">
        <v>59.26708886521018</v>
      </c>
      <c r="H194" s="70">
        <v>49.63399297710481</v>
      </c>
      <c r="I194" s="70">
        <v>42.69461964047073</v>
      </c>
      <c r="J194" s="1"/>
      <c r="K194" s="1"/>
      <c r="L194" s="1"/>
      <c r="M194" s="1"/>
      <c r="N194" s="1"/>
    </row>
    <row r="195" ht="14.25" customHeight="1">
      <c r="A195" s="1"/>
      <c r="B195" s="69">
        <f>B192*1.3</f>
        <v>0.69056</v>
      </c>
      <c r="C195" s="70">
        <v>181.7611669896363</v>
      </c>
      <c r="D195" s="70">
        <v>117.12606757795683</v>
      </c>
      <c r="E195" s="70">
        <v>86.38155580298111</v>
      </c>
      <c r="F195" s="70">
        <v>73.50834559370983</v>
      </c>
      <c r="G195" s="70">
        <v>63.969269403113984</v>
      </c>
      <c r="H195" s="70">
        <v>53.53940253207238</v>
      </c>
      <c r="I195" s="70">
        <v>46.02753490769205</v>
      </c>
      <c r="J195" s="1"/>
      <c r="K195" s="1"/>
      <c r="L195" s="1"/>
      <c r="M195" s="1"/>
      <c r="N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ht="14.25" customHeight="1">
      <c r="A198" s="1"/>
      <c r="B198" s="1"/>
      <c r="C198" s="1"/>
      <c r="D198" s="1"/>
      <c r="E198" s="1"/>
      <c r="F198" s="67" t="s">
        <v>59</v>
      </c>
      <c r="G198" s="1"/>
      <c r="H198" s="1"/>
      <c r="I198" s="1"/>
      <c r="J198" s="1"/>
      <c r="K198" s="1"/>
      <c r="L198" s="1"/>
      <c r="M198" s="1"/>
      <c r="N198" s="1"/>
    </row>
    <row r="199" ht="14.25" customHeight="1">
      <c r="A199" s="1"/>
      <c r="B199" s="89">
        <f>B184</f>
        <v>133.1390847</v>
      </c>
      <c r="C199" s="69">
        <f>F199*0.6</f>
        <v>0.0372</v>
      </c>
      <c r="D199" s="69">
        <f>F199*0.75</f>
        <v>0.0465</v>
      </c>
      <c r="E199" s="69">
        <f>F199*0.9</f>
        <v>0.0558</v>
      </c>
      <c r="F199" s="69">
        <f>G172</f>
        <v>0.062</v>
      </c>
      <c r="G199" s="69">
        <f>F199*1.1</f>
        <v>0.0682</v>
      </c>
      <c r="H199" s="69">
        <f>F199*1.25</f>
        <v>0.0775</v>
      </c>
      <c r="I199" s="69">
        <f>F199*1.4</f>
        <v>0.0868</v>
      </c>
      <c r="J199" s="1"/>
      <c r="K199" s="1"/>
      <c r="L199" s="1"/>
      <c r="M199" s="1"/>
      <c r="N199" s="1"/>
    </row>
    <row r="200" ht="14.25" customHeight="1">
      <c r="A200" s="1"/>
      <c r="B200" s="69">
        <v>0.0</v>
      </c>
      <c r="C200" s="70">
        <v>66.50429173583179</v>
      </c>
      <c r="D200" s="70">
        <v>53.28082026949587</v>
      </c>
      <c r="E200" s="70">
        <v>44.45956540729241</v>
      </c>
      <c r="F200" s="70">
        <v>40.04627837044125</v>
      </c>
      <c r="G200" s="70">
        <v>36.433559973391674</v>
      </c>
      <c r="H200" s="70">
        <v>32.09538660623793</v>
      </c>
      <c r="I200" s="70">
        <v>28.68386158494036</v>
      </c>
      <c r="J200" s="1"/>
      <c r="K200" s="1"/>
      <c r="L200" s="1"/>
      <c r="M200" s="1"/>
      <c r="N200" s="1"/>
    </row>
    <row r="201" ht="14.25" customHeight="1">
      <c r="A201" s="1"/>
      <c r="B201" s="69">
        <f>B204*0.5</f>
        <v>0.015</v>
      </c>
      <c r="C201" s="70">
        <v>89.60299721369307</v>
      </c>
      <c r="D201" s="70">
        <v>66.79065018325944</v>
      </c>
      <c r="E201" s="70">
        <v>53.26866464103669</v>
      </c>
      <c r="F201" s="70">
        <v>46.946165611668846</v>
      </c>
      <c r="G201" s="70">
        <v>41.97220974689529</v>
      </c>
      <c r="H201" s="70">
        <v>36.225107613237256</v>
      </c>
      <c r="I201" s="70">
        <v>31.869261186260907</v>
      </c>
      <c r="J201" s="1"/>
      <c r="K201" s="1"/>
      <c r="L201" s="1"/>
      <c r="M201" s="1"/>
      <c r="N201" s="1"/>
    </row>
    <row r="202" ht="14.25" customHeight="1">
      <c r="A202" s="1"/>
      <c r="B202" s="69">
        <f>0.75*B204</f>
        <v>0.0225</v>
      </c>
      <c r="C202" s="70">
        <v>109.1727337991033</v>
      </c>
      <c r="D202" s="70">
        <v>76.84064560691282</v>
      </c>
      <c r="E202" s="70">
        <v>59.329059978537444</v>
      </c>
      <c r="F202" s="70">
        <v>51.52109084770018</v>
      </c>
      <c r="G202" s="70">
        <v>45.53884506169464</v>
      </c>
      <c r="H202" s="70">
        <v>38.795648240042944</v>
      </c>
      <c r="I202" s="70">
        <v>33.80131463763004</v>
      </c>
      <c r="J202" s="1"/>
      <c r="K202" s="1"/>
      <c r="L202" s="1"/>
      <c r="M202" s="1"/>
      <c r="N202" s="1"/>
    </row>
    <row r="203" ht="14.25" customHeight="1">
      <c r="A203" s="71" t="s">
        <v>103</v>
      </c>
      <c r="B203" s="69">
        <f>B204*0.9</f>
        <v>0.027</v>
      </c>
      <c r="C203" s="70">
        <v>125.96483035303595</v>
      </c>
      <c r="D203" s="70">
        <v>84.60902044789897</v>
      </c>
      <c r="E203" s="70">
        <v>63.75364128998109</v>
      </c>
      <c r="F203" s="70">
        <v>54.776735317992255</v>
      </c>
      <c r="G203" s="70">
        <v>48.02749935670535</v>
      </c>
      <c r="H203" s="70">
        <v>40.549793989665716</v>
      </c>
      <c r="I203" s="70">
        <v>35.09814101952826</v>
      </c>
      <c r="J203" s="1"/>
      <c r="K203" s="1"/>
      <c r="L203" s="1"/>
      <c r="M203" s="1"/>
      <c r="N203" s="1"/>
    </row>
    <row r="204" ht="14.25" customHeight="1">
      <c r="A204" s="71" t="s">
        <v>61</v>
      </c>
      <c r="B204" s="69">
        <f>G174</f>
        <v>0.03</v>
      </c>
      <c r="C204" s="70">
        <v>140.53146832753177</v>
      </c>
      <c r="D204" s="70">
        <v>90.79355187470347</v>
      </c>
      <c r="E204" s="70">
        <v>67.12595827807282</v>
      </c>
      <c r="F204" s="70">
        <v>57.21185150715381</v>
      </c>
      <c r="G204" s="70">
        <v>49.86272778940256</v>
      </c>
      <c r="H204" s="70">
        <v>41.823173867169665</v>
      </c>
      <c r="I204" s="70">
        <v>36.02878910602811</v>
      </c>
      <c r="J204" s="1"/>
      <c r="K204" s="1"/>
      <c r="L204" s="1"/>
      <c r="M204" s="1"/>
      <c r="N204" s="1"/>
    </row>
    <row r="205" ht="14.25" customHeight="1">
      <c r="A205" s="1"/>
      <c r="B205" s="69">
        <f>1.1*B204</f>
        <v>0.033</v>
      </c>
      <c r="C205" s="70">
        <v>159.08896602106753</v>
      </c>
      <c r="D205" s="70">
        <v>98.01968859444345</v>
      </c>
      <c r="E205" s="70">
        <v>70.90828341061338</v>
      </c>
      <c r="F205" s="70">
        <v>59.89672320289603</v>
      </c>
      <c r="G205" s="70">
        <v>51.860725927882235</v>
      </c>
      <c r="H205" s="70">
        <v>43.19044350522688</v>
      </c>
      <c r="I205" s="70">
        <v>37.01815316013046</v>
      </c>
      <c r="J205" s="1"/>
      <c r="K205" s="1"/>
      <c r="L205" s="1"/>
      <c r="M205" s="1"/>
      <c r="N205" s="1"/>
    </row>
    <row r="206" ht="14.25" customHeight="1">
      <c r="A206" s="1"/>
      <c r="B206" s="69">
        <f>1.25*B204</f>
        <v>0.0375</v>
      </c>
      <c r="C206" s="70">
        <v>198.92359469081237</v>
      </c>
      <c r="D206" s="70">
        <v>111.47075031974258</v>
      </c>
      <c r="E206" s="70">
        <v>77.53051487176717</v>
      </c>
      <c r="F206" s="70">
        <v>64.48337901645563</v>
      </c>
      <c r="G206" s="70">
        <v>55.21366104625724</v>
      </c>
      <c r="H206" s="70">
        <v>45.441436202028406</v>
      </c>
      <c r="I206" s="70">
        <v>38.62505073806822</v>
      </c>
      <c r="J206" s="1"/>
      <c r="K206" s="1"/>
      <c r="L206" s="1"/>
      <c r="M206" s="1"/>
      <c r="N206" s="1"/>
    </row>
    <row r="207" ht="14.25" customHeight="1">
      <c r="A207" s="1"/>
      <c r="B207" s="69">
        <f>1.5*B204</f>
        <v>0.045</v>
      </c>
      <c r="C207" s="70">
        <v>345.78863978633626</v>
      </c>
      <c r="D207" s="70">
        <v>145.27632872988593</v>
      </c>
      <c r="E207" s="70">
        <v>92.11360825007773</v>
      </c>
      <c r="F207" s="70">
        <v>74.10056056101614</v>
      </c>
      <c r="G207" s="70">
        <v>62.00689437234502</v>
      </c>
      <c r="H207" s="70">
        <v>49.84202552820798</v>
      </c>
      <c r="I207" s="70">
        <v>41.6899516538701</v>
      </c>
      <c r="J207" s="1"/>
      <c r="K207" s="1"/>
      <c r="L207" s="1"/>
      <c r="M207" s="1"/>
      <c r="N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ht="14.25" customHeight="1">
      <c r="A210" s="20" t="s">
        <v>104</v>
      </c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ht="18.0" customHeight="1">
      <c r="A212" s="61" t="s">
        <v>105</v>
      </c>
      <c r="B212" s="62">
        <f>B68</f>
        <v>165.7942267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ht="18.0" customHeight="1">
      <c r="A213" s="61" t="s">
        <v>106</v>
      </c>
      <c r="B213" s="62">
        <f>B123</f>
        <v>133.6154302</v>
      </c>
      <c r="C213" s="1"/>
      <c r="D213" s="90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ht="18.0" customHeight="1">
      <c r="A214" s="61" t="s">
        <v>107</v>
      </c>
      <c r="B214" s="62">
        <f>B184</f>
        <v>133.1390847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ht="23.25" customHeight="1">
      <c r="A215" s="91"/>
      <c r="B215" s="9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ht="23.25" customHeight="1">
      <c r="A216" s="93" t="s">
        <v>108</v>
      </c>
      <c r="B216" s="94">
        <f>AVERAGE(B212:B214)</f>
        <v>144.1829139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ht="14.25" customHeight="1">
      <c r="B217" s="95">
        <f>B213/3+B214/3+B212/3</f>
        <v>144.1829139</v>
      </c>
    </row>
    <row r="218" ht="14.25" customHeight="1"/>
    <row r="219" ht="14.25" customHeight="1">
      <c r="B219" s="96"/>
    </row>
    <row r="220" ht="14.25" customHeight="1">
      <c r="B220" s="96"/>
    </row>
    <row r="221" ht="14.25" customHeight="1">
      <c r="B221" s="96"/>
    </row>
    <row r="222" ht="14.25" customHeight="1">
      <c r="B222" s="96"/>
    </row>
    <row r="223" ht="14.25" customHeight="1">
      <c r="B223" s="96"/>
    </row>
    <row r="224" ht="14.25" customHeight="1">
      <c r="B224" s="96"/>
    </row>
    <row r="225" ht="14.25" customHeight="1">
      <c r="B225" s="96"/>
    </row>
    <row r="226" ht="14.25" customHeight="1">
      <c r="B226" s="96"/>
    </row>
    <row r="227" ht="14.25" customHeight="1">
      <c r="B227" s="96"/>
    </row>
    <row r="228" ht="14.25" customHeight="1">
      <c r="B228" s="96"/>
    </row>
    <row r="229" ht="14.25" customHeight="1">
      <c r="B229" s="96"/>
    </row>
    <row r="230" ht="14.25" customHeight="1">
      <c r="B230" s="96"/>
    </row>
    <row r="231" ht="14.25" customHeight="1">
      <c r="B231" s="96"/>
    </row>
    <row r="232" ht="14.25" customHeight="1">
      <c r="B232" s="96"/>
    </row>
    <row r="233" ht="14.25" customHeight="1">
      <c r="B233" s="96"/>
    </row>
    <row r="234" ht="14.25" customHeight="1">
      <c r="B234" s="96"/>
    </row>
    <row r="235" ht="14.25" customHeight="1">
      <c r="B235" s="96"/>
    </row>
    <row r="236" ht="14.25" customHeight="1">
      <c r="B236" s="96"/>
    </row>
    <row r="237" ht="14.25" customHeight="1">
      <c r="B237" s="96"/>
    </row>
    <row r="238" ht="14.25" customHeight="1">
      <c r="B238" s="96"/>
    </row>
    <row r="239" ht="14.25" customHeight="1">
      <c r="B239" s="96"/>
    </row>
    <row r="240" ht="14.25" customHeight="1">
      <c r="B240" s="96"/>
    </row>
    <row r="241" ht="14.25" customHeight="1">
      <c r="B241" s="96"/>
    </row>
    <row r="242" ht="14.25" customHeight="1">
      <c r="B242" s="96"/>
    </row>
    <row r="243" ht="14.25" customHeight="1">
      <c r="B243" s="96"/>
    </row>
    <row r="244" ht="14.25" customHeight="1">
      <c r="B244" s="96"/>
    </row>
    <row r="245" ht="14.25" customHeight="1">
      <c r="B245" s="96"/>
    </row>
    <row r="246" ht="14.25" customHeight="1">
      <c r="B246" s="96"/>
    </row>
    <row r="247" ht="14.25" customHeight="1">
      <c r="B247" s="96"/>
    </row>
    <row r="248" ht="14.25" customHeight="1">
      <c r="B248" s="96"/>
    </row>
    <row r="249" ht="14.25" customHeight="1">
      <c r="B249" s="96"/>
    </row>
    <row r="250" ht="14.25" customHeight="1">
      <c r="B250" s="96"/>
    </row>
    <row r="251" ht="14.25" customHeight="1">
      <c r="B251" s="96"/>
    </row>
    <row r="252" ht="14.25" customHeight="1">
      <c r="B252" s="96"/>
    </row>
    <row r="253" ht="14.25" customHeight="1">
      <c r="B253" s="96"/>
    </row>
    <row r="254" ht="14.25" customHeight="1">
      <c r="B254" s="96"/>
    </row>
    <row r="255" ht="14.25" customHeight="1">
      <c r="B255" s="96"/>
    </row>
    <row r="256" ht="14.25" customHeight="1">
      <c r="B256" s="96"/>
    </row>
    <row r="257" ht="14.25" customHeight="1">
      <c r="B257" s="96"/>
    </row>
    <row r="258" ht="14.25" customHeight="1">
      <c r="B258" s="96"/>
    </row>
    <row r="259" ht="14.25" customHeight="1">
      <c r="B259" s="96"/>
    </row>
    <row r="260" ht="14.25" customHeight="1">
      <c r="B260" s="96"/>
    </row>
    <row r="261" ht="14.25" customHeight="1">
      <c r="B261" s="96"/>
    </row>
    <row r="262" ht="14.25" customHeight="1">
      <c r="B262" s="96"/>
    </row>
    <row r="263" ht="14.25" customHeight="1">
      <c r="B263" s="96"/>
    </row>
    <row r="264" ht="14.25" customHeight="1">
      <c r="B264" s="96"/>
    </row>
    <row r="265" ht="14.25" customHeight="1">
      <c r="B265" s="96"/>
    </row>
    <row r="266" ht="14.25" customHeight="1">
      <c r="B266" s="96"/>
    </row>
    <row r="267" ht="14.25" customHeight="1">
      <c r="B267" s="96"/>
    </row>
    <row r="268" ht="14.25" customHeight="1">
      <c r="B268" s="96"/>
    </row>
    <row r="269" ht="14.25" customHeight="1">
      <c r="B269" s="96"/>
    </row>
    <row r="270" ht="14.25" customHeight="1">
      <c r="B270" s="96"/>
    </row>
    <row r="271" ht="14.25" customHeight="1">
      <c r="B271" s="96"/>
    </row>
    <row r="272" ht="14.25" customHeight="1">
      <c r="B272" s="96"/>
    </row>
    <row r="273" ht="14.25" customHeight="1">
      <c r="B273" s="96"/>
    </row>
    <row r="274" ht="14.25" customHeight="1">
      <c r="B274" s="96"/>
    </row>
    <row r="275" ht="14.25" customHeight="1">
      <c r="B275" s="96"/>
    </row>
    <row r="276" ht="14.25" customHeight="1">
      <c r="B276" s="96"/>
    </row>
    <row r="277" ht="14.25" customHeight="1">
      <c r="B277" s="96"/>
    </row>
    <row r="278" ht="14.25" customHeight="1">
      <c r="B278" s="96"/>
    </row>
    <row r="279" ht="14.25" customHeight="1">
      <c r="B279" s="96"/>
    </row>
    <row r="280" ht="14.25" customHeight="1">
      <c r="B280" s="96"/>
    </row>
    <row r="281" ht="14.25" customHeight="1">
      <c r="B281" s="96"/>
    </row>
    <row r="282" ht="14.25" customHeight="1">
      <c r="B282" s="96"/>
    </row>
    <row r="283" ht="14.25" customHeight="1">
      <c r="B283" s="96"/>
    </row>
    <row r="284" ht="14.25" customHeight="1">
      <c r="B284" s="96"/>
    </row>
    <row r="285" ht="14.25" customHeight="1">
      <c r="B285" s="96"/>
    </row>
    <row r="286" ht="14.25" customHeight="1">
      <c r="B286" s="96"/>
    </row>
    <row r="287" ht="14.25" customHeight="1">
      <c r="B287" s="96"/>
    </row>
    <row r="288" ht="14.25" customHeight="1">
      <c r="B288" s="96"/>
    </row>
    <row r="289" ht="14.25" customHeight="1">
      <c r="B289" s="96"/>
    </row>
    <row r="290" ht="14.25" customHeight="1">
      <c r="B290" s="96"/>
    </row>
    <row r="291" ht="14.25" customHeight="1">
      <c r="B291" s="96"/>
    </row>
    <row r="292" ht="14.25" customHeight="1">
      <c r="B292" s="96"/>
    </row>
    <row r="293" ht="14.25" customHeight="1">
      <c r="B293" s="96"/>
    </row>
    <row r="294" ht="14.25" customHeight="1">
      <c r="B294" s="96"/>
    </row>
    <row r="295" ht="14.25" customHeight="1">
      <c r="B295" s="96"/>
    </row>
    <row r="296" ht="14.25" customHeight="1">
      <c r="B296" s="96"/>
    </row>
    <row r="297" ht="14.25" customHeight="1">
      <c r="B297" s="96"/>
    </row>
    <row r="298" ht="14.25" customHeight="1">
      <c r="B298" s="96"/>
    </row>
    <row r="299" ht="14.25" customHeight="1">
      <c r="B299" s="96"/>
    </row>
    <row r="300" ht="14.25" customHeight="1">
      <c r="B300" s="96"/>
    </row>
    <row r="301" ht="14.25" customHeight="1">
      <c r="B301" s="96"/>
    </row>
    <row r="302" ht="14.25" customHeight="1">
      <c r="B302" s="96"/>
    </row>
    <row r="303" ht="14.25" customHeight="1">
      <c r="B303" s="96"/>
    </row>
    <row r="304" ht="14.25" customHeight="1">
      <c r="B304" s="96"/>
    </row>
    <row r="305" ht="14.25" customHeight="1">
      <c r="B305" s="96"/>
    </row>
    <row r="306" ht="14.25" customHeight="1">
      <c r="B306" s="96"/>
    </row>
    <row r="307" ht="14.25" customHeight="1">
      <c r="B307" s="96"/>
    </row>
    <row r="308" ht="14.25" customHeight="1">
      <c r="B308" s="96"/>
    </row>
    <row r="309" ht="14.25" customHeight="1">
      <c r="B309" s="96"/>
    </row>
    <row r="310" ht="14.25" customHeight="1">
      <c r="B310" s="96"/>
    </row>
    <row r="311" ht="14.25" customHeight="1">
      <c r="B311" s="96"/>
    </row>
    <row r="312" ht="14.25" customHeight="1">
      <c r="B312" s="96"/>
    </row>
    <row r="313" ht="14.25" customHeight="1">
      <c r="B313" s="96"/>
    </row>
    <row r="314" ht="14.25" customHeight="1">
      <c r="B314" s="96"/>
    </row>
    <row r="315" ht="14.25" customHeight="1">
      <c r="B315" s="96"/>
    </row>
    <row r="316" ht="14.25" customHeight="1">
      <c r="B316" s="96"/>
    </row>
    <row r="317" ht="14.25" customHeight="1">
      <c r="B317" s="96"/>
    </row>
    <row r="318" ht="14.25" customHeight="1">
      <c r="B318" s="96"/>
    </row>
    <row r="319" ht="14.25" customHeight="1">
      <c r="B319" s="96"/>
    </row>
    <row r="320" ht="14.25" customHeight="1">
      <c r="B320" s="96"/>
    </row>
    <row r="321" ht="14.25" customHeight="1">
      <c r="B321" s="96"/>
    </row>
    <row r="322" ht="14.25" customHeight="1">
      <c r="B322" s="96"/>
    </row>
    <row r="323" ht="14.25" customHeight="1">
      <c r="B323" s="96"/>
    </row>
    <row r="324" ht="14.25" customHeight="1">
      <c r="B324" s="96"/>
    </row>
    <row r="325" ht="14.25" customHeight="1">
      <c r="B325" s="96"/>
    </row>
    <row r="326" ht="14.25" customHeight="1">
      <c r="B326" s="96"/>
    </row>
    <row r="327" ht="14.25" customHeight="1">
      <c r="B327" s="96"/>
    </row>
    <row r="328" ht="14.25" customHeight="1">
      <c r="B328" s="96"/>
    </row>
    <row r="329" ht="14.25" customHeight="1">
      <c r="B329" s="96"/>
    </row>
    <row r="330" ht="14.25" customHeight="1">
      <c r="B330" s="96"/>
    </row>
    <row r="331" ht="14.25" customHeight="1">
      <c r="B331" s="96"/>
    </row>
    <row r="332" ht="14.25" customHeight="1">
      <c r="B332" s="96"/>
    </row>
    <row r="333" ht="14.25" customHeight="1">
      <c r="B333" s="96"/>
    </row>
    <row r="334" ht="14.25" customHeight="1">
      <c r="B334" s="96"/>
    </row>
    <row r="335" ht="14.25" customHeight="1">
      <c r="B335" s="96"/>
    </row>
    <row r="336" ht="14.25" customHeight="1">
      <c r="B336" s="96"/>
    </row>
    <row r="337" ht="14.25" customHeight="1">
      <c r="B337" s="96"/>
    </row>
    <row r="338" ht="14.25" customHeight="1">
      <c r="B338" s="96"/>
    </row>
    <row r="339" ht="14.25" customHeight="1">
      <c r="B339" s="96"/>
    </row>
    <row r="340" ht="14.25" customHeight="1">
      <c r="B340" s="96"/>
    </row>
    <row r="341" ht="14.25" customHeight="1">
      <c r="B341" s="96"/>
    </row>
    <row r="342" ht="14.25" customHeight="1">
      <c r="B342" s="96"/>
    </row>
    <row r="343" ht="14.25" customHeight="1">
      <c r="B343" s="96"/>
    </row>
    <row r="344" ht="14.25" customHeight="1">
      <c r="B344" s="96"/>
    </row>
    <row r="345" ht="14.25" customHeight="1">
      <c r="B345" s="96"/>
    </row>
    <row r="346" ht="14.25" customHeight="1">
      <c r="B346" s="96"/>
    </row>
    <row r="347" ht="14.25" customHeight="1">
      <c r="B347" s="96"/>
    </row>
    <row r="348" ht="14.25" customHeight="1">
      <c r="B348" s="96"/>
    </row>
    <row r="349" ht="14.25" customHeight="1">
      <c r="B349" s="96"/>
    </row>
    <row r="350" ht="14.25" customHeight="1">
      <c r="B350" s="96"/>
    </row>
    <row r="351" ht="14.25" customHeight="1">
      <c r="B351" s="96"/>
    </row>
    <row r="352" ht="14.25" customHeight="1">
      <c r="B352" s="96"/>
    </row>
    <row r="353" ht="14.25" customHeight="1">
      <c r="B353" s="96"/>
    </row>
    <row r="354" ht="14.25" customHeight="1">
      <c r="B354" s="96"/>
    </row>
    <row r="355" ht="14.25" customHeight="1">
      <c r="B355" s="96"/>
    </row>
    <row r="356" ht="14.25" customHeight="1">
      <c r="B356" s="96"/>
    </row>
    <row r="357" ht="14.25" customHeight="1">
      <c r="B357" s="96"/>
    </row>
    <row r="358" ht="14.25" customHeight="1">
      <c r="B358" s="96"/>
    </row>
    <row r="359" ht="14.25" customHeight="1">
      <c r="B359" s="96"/>
    </row>
    <row r="360" ht="14.25" customHeight="1">
      <c r="B360" s="96"/>
    </row>
    <row r="361" ht="14.25" customHeight="1">
      <c r="B361" s="96"/>
    </row>
    <row r="362" ht="14.25" customHeight="1">
      <c r="B362" s="96"/>
    </row>
    <row r="363" ht="14.25" customHeight="1">
      <c r="B363" s="96"/>
    </row>
    <row r="364" ht="14.25" customHeight="1">
      <c r="B364" s="96"/>
    </row>
    <row r="365" ht="14.25" customHeight="1">
      <c r="B365" s="96"/>
    </row>
    <row r="366" ht="14.25" customHeight="1">
      <c r="B366" s="96"/>
    </row>
    <row r="367" ht="14.25" customHeight="1">
      <c r="B367" s="96"/>
    </row>
    <row r="368" ht="14.25" customHeight="1">
      <c r="B368" s="96"/>
    </row>
    <row r="369" ht="14.25" customHeight="1">
      <c r="B369" s="96"/>
    </row>
    <row r="370" ht="14.25" customHeight="1">
      <c r="B370" s="96"/>
    </row>
    <row r="371" ht="14.25" customHeight="1">
      <c r="B371" s="96"/>
    </row>
    <row r="372" ht="14.25" customHeight="1">
      <c r="B372" s="96"/>
    </row>
    <row r="373" ht="14.25" customHeight="1">
      <c r="B373" s="96"/>
    </row>
    <row r="374" ht="14.25" customHeight="1">
      <c r="B374" s="96"/>
    </row>
    <row r="375" ht="14.25" customHeight="1">
      <c r="B375" s="96"/>
    </row>
    <row r="376" ht="14.25" customHeight="1">
      <c r="B376" s="96"/>
    </row>
    <row r="377" ht="14.25" customHeight="1">
      <c r="B377" s="96"/>
    </row>
    <row r="378" ht="14.25" customHeight="1">
      <c r="B378" s="96"/>
    </row>
    <row r="379" ht="14.25" customHeight="1">
      <c r="B379" s="96"/>
    </row>
    <row r="380" ht="14.25" customHeight="1">
      <c r="B380" s="96"/>
    </row>
    <row r="381" ht="14.25" customHeight="1">
      <c r="B381" s="96"/>
    </row>
    <row r="382" ht="14.25" customHeight="1">
      <c r="B382" s="96"/>
    </row>
    <row r="383" ht="14.25" customHeight="1">
      <c r="B383" s="96"/>
    </row>
    <row r="384" ht="14.25" customHeight="1">
      <c r="B384" s="96"/>
    </row>
    <row r="385" ht="14.25" customHeight="1">
      <c r="B385" s="96"/>
    </row>
    <row r="386" ht="14.25" customHeight="1">
      <c r="B386" s="96"/>
    </row>
    <row r="387" ht="14.25" customHeight="1">
      <c r="B387" s="96"/>
    </row>
    <row r="388" ht="14.25" customHeight="1">
      <c r="B388" s="96"/>
    </row>
    <row r="389" ht="14.25" customHeight="1">
      <c r="B389" s="96"/>
    </row>
    <row r="390" ht="14.25" customHeight="1">
      <c r="B390" s="96"/>
    </row>
    <row r="391" ht="14.25" customHeight="1">
      <c r="B391" s="96"/>
    </row>
    <row r="392" ht="14.25" customHeight="1">
      <c r="B392" s="96"/>
    </row>
    <row r="393" ht="14.25" customHeight="1">
      <c r="B393" s="96"/>
    </row>
    <row r="394" ht="14.25" customHeight="1">
      <c r="B394" s="96"/>
    </row>
    <row r="395" ht="14.25" customHeight="1">
      <c r="B395" s="96"/>
    </row>
    <row r="396" ht="14.25" customHeight="1">
      <c r="B396" s="96"/>
    </row>
    <row r="397" ht="14.25" customHeight="1">
      <c r="B397" s="96"/>
    </row>
    <row r="398" ht="14.25" customHeight="1">
      <c r="B398" s="96"/>
    </row>
    <row r="399" ht="14.25" customHeight="1">
      <c r="B399" s="96"/>
    </row>
    <row r="400" ht="14.25" customHeight="1">
      <c r="B400" s="96"/>
    </row>
    <row r="401" ht="14.25" customHeight="1">
      <c r="B401" s="96"/>
    </row>
    <row r="402" ht="14.25" customHeight="1">
      <c r="B402" s="96"/>
    </row>
    <row r="403" ht="14.25" customHeight="1">
      <c r="B403" s="96"/>
    </row>
    <row r="404" ht="14.25" customHeight="1">
      <c r="B404" s="96"/>
    </row>
    <row r="405" ht="14.25" customHeight="1">
      <c r="B405" s="96"/>
    </row>
    <row r="406" ht="14.25" customHeight="1">
      <c r="B406" s="96"/>
    </row>
    <row r="407" ht="14.25" customHeight="1">
      <c r="B407" s="96"/>
    </row>
    <row r="408" ht="14.25" customHeight="1">
      <c r="B408" s="96"/>
    </row>
    <row r="409" ht="14.25" customHeight="1">
      <c r="B409" s="96"/>
    </row>
    <row r="410" ht="14.25" customHeight="1">
      <c r="B410" s="96"/>
    </row>
    <row r="411" ht="14.25" customHeight="1">
      <c r="B411" s="96"/>
    </row>
    <row r="412" ht="14.25" customHeight="1">
      <c r="B412" s="96"/>
    </row>
    <row r="413" ht="14.25" customHeight="1">
      <c r="B413" s="96"/>
    </row>
    <row r="414" ht="14.25" customHeight="1">
      <c r="B414" s="96"/>
    </row>
    <row r="415" ht="14.25" customHeight="1">
      <c r="B415" s="96"/>
    </row>
    <row r="416" ht="14.25" customHeight="1">
      <c r="B416" s="96"/>
    </row>
    <row r="417" ht="14.25" customHeight="1">
      <c r="B417" s="96"/>
    </row>
    <row r="418" ht="14.25" customHeight="1">
      <c r="B418" s="96"/>
    </row>
    <row r="419" ht="14.25" customHeight="1">
      <c r="B419" s="96"/>
    </row>
    <row r="420" ht="14.25" customHeight="1">
      <c r="B420" s="96"/>
    </row>
    <row r="421" ht="14.25" customHeight="1">
      <c r="B421" s="96"/>
    </row>
    <row r="422" ht="14.25" customHeight="1">
      <c r="B422" s="96"/>
    </row>
    <row r="423" ht="14.25" customHeight="1">
      <c r="B423" s="96"/>
    </row>
    <row r="424" ht="14.25" customHeight="1">
      <c r="B424" s="96"/>
    </row>
    <row r="425" ht="14.25" customHeight="1">
      <c r="B425" s="96"/>
    </row>
    <row r="426" ht="14.25" customHeight="1">
      <c r="B426" s="96"/>
    </row>
    <row r="427" ht="14.25" customHeight="1">
      <c r="B427" s="96"/>
    </row>
    <row r="428" ht="14.25" customHeight="1">
      <c r="B428" s="96"/>
    </row>
    <row r="429" ht="14.25" customHeight="1">
      <c r="B429" s="96"/>
    </row>
    <row r="430" ht="14.25" customHeight="1">
      <c r="B430" s="96"/>
    </row>
    <row r="431" ht="14.25" customHeight="1">
      <c r="B431" s="96"/>
    </row>
    <row r="432" ht="14.25" customHeight="1">
      <c r="B432" s="96"/>
    </row>
    <row r="433" ht="14.25" customHeight="1">
      <c r="B433" s="96"/>
    </row>
    <row r="434" ht="14.25" customHeight="1">
      <c r="B434" s="96"/>
    </row>
    <row r="435" ht="14.25" customHeight="1">
      <c r="B435" s="96"/>
    </row>
    <row r="436" ht="14.25" customHeight="1">
      <c r="B436" s="96"/>
    </row>
    <row r="437" ht="14.25" customHeight="1">
      <c r="B437" s="96"/>
    </row>
    <row r="438" ht="14.25" customHeight="1">
      <c r="B438" s="96"/>
    </row>
    <row r="439" ht="14.25" customHeight="1">
      <c r="B439" s="96"/>
    </row>
    <row r="440" ht="14.25" customHeight="1">
      <c r="B440" s="96"/>
    </row>
    <row r="441" ht="14.25" customHeight="1">
      <c r="B441" s="96"/>
    </row>
    <row r="442" ht="14.25" customHeight="1">
      <c r="B442" s="96"/>
    </row>
    <row r="443" ht="14.25" customHeight="1">
      <c r="B443" s="96"/>
    </row>
    <row r="444" ht="14.25" customHeight="1">
      <c r="B444" s="96"/>
    </row>
    <row r="445" ht="14.25" customHeight="1">
      <c r="B445" s="96"/>
    </row>
    <row r="446" ht="14.25" customHeight="1">
      <c r="B446" s="96"/>
    </row>
    <row r="447" ht="14.25" customHeight="1">
      <c r="B447" s="96"/>
    </row>
    <row r="448" ht="14.25" customHeight="1">
      <c r="B448" s="96"/>
    </row>
    <row r="449" ht="14.25" customHeight="1">
      <c r="B449" s="96"/>
    </row>
    <row r="450" ht="14.25" customHeight="1">
      <c r="B450" s="96"/>
    </row>
    <row r="451" ht="14.25" customHeight="1">
      <c r="B451" s="96"/>
    </row>
    <row r="452" ht="14.25" customHeight="1">
      <c r="B452" s="96"/>
    </row>
    <row r="453" ht="14.25" customHeight="1">
      <c r="B453" s="96"/>
    </row>
    <row r="454" ht="14.25" customHeight="1">
      <c r="B454" s="96"/>
    </row>
    <row r="455" ht="14.25" customHeight="1">
      <c r="B455" s="96"/>
    </row>
    <row r="456" ht="14.25" customHeight="1">
      <c r="B456" s="96"/>
    </row>
    <row r="457" ht="14.25" customHeight="1">
      <c r="B457" s="96"/>
    </row>
    <row r="458" ht="14.25" customHeight="1">
      <c r="B458" s="96"/>
    </row>
    <row r="459" ht="14.25" customHeight="1">
      <c r="B459" s="96"/>
    </row>
    <row r="460" ht="14.25" customHeight="1">
      <c r="B460" s="96"/>
    </row>
    <row r="461" ht="14.25" customHeight="1">
      <c r="B461" s="96"/>
    </row>
    <row r="462" ht="14.25" customHeight="1">
      <c r="B462" s="96"/>
    </row>
    <row r="463" ht="14.25" customHeight="1">
      <c r="B463" s="96"/>
    </row>
    <row r="464" ht="14.25" customHeight="1">
      <c r="B464" s="96"/>
    </row>
    <row r="465" ht="14.25" customHeight="1">
      <c r="B465" s="96"/>
    </row>
    <row r="466" ht="14.25" customHeight="1">
      <c r="B466" s="96"/>
    </row>
    <row r="467" ht="14.25" customHeight="1">
      <c r="B467" s="96"/>
    </row>
    <row r="468" ht="14.25" customHeight="1">
      <c r="B468" s="96"/>
    </row>
    <row r="469" ht="14.25" customHeight="1">
      <c r="B469" s="96"/>
    </row>
    <row r="470" ht="14.25" customHeight="1">
      <c r="B470" s="96"/>
    </row>
    <row r="471" ht="14.25" customHeight="1">
      <c r="B471" s="96"/>
    </row>
    <row r="472" ht="14.25" customHeight="1">
      <c r="B472" s="96"/>
    </row>
    <row r="473" ht="14.25" customHeight="1">
      <c r="B473" s="96"/>
    </row>
    <row r="474" ht="14.25" customHeight="1">
      <c r="B474" s="96"/>
    </row>
    <row r="475" ht="14.25" customHeight="1">
      <c r="B475" s="96"/>
    </row>
    <row r="476" ht="14.25" customHeight="1">
      <c r="B476" s="96"/>
    </row>
    <row r="477" ht="14.25" customHeight="1">
      <c r="B477" s="96"/>
    </row>
    <row r="478" ht="14.25" customHeight="1">
      <c r="B478" s="96"/>
    </row>
    <row r="479" ht="14.25" customHeight="1">
      <c r="B479" s="96"/>
    </row>
    <row r="480" ht="14.25" customHeight="1">
      <c r="B480" s="96"/>
    </row>
    <row r="481" ht="14.25" customHeight="1">
      <c r="B481" s="96"/>
    </row>
    <row r="482" ht="14.25" customHeight="1">
      <c r="B482" s="96"/>
    </row>
    <row r="483" ht="14.25" customHeight="1">
      <c r="B483" s="96"/>
    </row>
    <row r="484" ht="14.25" customHeight="1">
      <c r="B484" s="96"/>
    </row>
    <row r="485" ht="14.25" customHeight="1">
      <c r="B485" s="96"/>
    </row>
    <row r="486" ht="14.25" customHeight="1">
      <c r="B486" s="96"/>
    </row>
    <row r="487" ht="14.25" customHeight="1">
      <c r="B487" s="96"/>
    </row>
    <row r="488" ht="14.25" customHeight="1">
      <c r="B488" s="96"/>
    </row>
    <row r="489" ht="14.25" customHeight="1">
      <c r="B489" s="96"/>
    </row>
    <row r="490" ht="14.25" customHeight="1">
      <c r="B490" s="96"/>
    </row>
    <row r="491" ht="14.25" customHeight="1">
      <c r="B491" s="96"/>
    </row>
    <row r="492" ht="14.25" customHeight="1">
      <c r="B492" s="96"/>
    </row>
    <row r="493" ht="14.25" customHeight="1">
      <c r="B493" s="96"/>
    </row>
    <row r="494" ht="14.25" customHeight="1">
      <c r="B494" s="96"/>
    </row>
    <row r="495" ht="14.25" customHeight="1">
      <c r="B495" s="96"/>
    </row>
    <row r="496" ht="14.25" customHeight="1">
      <c r="B496" s="96"/>
    </row>
    <row r="497" ht="14.25" customHeight="1">
      <c r="B497" s="96"/>
    </row>
    <row r="498" ht="14.25" customHeight="1">
      <c r="B498" s="96"/>
    </row>
    <row r="499" ht="14.25" customHeight="1">
      <c r="B499" s="96"/>
    </row>
    <row r="500" ht="14.25" customHeight="1">
      <c r="B500" s="96"/>
    </row>
    <row r="501" ht="14.25" customHeight="1">
      <c r="B501" s="96"/>
    </row>
    <row r="502" ht="14.25" customHeight="1">
      <c r="B502" s="96"/>
    </row>
    <row r="503" ht="14.25" customHeight="1">
      <c r="B503" s="96"/>
    </row>
    <row r="504" ht="14.25" customHeight="1">
      <c r="B504" s="96"/>
    </row>
    <row r="505" ht="14.25" customHeight="1">
      <c r="B505" s="96"/>
    </row>
    <row r="506" ht="14.25" customHeight="1">
      <c r="B506" s="96"/>
    </row>
    <row r="507" ht="14.25" customHeight="1">
      <c r="B507" s="96"/>
    </row>
    <row r="508" ht="14.25" customHeight="1">
      <c r="B508" s="96"/>
    </row>
    <row r="509" ht="14.25" customHeight="1">
      <c r="B509" s="96"/>
    </row>
    <row r="510" ht="14.25" customHeight="1">
      <c r="B510" s="96"/>
    </row>
    <row r="511" ht="14.25" customHeight="1">
      <c r="B511" s="96"/>
    </row>
    <row r="512" ht="14.25" customHeight="1">
      <c r="B512" s="96"/>
    </row>
    <row r="513" ht="14.25" customHeight="1">
      <c r="B513" s="96"/>
    </row>
    <row r="514" ht="14.25" customHeight="1">
      <c r="B514" s="96"/>
    </row>
    <row r="515" ht="14.25" customHeight="1">
      <c r="B515" s="96"/>
    </row>
    <row r="516" ht="14.25" customHeight="1">
      <c r="B516" s="96"/>
    </row>
    <row r="517" ht="14.25" customHeight="1">
      <c r="B517" s="96"/>
    </row>
    <row r="518" ht="14.25" customHeight="1">
      <c r="B518" s="96"/>
    </row>
    <row r="519" ht="14.25" customHeight="1">
      <c r="B519" s="96"/>
    </row>
    <row r="520" ht="14.25" customHeight="1">
      <c r="B520" s="96"/>
    </row>
    <row r="521" ht="14.25" customHeight="1">
      <c r="B521" s="96"/>
    </row>
    <row r="522" ht="14.25" customHeight="1">
      <c r="B522" s="96"/>
    </row>
    <row r="523" ht="14.25" customHeight="1">
      <c r="B523" s="96"/>
    </row>
    <row r="524" ht="14.25" customHeight="1">
      <c r="B524" s="96"/>
    </row>
    <row r="525" ht="14.25" customHeight="1">
      <c r="B525" s="96"/>
    </row>
    <row r="526" ht="14.25" customHeight="1">
      <c r="B526" s="96"/>
    </row>
    <row r="527" ht="14.25" customHeight="1">
      <c r="B527" s="96"/>
    </row>
    <row r="528" ht="14.25" customHeight="1">
      <c r="B528" s="96"/>
    </row>
    <row r="529" ht="14.25" customHeight="1">
      <c r="B529" s="96"/>
    </row>
    <row r="530" ht="14.25" customHeight="1">
      <c r="B530" s="96"/>
    </row>
    <row r="531" ht="14.25" customHeight="1">
      <c r="B531" s="96"/>
    </row>
    <row r="532" ht="14.25" customHeight="1">
      <c r="B532" s="96"/>
    </row>
    <row r="533" ht="14.25" customHeight="1">
      <c r="B533" s="96"/>
    </row>
    <row r="534" ht="14.25" customHeight="1">
      <c r="B534" s="96"/>
    </row>
    <row r="535" ht="14.25" customHeight="1">
      <c r="B535" s="96"/>
    </row>
    <row r="536" ht="14.25" customHeight="1">
      <c r="B536" s="96"/>
    </row>
    <row r="537" ht="14.25" customHeight="1">
      <c r="B537" s="96"/>
    </row>
    <row r="538" ht="14.25" customHeight="1">
      <c r="B538" s="96"/>
    </row>
    <row r="539" ht="14.25" customHeight="1">
      <c r="B539" s="96"/>
    </row>
    <row r="540" ht="14.25" customHeight="1">
      <c r="B540" s="96"/>
    </row>
    <row r="541" ht="14.25" customHeight="1">
      <c r="B541" s="96"/>
    </row>
    <row r="542" ht="14.25" customHeight="1">
      <c r="B542" s="96"/>
    </row>
    <row r="543" ht="14.25" customHeight="1">
      <c r="B543" s="96"/>
    </row>
    <row r="544" ht="14.25" customHeight="1">
      <c r="B544" s="96"/>
    </row>
    <row r="545" ht="14.25" customHeight="1">
      <c r="B545" s="96"/>
    </row>
    <row r="546" ht="14.25" customHeight="1">
      <c r="B546" s="96"/>
    </row>
    <row r="547" ht="14.25" customHeight="1">
      <c r="B547" s="96"/>
    </row>
    <row r="548" ht="14.25" customHeight="1">
      <c r="B548" s="96"/>
    </row>
    <row r="549" ht="14.25" customHeight="1">
      <c r="B549" s="96"/>
    </row>
    <row r="550" ht="14.25" customHeight="1">
      <c r="B550" s="96"/>
    </row>
    <row r="551" ht="14.25" customHeight="1">
      <c r="B551" s="96"/>
    </row>
    <row r="552" ht="14.25" customHeight="1">
      <c r="B552" s="96"/>
    </row>
    <row r="553" ht="14.25" customHeight="1">
      <c r="B553" s="96"/>
    </row>
    <row r="554" ht="14.25" customHeight="1">
      <c r="B554" s="96"/>
    </row>
    <row r="555" ht="14.25" customHeight="1">
      <c r="B555" s="96"/>
    </row>
    <row r="556" ht="14.25" customHeight="1">
      <c r="B556" s="96"/>
    </row>
    <row r="557" ht="14.25" customHeight="1">
      <c r="B557" s="96"/>
    </row>
    <row r="558" ht="14.25" customHeight="1">
      <c r="B558" s="96"/>
    </row>
    <row r="559" ht="14.25" customHeight="1">
      <c r="B559" s="96"/>
    </row>
    <row r="560" ht="14.25" customHeight="1">
      <c r="B560" s="96"/>
    </row>
    <row r="561" ht="14.25" customHeight="1">
      <c r="B561" s="96"/>
    </row>
    <row r="562" ht="14.25" customHeight="1">
      <c r="B562" s="96"/>
    </row>
    <row r="563" ht="14.25" customHeight="1">
      <c r="B563" s="96"/>
    </row>
    <row r="564" ht="14.25" customHeight="1">
      <c r="B564" s="96"/>
    </row>
    <row r="565" ht="14.25" customHeight="1">
      <c r="B565" s="96"/>
    </row>
    <row r="566" ht="14.25" customHeight="1">
      <c r="B566" s="96"/>
    </row>
    <row r="567" ht="14.25" customHeight="1">
      <c r="B567" s="96"/>
    </row>
    <row r="568" ht="14.25" customHeight="1">
      <c r="B568" s="96"/>
    </row>
    <row r="569" ht="14.25" customHeight="1">
      <c r="B569" s="96"/>
    </row>
    <row r="570" ht="14.25" customHeight="1">
      <c r="B570" s="96"/>
    </row>
    <row r="571" ht="14.25" customHeight="1">
      <c r="B571" s="96"/>
    </row>
    <row r="572" ht="14.25" customHeight="1">
      <c r="B572" s="96"/>
    </row>
    <row r="573" ht="14.25" customHeight="1">
      <c r="B573" s="96"/>
    </row>
    <row r="574" ht="14.25" customHeight="1">
      <c r="B574" s="96"/>
    </row>
    <row r="575" ht="14.25" customHeight="1">
      <c r="B575" s="96"/>
    </row>
    <row r="576" ht="14.25" customHeight="1">
      <c r="B576" s="96"/>
    </row>
    <row r="577" ht="14.25" customHeight="1">
      <c r="B577" s="96"/>
    </row>
    <row r="578" ht="14.25" customHeight="1">
      <c r="B578" s="96"/>
    </row>
    <row r="579" ht="14.25" customHeight="1">
      <c r="B579" s="96"/>
    </row>
    <row r="580" ht="14.25" customHeight="1">
      <c r="B580" s="96"/>
    </row>
    <row r="581" ht="14.25" customHeight="1">
      <c r="B581" s="96"/>
    </row>
    <row r="582" ht="14.25" customHeight="1">
      <c r="B582" s="96"/>
    </row>
    <row r="583" ht="14.25" customHeight="1">
      <c r="B583" s="96"/>
    </row>
    <row r="584" ht="14.25" customHeight="1">
      <c r="B584" s="96"/>
    </row>
    <row r="585" ht="14.25" customHeight="1">
      <c r="B585" s="96"/>
    </row>
    <row r="586" ht="14.25" customHeight="1">
      <c r="B586" s="96"/>
    </row>
    <row r="587" ht="14.25" customHeight="1">
      <c r="B587" s="96"/>
    </row>
    <row r="588" ht="14.25" customHeight="1">
      <c r="B588" s="96"/>
    </row>
    <row r="589" ht="14.25" customHeight="1">
      <c r="B589" s="96"/>
    </row>
    <row r="590" ht="14.25" customHeight="1">
      <c r="B590" s="96"/>
    </row>
    <row r="591" ht="14.25" customHeight="1">
      <c r="B591" s="96"/>
    </row>
    <row r="592" ht="14.25" customHeight="1">
      <c r="B592" s="96"/>
    </row>
    <row r="593" ht="14.25" customHeight="1">
      <c r="B593" s="96"/>
    </row>
    <row r="594" ht="14.25" customHeight="1">
      <c r="B594" s="96"/>
    </row>
    <row r="595" ht="14.25" customHeight="1">
      <c r="B595" s="96"/>
    </row>
    <row r="596" ht="14.25" customHeight="1">
      <c r="B596" s="96"/>
    </row>
    <row r="597" ht="14.25" customHeight="1">
      <c r="B597" s="96"/>
    </row>
    <row r="598" ht="14.25" customHeight="1">
      <c r="B598" s="96"/>
    </row>
    <row r="599" ht="14.25" customHeight="1">
      <c r="B599" s="96"/>
    </row>
    <row r="600" ht="14.25" customHeight="1">
      <c r="B600" s="96"/>
    </row>
    <row r="601" ht="14.25" customHeight="1">
      <c r="B601" s="96"/>
    </row>
    <row r="602" ht="14.25" customHeight="1">
      <c r="B602" s="96"/>
    </row>
    <row r="603" ht="14.25" customHeight="1">
      <c r="B603" s="96"/>
    </row>
    <row r="604" ht="14.25" customHeight="1">
      <c r="B604" s="96"/>
    </row>
    <row r="605" ht="14.25" customHeight="1">
      <c r="B605" s="96"/>
    </row>
    <row r="606" ht="14.25" customHeight="1">
      <c r="B606" s="96"/>
    </row>
    <row r="607" ht="14.25" customHeight="1">
      <c r="B607" s="96"/>
    </row>
    <row r="608" ht="14.25" customHeight="1">
      <c r="B608" s="96"/>
    </row>
    <row r="609" ht="14.25" customHeight="1">
      <c r="B609" s="96"/>
    </row>
    <row r="610" ht="14.25" customHeight="1">
      <c r="B610" s="96"/>
    </row>
    <row r="611" ht="14.25" customHeight="1">
      <c r="B611" s="96"/>
    </row>
    <row r="612" ht="14.25" customHeight="1">
      <c r="B612" s="96"/>
    </row>
    <row r="613" ht="14.25" customHeight="1">
      <c r="B613" s="96"/>
    </row>
    <row r="614" ht="14.25" customHeight="1">
      <c r="B614" s="96"/>
    </row>
    <row r="615" ht="14.25" customHeight="1">
      <c r="B615" s="96"/>
    </row>
    <row r="616" ht="14.25" customHeight="1">
      <c r="B616" s="96"/>
    </row>
    <row r="617" ht="14.25" customHeight="1">
      <c r="B617" s="96"/>
    </row>
    <row r="618" ht="14.25" customHeight="1">
      <c r="B618" s="96"/>
    </row>
    <row r="619" ht="14.25" customHeight="1">
      <c r="B619" s="96"/>
    </row>
    <row r="620" ht="14.25" customHeight="1">
      <c r="B620" s="96"/>
    </row>
    <row r="621" ht="14.25" customHeight="1">
      <c r="B621" s="96"/>
    </row>
    <row r="622" ht="14.25" customHeight="1">
      <c r="B622" s="96"/>
    </row>
    <row r="623" ht="14.25" customHeight="1">
      <c r="B623" s="96"/>
    </row>
    <row r="624" ht="14.25" customHeight="1">
      <c r="B624" s="96"/>
    </row>
    <row r="625" ht="14.25" customHeight="1">
      <c r="B625" s="96"/>
    </row>
    <row r="626" ht="14.25" customHeight="1">
      <c r="B626" s="96"/>
    </row>
    <row r="627" ht="14.25" customHeight="1">
      <c r="B627" s="96"/>
    </row>
    <row r="628" ht="14.25" customHeight="1">
      <c r="B628" s="96"/>
    </row>
    <row r="629" ht="14.25" customHeight="1">
      <c r="B629" s="96"/>
    </row>
    <row r="630" ht="14.25" customHeight="1">
      <c r="B630" s="96"/>
    </row>
    <row r="631" ht="14.25" customHeight="1">
      <c r="B631" s="96"/>
    </row>
    <row r="632" ht="14.25" customHeight="1">
      <c r="B632" s="96"/>
    </row>
    <row r="633" ht="14.25" customHeight="1">
      <c r="B633" s="96"/>
    </row>
    <row r="634" ht="14.25" customHeight="1">
      <c r="B634" s="96"/>
    </row>
    <row r="635" ht="14.25" customHeight="1">
      <c r="B635" s="96"/>
    </row>
    <row r="636" ht="14.25" customHeight="1">
      <c r="B636" s="96"/>
    </row>
    <row r="637" ht="14.25" customHeight="1">
      <c r="B637" s="96"/>
    </row>
    <row r="638" ht="14.25" customHeight="1">
      <c r="B638" s="96"/>
    </row>
    <row r="639" ht="14.25" customHeight="1">
      <c r="B639" s="96"/>
    </row>
    <row r="640" ht="14.25" customHeight="1">
      <c r="B640" s="96"/>
    </row>
    <row r="641" ht="14.25" customHeight="1">
      <c r="B641" s="96"/>
    </row>
    <row r="642" ht="14.25" customHeight="1">
      <c r="B642" s="96"/>
    </row>
    <row r="643" ht="14.25" customHeight="1">
      <c r="B643" s="96"/>
    </row>
    <row r="644" ht="14.25" customHeight="1">
      <c r="B644" s="96"/>
    </row>
    <row r="645" ht="14.25" customHeight="1">
      <c r="B645" s="96"/>
    </row>
    <row r="646" ht="14.25" customHeight="1">
      <c r="B646" s="96"/>
    </row>
    <row r="647" ht="14.25" customHeight="1">
      <c r="B647" s="96"/>
    </row>
    <row r="648" ht="14.25" customHeight="1">
      <c r="B648" s="96"/>
    </row>
    <row r="649" ht="14.25" customHeight="1">
      <c r="B649" s="96"/>
    </row>
    <row r="650" ht="14.25" customHeight="1">
      <c r="B650" s="96"/>
    </row>
    <row r="651" ht="14.25" customHeight="1">
      <c r="B651" s="96"/>
    </row>
    <row r="652" ht="14.25" customHeight="1">
      <c r="B652" s="96"/>
    </row>
    <row r="653" ht="14.25" customHeight="1">
      <c r="B653" s="96"/>
    </row>
    <row r="654" ht="14.25" customHeight="1">
      <c r="B654" s="96"/>
    </row>
    <row r="655" ht="14.25" customHeight="1">
      <c r="B655" s="96"/>
    </row>
    <row r="656" ht="14.25" customHeight="1">
      <c r="B656" s="96"/>
    </row>
    <row r="657" ht="14.25" customHeight="1">
      <c r="B657" s="96"/>
    </row>
    <row r="658" ht="14.25" customHeight="1">
      <c r="B658" s="96"/>
    </row>
    <row r="659" ht="14.25" customHeight="1">
      <c r="B659" s="96"/>
    </row>
    <row r="660" ht="14.25" customHeight="1">
      <c r="B660" s="96"/>
    </row>
    <row r="661" ht="14.25" customHeight="1">
      <c r="B661" s="96"/>
    </row>
    <row r="662" ht="14.25" customHeight="1">
      <c r="B662" s="96"/>
    </row>
    <row r="663" ht="14.25" customHeight="1">
      <c r="B663" s="96"/>
    </row>
    <row r="664" ht="14.25" customHeight="1">
      <c r="B664" s="96"/>
    </row>
    <row r="665" ht="14.25" customHeight="1">
      <c r="B665" s="96"/>
    </row>
    <row r="666" ht="14.25" customHeight="1">
      <c r="B666" s="96"/>
    </row>
    <row r="667" ht="14.25" customHeight="1">
      <c r="B667" s="96"/>
    </row>
    <row r="668" ht="14.25" customHeight="1">
      <c r="B668" s="96"/>
    </row>
    <row r="669" ht="14.25" customHeight="1">
      <c r="B669" s="96"/>
    </row>
    <row r="670" ht="14.25" customHeight="1">
      <c r="B670" s="96"/>
    </row>
    <row r="671" ht="14.25" customHeight="1">
      <c r="B671" s="96"/>
    </row>
    <row r="672" ht="14.25" customHeight="1">
      <c r="B672" s="96"/>
    </row>
    <row r="673" ht="14.25" customHeight="1">
      <c r="B673" s="96"/>
    </row>
    <row r="674" ht="14.25" customHeight="1">
      <c r="B674" s="96"/>
    </row>
    <row r="675" ht="14.25" customHeight="1">
      <c r="B675" s="96"/>
    </row>
    <row r="676" ht="14.25" customHeight="1">
      <c r="B676" s="96"/>
    </row>
    <row r="677" ht="14.25" customHeight="1">
      <c r="B677" s="96"/>
    </row>
    <row r="678" ht="14.25" customHeight="1">
      <c r="B678" s="96"/>
    </row>
    <row r="679" ht="14.25" customHeight="1">
      <c r="B679" s="96"/>
    </row>
    <row r="680" ht="14.25" customHeight="1">
      <c r="B680" s="96"/>
    </row>
    <row r="681" ht="14.25" customHeight="1">
      <c r="B681" s="96"/>
    </row>
    <row r="682" ht="14.25" customHeight="1">
      <c r="B682" s="96"/>
    </row>
    <row r="683" ht="14.25" customHeight="1">
      <c r="B683" s="96"/>
    </row>
    <row r="684" ht="14.25" customHeight="1">
      <c r="B684" s="96"/>
    </row>
    <row r="685" ht="14.25" customHeight="1">
      <c r="B685" s="96"/>
    </row>
    <row r="686" ht="14.25" customHeight="1">
      <c r="B686" s="96"/>
    </row>
    <row r="687" ht="14.25" customHeight="1">
      <c r="B687" s="96"/>
    </row>
    <row r="688" ht="14.25" customHeight="1">
      <c r="B688" s="96"/>
    </row>
    <row r="689" ht="14.25" customHeight="1">
      <c r="B689" s="96"/>
    </row>
    <row r="690" ht="14.25" customHeight="1">
      <c r="B690" s="96"/>
    </row>
    <row r="691" ht="14.25" customHeight="1">
      <c r="B691" s="96"/>
    </row>
    <row r="692" ht="14.25" customHeight="1">
      <c r="B692" s="96"/>
    </row>
    <row r="693" ht="14.25" customHeight="1">
      <c r="B693" s="96"/>
    </row>
    <row r="694" ht="14.25" customHeight="1">
      <c r="B694" s="96"/>
    </row>
    <row r="695" ht="14.25" customHeight="1">
      <c r="B695" s="96"/>
    </row>
    <row r="696" ht="14.25" customHeight="1">
      <c r="B696" s="96"/>
    </row>
    <row r="697" ht="14.25" customHeight="1">
      <c r="B697" s="96"/>
    </row>
    <row r="698" ht="14.25" customHeight="1">
      <c r="B698" s="96"/>
    </row>
    <row r="699" ht="14.25" customHeight="1">
      <c r="B699" s="96"/>
    </row>
    <row r="700" ht="14.25" customHeight="1">
      <c r="B700" s="96"/>
    </row>
    <row r="701" ht="14.25" customHeight="1">
      <c r="B701" s="96"/>
    </row>
    <row r="702" ht="14.25" customHeight="1">
      <c r="B702" s="96"/>
    </row>
    <row r="703" ht="14.25" customHeight="1">
      <c r="B703" s="96"/>
    </row>
    <row r="704" ht="14.25" customHeight="1">
      <c r="B704" s="96"/>
    </row>
    <row r="705" ht="14.25" customHeight="1">
      <c r="B705" s="96"/>
    </row>
    <row r="706" ht="14.25" customHeight="1">
      <c r="B706" s="96"/>
    </row>
    <row r="707" ht="14.25" customHeight="1">
      <c r="B707" s="96"/>
    </row>
    <row r="708" ht="14.25" customHeight="1">
      <c r="B708" s="96"/>
    </row>
    <row r="709" ht="14.25" customHeight="1">
      <c r="B709" s="96"/>
    </row>
    <row r="710" ht="14.25" customHeight="1">
      <c r="B710" s="96"/>
    </row>
    <row r="711" ht="14.25" customHeight="1">
      <c r="B711" s="96"/>
    </row>
    <row r="712" ht="14.25" customHeight="1">
      <c r="B712" s="96"/>
    </row>
    <row r="713" ht="14.25" customHeight="1">
      <c r="B713" s="96"/>
    </row>
    <row r="714" ht="14.25" customHeight="1">
      <c r="B714" s="96"/>
    </row>
    <row r="715" ht="14.25" customHeight="1">
      <c r="B715" s="96"/>
    </row>
    <row r="716" ht="14.25" customHeight="1">
      <c r="B716" s="96"/>
    </row>
    <row r="717" ht="14.25" customHeight="1">
      <c r="B717" s="96"/>
    </row>
    <row r="718" ht="14.25" customHeight="1">
      <c r="B718" s="96"/>
    </row>
    <row r="719" ht="14.25" customHeight="1">
      <c r="B719" s="96"/>
    </row>
    <row r="720" ht="14.25" customHeight="1">
      <c r="B720" s="96"/>
    </row>
    <row r="721" ht="14.25" customHeight="1">
      <c r="B721" s="96"/>
    </row>
    <row r="722" ht="14.25" customHeight="1">
      <c r="B722" s="96"/>
    </row>
    <row r="723" ht="14.25" customHeight="1">
      <c r="B723" s="96"/>
    </row>
    <row r="724" ht="14.25" customHeight="1">
      <c r="B724" s="96"/>
    </row>
    <row r="725" ht="14.25" customHeight="1">
      <c r="B725" s="96"/>
    </row>
    <row r="726" ht="14.25" customHeight="1">
      <c r="B726" s="96"/>
    </row>
    <row r="727" ht="14.25" customHeight="1">
      <c r="B727" s="96"/>
    </row>
    <row r="728" ht="14.25" customHeight="1">
      <c r="B728" s="96"/>
    </row>
    <row r="729" ht="14.25" customHeight="1">
      <c r="B729" s="96"/>
    </row>
    <row r="730" ht="14.25" customHeight="1">
      <c r="B730" s="96"/>
    </row>
    <row r="731" ht="14.25" customHeight="1">
      <c r="B731" s="96"/>
    </row>
    <row r="732" ht="14.25" customHeight="1">
      <c r="B732" s="96"/>
    </row>
    <row r="733" ht="14.25" customHeight="1">
      <c r="B733" s="96"/>
    </row>
    <row r="734" ht="14.25" customHeight="1">
      <c r="B734" s="96"/>
    </row>
    <row r="735" ht="14.25" customHeight="1">
      <c r="B735" s="96"/>
    </row>
    <row r="736" ht="14.25" customHeight="1">
      <c r="B736" s="96"/>
    </row>
    <row r="737" ht="14.25" customHeight="1">
      <c r="B737" s="96"/>
    </row>
    <row r="738" ht="14.25" customHeight="1">
      <c r="B738" s="96"/>
    </row>
    <row r="739" ht="14.25" customHeight="1">
      <c r="B739" s="96"/>
    </row>
    <row r="740" ht="14.25" customHeight="1">
      <c r="B740" s="96"/>
    </row>
    <row r="741" ht="14.25" customHeight="1">
      <c r="B741" s="96"/>
    </row>
    <row r="742" ht="14.25" customHeight="1">
      <c r="B742" s="96"/>
    </row>
    <row r="743" ht="14.25" customHeight="1">
      <c r="B743" s="96"/>
    </row>
    <row r="744" ht="14.25" customHeight="1">
      <c r="B744" s="96"/>
    </row>
    <row r="745" ht="14.25" customHeight="1">
      <c r="B745" s="96"/>
    </row>
    <row r="746" ht="14.25" customHeight="1">
      <c r="B746" s="96"/>
    </row>
    <row r="747" ht="14.25" customHeight="1">
      <c r="B747" s="96"/>
    </row>
    <row r="748" ht="14.25" customHeight="1">
      <c r="B748" s="96"/>
    </row>
    <row r="749" ht="14.25" customHeight="1">
      <c r="B749" s="96"/>
    </row>
    <row r="750" ht="14.25" customHeight="1">
      <c r="B750" s="96"/>
    </row>
    <row r="751" ht="14.25" customHeight="1">
      <c r="B751" s="96"/>
    </row>
    <row r="752" ht="14.25" customHeight="1">
      <c r="B752" s="96"/>
    </row>
    <row r="753" ht="14.25" customHeight="1">
      <c r="B753" s="96"/>
    </row>
    <row r="754" ht="14.25" customHeight="1">
      <c r="B754" s="96"/>
    </row>
    <row r="755" ht="14.25" customHeight="1">
      <c r="B755" s="96"/>
    </row>
    <row r="756" ht="14.25" customHeight="1">
      <c r="B756" s="96"/>
    </row>
    <row r="757" ht="14.25" customHeight="1">
      <c r="B757" s="96"/>
    </row>
    <row r="758" ht="14.25" customHeight="1">
      <c r="B758" s="96"/>
    </row>
    <row r="759" ht="14.25" customHeight="1">
      <c r="B759" s="96"/>
    </row>
    <row r="760" ht="14.25" customHeight="1">
      <c r="B760" s="96"/>
    </row>
    <row r="761" ht="14.25" customHeight="1">
      <c r="B761" s="96"/>
    </row>
    <row r="762" ht="14.25" customHeight="1">
      <c r="B762" s="96"/>
    </row>
    <row r="763" ht="14.25" customHeight="1">
      <c r="B763" s="96"/>
    </row>
    <row r="764" ht="14.25" customHeight="1">
      <c r="B764" s="96"/>
    </row>
    <row r="765" ht="14.25" customHeight="1">
      <c r="B765" s="96"/>
    </row>
    <row r="766" ht="14.25" customHeight="1">
      <c r="B766" s="96"/>
    </row>
    <row r="767" ht="14.25" customHeight="1">
      <c r="B767" s="96"/>
    </row>
    <row r="768" ht="14.25" customHeight="1">
      <c r="B768" s="96"/>
    </row>
    <row r="769" ht="14.25" customHeight="1">
      <c r="B769" s="96"/>
    </row>
    <row r="770" ht="14.25" customHeight="1">
      <c r="B770" s="96"/>
    </row>
    <row r="771" ht="14.25" customHeight="1">
      <c r="B771" s="96"/>
    </row>
    <row r="772" ht="14.25" customHeight="1">
      <c r="B772" s="96"/>
    </row>
    <row r="773" ht="14.25" customHeight="1">
      <c r="B773" s="96"/>
    </row>
    <row r="774" ht="14.25" customHeight="1">
      <c r="B774" s="96"/>
    </row>
    <row r="775" ht="14.25" customHeight="1">
      <c r="B775" s="96"/>
    </row>
    <row r="776" ht="14.25" customHeight="1">
      <c r="B776" s="96"/>
    </row>
    <row r="777" ht="14.25" customHeight="1">
      <c r="B777" s="96"/>
    </row>
    <row r="778" ht="14.25" customHeight="1">
      <c r="B778" s="96"/>
    </row>
    <row r="779" ht="14.25" customHeight="1">
      <c r="B779" s="96"/>
    </row>
    <row r="780" ht="14.25" customHeight="1">
      <c r="B780" s="96"/>
    </row>
    <row r="781" ht="14.25" customHeight="1">
      <c r="B781" s="96"/>
    </row>
    <row r="782" ht="14.25" customHeight="1">
      <c r="B782" s="96"/>
    </row>
    <row r="783" ht="14.25" customHeight="1">
      <c r="B783" s="96"/>
    </row>
    <row r="784" ht="14.25" customHeight="1">
      <c r="B784" s="96"/>
    </row>
    <row r="785" ht="14.25" customHeight="1">
      <c r="B785" s="96"/>
    </row>
    <row r="786" ht="14.25" customHeight="1">
      <c r="B786" s="96"/>
    </row>
    <row r="787" ht="14.25" customHeight="1">
      <c r="B787" s="96"/>
    </row>
    <row r="788" ht="14.25" customHeight="1">
      <c r="B788" s="96"/>
    </row>
    <row r="789" ht="14.25" customHeight="1">
      <c r="B789" s="96"/>
    </row>
    <row r="790" ht="14.25" customHeight="1">
      <c r="B790" s="96"/>
    </row>
    <row r="791" ht="14.25" customHeight="1">
      <c r="B791" s="96"/>
    </row>
    <row r="792" ht="14.25" customHeight="1">
      <c r="B792" s="96"/>
    </row>
    <row r="793" ht="14.25" customHeight="1">
      <c r="B793" s="96"/>
    </row>
    <row r="794" ht="14.25" customHeight="1">
      <c r="B794" s="96"/>
    </row>
    <row r="795" ht="14.25" customHeight="1">
      <c r="B795" s="96"/>
    </row>
    <row r="796" ht="14.25" customHeight="1">
      <c r="B796" s="96"/>
    </row>
    <row r="797" ht="14.25" customHeight="1">
      <c r="B797" s="96"/>
    </row>
    <row r="798" ht="14.25" customHeight="1">
      <c r="B798" s="96"/>
    </row>
    <row r="799" ht="14.25" customHeight="1">
      <c r="B799" s="96"/>
    </row>
    <row r="800" ht="14.25" customHeight="1">
      <c r="B800" s="96"/>
    </row>
    <row r="801" ht="14.25" customHeight="1">
      <c r="B801" s="96"/>
    </row>
    <row r="802" ht="14.25" customHeight="1">
      <c r="B802" s="96"/>
    </row>
    <row r="803" ht="14.25" customHeight="1">
      <c r="B803" s="96"/>
    </row>
    <row r="804" ht="14.25" customHeight="1">
      <c r="B804" s="96"/>
    </row>
    <row r="805" ht="14.25" customHeight="1">
      <c r="B805" s="96"/>
    </row>
    <row r="806" ht="14.25" customHeight="1">
      <c r="B806" s="96"/>
    </row>
    <row r="807" ht="14.25" customHeight="1">
      <c r="B807" s="96"/>
    </row>
    <row r="808" ht="14.25" customHeight="1">
      <c r="B808" s="96"/>
    </row>
    <row r="809" ht="14.25" customHeight="1">
      <c r="B809" s="96"/>
    </row>
    <row r="810" ht="14.25" customHeight="1">
      <c r="B810" s="96"/>
    </row>
    <row r="811" ht="14.25" customHeight="1">
      <c r="B811" s="96"/>
    </row>
    <row r="812" ht="14.25" customHeight="1">
      <c r="B812" s="96"/>
    </row>
    <row r="813" ht="14.25" customHeight="1">
      <c r="B813" s="96"/>
    </row>
    <row r="814" ht="14.25" customHeight="1">
      <c r="B814" s="96"/>
    </row>
    <row r="815" ht="14.25" customHeight="1">
      <c r="B815" s="96"/>
    </row>
    <row r="816" ht="14.25" customHeight="1">
      <c r="B816" s="96"/>
    </row>
    <row r="817" ht="14.25" customHeight="1">
      <c r="B817" s="96"/>
    </row>
    <row r="818" ht="14.25" customHeight="1">
      <c r="B818" s="96"/>
    </row>
    <row r="819" ht="14.25" customHeight="1">
      <c r="B819" s="96"/>
    </row>
    <row r="820" ht="14.25" customHeight="1">
      <c r="B820" s="96"/>
    </row>
    <row r="821" ht="14.25" customHeight="1">
      <c r="B821" s="96"/>
    </row>
    <row r="822" ht="14.25" customHeight="1">
      <c r="B822" s="96"/>
    </row>
    <row r="823" ht="14.25" customHeight="1">
      <c r="B823" s="96"/>
    </row>
    <row r="824" ht="14.25" customHeight="1">
      <c r="B824" s="96"/>
    </row>
    <row r="825" ht="14.25" customHeight="1">
      <c r="B825" s="96"/>
    </row>
    <row r="826" ht="14.25" customHeight="1">
      <c r="B826" s="96"/>
    </row>
    <row r="827" ht="14.25" customHeight="1">
      <c r="B827" s="96"/>
    </row>
    <row r="828" ht="14.25" customHeight="1">
      <c r="B828" s="96"/>
    </row>
    <row r="829" ht="14.25" customHeight="1">
      <c r="B829" s="96"/>
    </row>
    <row r="830" ht="14.25" customHeight="1">
      <c r="B830" s="96"/>
    </row>
    <row r="831" ht="14.25" customHeight="1">
      <c r="B831" s="96"/>
    </row>
    <row r="832" ht="14.25" customHeight="1">
      <c r="B832" s="96"/>
    </row>
    <row r="833" ht="14.25" customHeight="1">
      <c r="B833" s="96"/>
    </row>
    <row r="834" ht="14.25" customHeight="1">
      <c r="B834" s="96"/>
    </row>
    <row r="835" ht="14.25" customHeight="1">
      <c r="B835" s="96"/>
    </row>
    <row r="836" ht="14.25" customHeight="1">
      <c r="B836" s="96"/>
    </row>
    <row r="837" ht="14.25" customHeight="1">
      <c r="B837" s="96"/>
    </row>
    <row r="838" ht="14.25" customHeight="1">
      <c r="B838" s="96"/>
    </row>
    <row r="839" ht="14.25" customHeight="1">
      <c r="B839" s="96"/>
    </row>
    <row r="840" ht="14.25" customHeight="1">
      <c r="B840" s="96"/>
    </row>
    <row r="841" ht="14.25" customHeight="1">
      <c r="B841" s="96"/>
    </row>
    <row r="842" ht="14.25" customHeight="1">
      <c r="B842" s="96"/>
    </row>
    <row r="843" ht="14.25" customHeight="1">
      <c r="B843" s="96"/>
    </row>
    <row r="844" ht="14.25" customHeight="1">
      <c r="B844" s="96"/>
    </row>
    <row r="845" ht="14.25" customHeight="1">
      <c r="B845" s="96"/>
    </row>
    <row r="846" ht="14.25" customHeight="1">
      <c r="B846" s="96"/>
    </row>
    <row r="847" ht="14.25" customHeight="1">
      <c r="B847" s="96"/>
    </row>
    <row r="848" ht="14.25" customHeight="1">
      <c r="B848" s="96"/>
    </row>
    <row r="849" ht="14.25" customHeight="1">
      <c r="B849" s="96"/>
    </row>
    <row r="850" ht="14.25" customHeight="1">
      <c r="B850" s="96"/>
    </row>
    <row r="851" ht="14.25" customHeight="1">
      <c r="B851" s="96"/>
    </row>
    <row r="852" ht="14.25" customHeight="1">
      <c r="B852" s="96"/>
    </row>
    <row r="853" ht="14.25" customHeight="1">
      <c r="B853" s="96"/>
    </row>
    <row r="854" ht="14.25" customHeight="1">
      <c r="B854" s="96"/>
    </row>
    <row r="855" ht="14.25" customHeight="1">
      <c r="B855" s="96"/>
    </row>
    <row r="856" ht="14.25" customHeight="1">
      <c r="B856" s="96"/>
    </row>
    <row r="857" ht="14.25" customHeight="1">
      <c r="B857" s="96"/>
    </row>
    <row r="858" ht="14.25" customHeight="1">
      <c r="B858" s="96"/>
    </row>
    <row r="859" ht="14.25" customHeight="1">
      <c r="B859" s="96"/>
    </row>
    <row r="860" ht="14.25" customHeight="1">
      <c r="B860" s="96"/>
    </row>
    <row r="861" ht="14.25" customHeight="1">
      <c r="B861" s="96"/>
    </row>
    <row r="862" ht="14.25" customHeight="1">
      <c r="B862" s="96"/>
    </row>
    <row r="863" ht="14.25" customHeight="1">
      <c r="B863" s="96"/>
    </row>
    <row r="864" ht="14.25" customHeight="1">
      <c r="B864" s="96"/>
    </row>
    <row r="865" ht="14.25" customHeight="1">
      <c r="B865" s="96"/>
    </row>
    <row r="866" ht="14.25" customHeight="1">
      <c r="B866" s="96"/>
    </row>
    <row r="867" ht="14.25" customHeight="1">
      <c r="B867" s="96"/>
    </row>
    <row r="868" ht="14.25" customHeight="1">
      <c r="B868" s="96"/>
    </row>
    <row r="869" ht="14.25" customHeight="1">
      <c r="B869" s="96"/>
    </row>
    <row r="870" ht="14.25" customHeight="1">
      <c r="B870" s="96"/>
    </row>
    <row r="871" ht="14.25" customHeight="1">
      <c r="B871" s="96"/>
    </row>
    <row r="872" ht="14.25" customHeight="1">
      <c r="B872" s="96"/>
    </row>
    <row r="873" ht="14.25" customHeight="1">
      <c r="B873" s="96"/>
    </row>
    <row r="874" ht="14.25" customHeight="1">
      <c r="B874" s="96"/>
    </row>
    <row r="875" ht="14.25" customHeight="1">
      <c r="B875" s="96"/>
    </row>
    <row r="876" ht="14.25" customHeight="1">
      <c r="B876" s="96"/>
    </row>
    <row r="877" ht="14.25" customHeight="1">
      <c r="B877" s="96"/>
    </row>
    <row r="878" ht="14.25" customHeight="1">
      <c r="B878" s="96"/>
    </row>
    <row r="879" ht="14.25" customHeight="1">
      <c r="B879" s="96"/>
    </row>
    <row r="880" ht="14.25" customHeight="1">
      <c r="B880" s="96"/>
    </row>
    <row r="881" ht="14.25" customHeight="1">
      <c r="B881" s="96"/>
    </row>
    <row r="882" ht="14.25" customHeight="1">
      <c r="B882" s="96"/>
    </row>
    <row r="883" ht="14.25" customHeight="1">
      <c r="B883" s="96"/>
    </row>
    <row r="884" ht="14.25" customHeight="1">
      <c r="B884" s="96"/>
    </row>
    <row r="885" ht="14.25" customHeight="1">
      <c r="B885" s="96"/>
    </row>
    <row r="886" ht="14.25" customHeight="1">
      <c r="B886" s="96"/>
    </row>
    <row r="887" ht="14.25" customHeight="1">
      <c r="B887" s="96"/>
    </row>
    <row r="888" ht="14.25" customHeight="1">
      <c r="B888" s="96"/>
    </row>
    <row r="889" ht="14.25" customHeight="1">
      <c r="B889" s="96"/>
    </row>
    <row r="890" ht="14.25" customHeight="1">
      <c r="B890" s="96"/>
    </row>
    <row r="891" ht="14.25" customHeight="1">
      <c r="B891" s="96"/>
    </row>
    <row r="892" ht="14.25" customHeight="1">
      <c r="B892" s="96"/>
    </row>
    <row r="893" ht="14.25" customHeight="1">
      <c r="B893" s="96"/>
    </row>
    <row r="894" ht="14.25" customHeight="1">
      <c r="B894" s="96"/>
    </row>
    <row r="895" ht="14.25" customHeight="1">
      <c r="B895" s="96"/>
    </row>
    <row r="896" ht="14.25" customHeight="1">
      <c r="B896" s="96"/>
    </row>
    <row r="897" ht="14.25" customHeight="1">
      <c r="B897" s="96"/>
    </row>
    <row r="898" ht="14.25" customHeight="1">
      <c r="B898" s="96"/>
    </row>
    <row r="899" ht="14.25" customHeight="1">
      <c r="B899" s="96"/>
    </row>
    <row r="900" ht="14.25" customHeight="1">
      <c r="B900" s="96"/>
    </row>
    <row r="901" ht="14.25" customHeight="1">
      <c r="B901" s="96"/>
    </row>
    <row r="902" ht="14.25" customHeight="1">
      <c r="B902" s="96"/>
    </row>
    <row r="903" ht="14.25" customHeight="1">
      <c r="B903" s="96"/>
    </row>
    <row r="904" ht="14.25" customHeight="1">
      <c r="B904" s="96"/>
    </row>
    <row r="905" ht="14.25" customHeight="1">
      <c r="B905" s="96"/>
    </row>
    <row r="906" ht="14.25" customHeight="1">
      <c r="B906" s="96"/>
    </row>
    <row r="907" ht="14.25" customHeight="1">
      <c r="B907" s="96"/>
    </row>
    <row r="908" ht="14.25" customHeight="1">
      <c r="B908" s="96"/>
    </row>
    <row r="909" ht="14.25" customHeight="1">
      <c r="B909" s="96"/>
    </row>
    <row r="910" ht="14.25" customHeight="1">
      <c r="B910" s="96"/>
    </row>
    <row r="911" ht="14.25" customHeight="1">
      <c r="B911" s="96"/>
    </row>
    <row r="912" ht="14.25" customHeight="1">
      <c r="B912" s="96"/>
    </row>
    <row r="913" ht="14.25" customHeight="1">
      <c r="B913" s="96"/>
    </row>
    <row r="914" ht="14.25" customHeight="1">
      <c r="B914" s="96"/>
    </row>
    <row r="915" ht="14.25" customHeight="1">
      <c r="B915" s="96"/>
    </row>
    <row r="916" ht="14.25" customHeight="1">
      <c r="B916" s="96"/>
    </row>
    <row r="917" ht="14.25" customHeight="1">
      <c r="B917" s="96"/>
    </row>
    <row r="918" ht="14.25" customHeight="1">
      <c r="B918" s="96"/>
    </row>
    <row r="919" ht="14.25" customHeight="1">
      <c r="B919" s="96"/>
    </row>
    <row r="920" ht="14.25" customHeight="1">
      <c r="B920" s="96"/>
    </row>
    <row r="921" ht="14.25" customHeight="1">
      <c r="B921" s="96"/>
    </row>
    <row r="922" ht="14.25" customHeight="1">
      <c r="B922" s="96"/>
    </row>
    <row r="923" ht="14.25" customHeight="1">
      <c r="B923" s="96"/>
    </row>
    <row r="924" ht="14.25" customHeight="1">
      <c r="B924" s="96"/>
    </row>
    <row r="925" ht="14.25" customHeight="1">
      <c r="B925" s="96"/>
    </row>
    <row r="926" ht="14.25" customHeight="1">
      <c r="B926" s="96"/>
    </row>
    <row r="927" ht="14.25" customHeight="1">
      <c r="B927" s="96"/>
    </row>
    <row r="928" ht="14.25" customHeight="1">
      <c r="B928" s="96"/>
    </row>
    <row r="929" ht="14.25" customHeight="1">
      <c r="B929" s="96"/>
    </row>
    <row r="930" ht="14.25" customHeight="1">
      <c r="B930" s="96"/>
    </row>
    <row r="931" ht="14.25" customHeight="1">
      <c r="B931" s="96"/>
    </row>
    <row r="932" ht="14.25" customHeight="1">
      <c r="B932" s="96"/>
    </row>
    <row r="933" ht="14.25" customHeight="1">
      <c r="B933" s="96"/>
    </row>
    <row r="934" ht="14.25" customHeight="1">
      <c r="B934" s="96"/>
    </row>
    <row r="935" ht="14.25" customHeight="1">
      <c r="B935" s="96"/>
    </row>
    <row r="936" ht="14.25" customHeight="1">
      <c r="B936" s="96"/>
    </row>
    <row r="937" ht="14.25" customHeight="1">
      <c r="B937" s="96"/>
    </row>
    <row r="938" ht="14.25" customHeight="1">
      <c r="B938" s="96"/>
    </row>
    <row r="939" ht="14.25" customHeight="1">
      <c r="B939" s="96"/>
    </row>
    <row r="940" ht="14.25" customHeight="1">
      <c r="B940" s="96"/>
    </row>
    <row r="941" ht="14.25" customHeight="1">
      <c r="B941" s="96"/>
    </row>
    <row r="942" ht="14.25" customHeight="1">
      <c r="B942" s="96"/>
    </row>
    <row r="943" ht="14.25" customHeight="1">
      <c r="B943" s="96"/>
    </row>
    <row r="944" ht="14.25" customHeight="1">
      <c r="B944" s="96"/>
    </row>
    <row r="945" ht="14.25" customHeight="1">
      <c r="B945" s="96"/>
    </row>
    <row r="946" ht="14.25" customHeight="1">
      <c r="B946" s="96"/>
    </row>
    <row r="947" ht="14.25" customHeight="1">
      <c r="B947" s="96"/>
    </row>
    <row r="948" ht="14.25" customHeight="1">
      <c r="B948" s="96"/>
    </row>
    <row r="949" ht="14.25" customHeight="1">
      <c r="B949" s="96"/>
    </row>
    <row r="950" ht="14.25" customHeight="1">
      <c r="B950" s="96"/>
    </row>
    <row r="951" ht="14.25" customHeight="1">
      <c r="B951" s="96"/>
    </row>
    <row r="952" ht="14.25" customHeight="1">
      <c r="B952" s="96"/>
    </row>
    <row r="953" ht="14.25" customHeight="1">
      <c r="B953" s="96"/>
    </row>
    <row r="954" ht="14.25" customHeight="1">
      <c r="B954" s="96"/>
    </row>
    <row r="955" ht="14.25" customHeight="1">
      <c r="B955" s="96"/>
    </row>
    <row r="956" ht="14.25" customHeight="1">
      <c r="B956" s="96"/>
    </row>
    <row r="957" ht="14.25" customHeight="1">
      <c r="B957" s="96"/>
    </row>
    <row r="958" ht="14.25" customHeight="1">
      <c r="B958" s="96"/>
    </row>
    <row r="959" ht="14.25" customHeight="1">
      <c r="B959" s="96"/>
    </row>
    <row r="960" ht="14.25" customHeight="1">
      <c r="B960" s="96"/>
    </row>
    <row r="961" ht="14.25" customHeight="1">
      <c r="B961" s="96"/>
    </row>
    <row r="962" ht="14.25" customHeight="1">
      <c r="B962" s="96"/>
    </row>
    <row r="963" ht="14.25" customHeight="1">
      <c r="B963" s="96"/>
    </row>
    <row r="964" ht="14.25" customHeight="1">
      <c r="B964" s="96"/>
    </row>
    <row r="965" ht="14.25" customHeight="1">
      <c r="B965" s="96"/>
    </row>
    <row r="966" ht="14.25" customHeight="1">
      <c r="B966" s="96"/>
    </row>
    <row r="967" ht="14.25" customHeight="1">
      <c r="B967" s="96"/>
    </row>
    <row r="968" ht="14.25" customHeight="1">
      <c r="B968" s="96"/>
    </row>
    <row r="969" ht="14.25" customHeight="1">
      <c r="B969" s="96"/>
    </row>
    <row r="970" ht="14.25" customHeight="1">
      <c r="B970" s="96"/>
    </row>
    <row r="971" ht="14.25" customHeight="1">
      <c r="B971" s="96"/>
    </row>
    <row r="972" ht="14.25" customHeight="1">
      <c r="B972" s="96"/>
    </row>
    <row r="973" ht="14.25" customHeight="1">
      <c r="B973" s="96"/>
    </row>
    <row r="974" ht="14.25" customHeight="1">
      <c r="B974" s="96"/>
    </row>
    <row r="975" ht="14.25" customHeight="1">
      <c r="B975" s="96"/>
    </row>
    <row r="976" ht="14.25" customHeight="1">
      <c r="B976" s="96"/>
    </row>
    <row r="977" ht="14.25" customHeight="1">
      <c r="B977" s="96"/>
    </row>
    <row r="978" ht="14.25" customHeight="1">
      <c r="B978" s="96"/>
    </row>
    <row r="979" ht="14.25" customHeight="1">
      <c r="B979" s="96"/>
    </row>
    <row r="980" ht="14.25" customHeight="1">
      <c r="B980" s="96"/>
    </row>
    <row r="981" ht="14.25" customHeight="1">
      <c r="B981" s="96"/>
    </row>
    <row r="982" ht="14.25" customHeight="1">
      <c r="B982" s="96"/>
    </row>
    <row r="983" ht="14.25" customHeight="1">
      <c r="B983" s="96"/>
    </row>
    <row r="984" ht="14.25" customHeight="1">
      <c r="B984" s="96"/>
    </row>
    <row r="985" ht="14.25" customHeight="1">
      <c r="B985" s="96"/>
    </row>
    <row r="986" ht="14.25" customHeight="1">
      <c r="B986" s="96"/>
    </row>
    <row r="987" ht="14.25" customHeight="1">
      <c r="B987" s="96"/>
    </row>
    <row r="988" ht="14.25" customHeight="1">
      <c r="B988" s="96"/>
    </row>
    <row r="989" ht="14.25" customHeight="1">
      <c r="B989" s="96"/>
    </row>
    <row r="990" ht="14.25" customHeight="1">
      <c r="B990" s="96"/>
    </row>
    <row r="991" ht="14.25" customHeight="1">
      <c r="B991" s="96"/>
    </row>
    <row r="992" ht="14.25" customHeight="1">
      <c r="B992" s="96"/>
    </row>
    <row r="993" ht="14.25" customHeight="1">
      <c r="B993" s="96"/>
    </row>
    <row r="994" ht="14.25" customHeight="1">
      <c r="B994" s="96"/>
    </row>
    <row r="995" ht="14.25" customHeight="1">
      <c r="B995" s="96"/>
    </row>
    <row r="996" ht="14.25" customHeight="1">
      <c r="B996" s="96"/>
    </row>
    <row r="997" ht="14.25" customHeight="1">
      <c r="B997" s="96"/>
    </row>
    <row r="998" ht="14.25" customHeight="1">
      <c r="B998" s="96"/>
    </row>
    <row r="999" ht="14.25" customHeight="1">
      <c r="B999" s="96"/>
    </row>
    <row r="1000" ht="14.25" customHeight="1">
      <c r="B1000" s="96"/>
    </row>
    <row r="1001" ht="14.25" customHeight="1">
      <c r="B1001" s="96"/>
    </row>
    <row r="1002" ht="14.25" customHeight="1">
      <c r="B1002" s="96"/>
    </row>
    <row r="1003" ht="14.25" customHeight="1">
      <c r="B1003" s="96"/>
    </row>
    <row r="1004" ht="14.25" customHeight="1">
      <c r="B1004" s="96"/>
    </row>
    <row r="1005" ht="14.25" customHeight="1">
      <c r="B1005" s="96"/>
    </row>
    <row r="1006" ht="14.25" customHeight="1">
      <c r="B1006" s="96"/>
    </row>
    <row r="1007" ht="14.25" customHeight="1">
      <c r="B1007" s="96"/>
    </row>
    <row r="1008" ht="14.25" customHeight="1">
      <c r="B1008" s="96"/>
    </row>
    <row r="1009" ht="14.25" customHeight="1">
      <c r="B1009" s="96"/>
    </row>
    <row r="1010" ht="14.25" customHeight="1">
      <c r="B1010" s="96"/>
    </row>
    <row r="1011" ht="14.25" customHeight="1">
      <c r="B1011" s="96"/>
    </row>
    <row r="1012" ht="14.25" customHeight="1">
      <c r="B1012" s="96"/>
    </row>
    <row r="1013" ht="14.25" customHeight="1">
      <c r="B1013" s="96"/>
    </row>
    <row r="1014" ht="14.25" customHeight="1">
      <c r="B1014" s="96"/>
    </row>
    <row r="1015" ht="14.25" customHeight="1">
      <c r="B1015" s="96"/>
    </row>
    <row r="1016" ht="14.25" customHeight="1">
      <c r="B1016" s="96"/>
    </row>
    <row r="1017" ht="14.25" customHeight="1">
      <c r="B1017" s="96"/>
    </row>
    <row r="1018" ht="14.25" customHeight="1">
      <c r="B1018" s="96"/>
    </row>
    <row r="1019" ht="14.25" customHeight="1">
      <c r="B1019" s="96"/>
    </row>
    <row r="1020" ht="14.25" customHeight="1">
      <c r="B1020" s="96"/>
    </row>
    <row r="1021" ht="14.25" customHeight="1">
      <c r="B1021" s="96"/>
    </row>
    <row r="1022" ht="14.25" customHeight="1">
      <c r="B1022" s="96"/>
    </row>
    <row r="1023" ht="14.25" customHeight="1">
      <c r="B1023" s="96"/>
    </row>
    <row r="1024" ht="14.25" customHeight="1">
      <c r="B1024" s="96"/>
    </row>
    <row r="1025" ht="14.25" customHeight="1">
      <c r="B1025" s="96"/>
    </row>
    <row r="1026" ht="14.25" customHeight="1">
      <c r="B1026" s="96"/>
    </row>
    <row r="1027" ht="14.25" customHeight="1">
      <c r="B1027" s="96"/>
    </row>
    <row r="1028" ht="14.25" customHeight="1">
      <c r="B1028" s="96"/>
    </row>
    <row r="1029" ht="14.25" customHeight="1">
      <c r="B1029" s="96"/>
    </row>
    <row r="1030" ht="14.25" customHeight="1">
      <c r="B1030" s="96"/>
    </row>
    <row r="1031" ht="14.25" customHeight="1">
      <c r="B1031" s="96"/>
    </row>
    <row r="1032" ht="14.25" customHeight="1">
      <c r="B1032" s="96"/>
    </row>
    <row r="1033" ht="14.25" customHeight="1">
      <c r="B1033" s="96"/>
    </row>
    <row r="1034" ht="14.25" customHeight="1">
      <c r="B1034" s="96"/>
    </row>
    <row r="1035" ht="14.25" customHeight="1">
      <c r="B1035" s="96"/>
    </row>
    <row r="1036" ht="14.25" customHeight="1">
      <c r="B1036" s="96"/>
    </row>
    <row r="1037" ht="14.25" customHeight="1">
      <c r="B1037" s="96"/>
    </row>
    <row r="1038" ht="14.25" customHeight="1">
      <c r="B1038" s="96"/>
    </row>
    <row r="1039" ht="14.25" customHeight="1">
      <c r="B1039" s="96"/>
    </row>
    <row r="1040" ht="14.25" customHeight="1">
      <c r="B1040" s="96"/>
    </row>
    <row r="1041" ht="14.25" customHeight="1">
      <c r="B1041" s="96"/>
    </row>
    <row r="1042" ht="14.25" customHeight="1">
      <c r="B1042" s="96"/>
    </row>
    <row r="1043" ht="14.25" customHeight="1">
      <c r="B1043" s="96"/>
    </row>
    <row r="1044" ht="14.25" customHeight="1">
      <c r="B1044" s="96"/>
    </row>
    <row r="1045" ht="14.25" customHeight="1">
      <c r="B1045" s="96"/>
    </row>
    <row r="1046" ht="14.25" customHeight="1">
      <c r="B1046" s="96"/>
    </row>
    <row r="1047" ht="14.25" customHeight="1">
      <c r="B1047" s="96"/>
    </row>
    <row r="1048" ht="14.25" customHeight="1">
      <c r="B1048" s="96"/>
    </row>
    <row r="1049" ht="14.25" customHeight="1">
      <c r="B1049" s="96"/>
    </row>
    <row r="1050" ht="14.25" customHeight="1">
      <c r="B1050" s="96"/>
    </row>
    <row r="1051" ht="14.25" customHeight="1">
      <c r="B1051" s="96"/>
    </row>
    <row r="1052" ht="14.25" customHeight="1">
      <c r="B1052" s="96"/>
    </row>
    <row r="1053" ht="14.25" customHeight="1">
      <c r="B1053" s="96"/>
    </row>
    <row r="1054" ht="14.25" customHeight="1">
      <c r="B1054" s="96"/>
    </row>
    <row r="1055" ht="14.25" customHeight="1">
      <c r="B1055" s="96"/>
    </row>
    <row r="1056" ht="14.25" customHeight="1">
      <c r="B1056" s="96"/>
    </row>
    <row r="1057" ht="14.25" customHeight="1">
      <c r="B1057" s="96"/>
    </row>
    <row r="1058" ht="14.25" customHeight="1">
      <c r="B1058" s="96"/>
    </row>
    <row r="1059" ht="14.25" customHeight="1">
      <c r="B1059" s="96"/>
    </row>
    <row r="1060" ht="14.25" customHeight="1">
      <c r="B1060" s="96"/>
    </row>
    <row r="1061" ht="14.25" customHeight="1">
      <c r="B1061" s="96"/>
    </row>
    <row r="1062" ht="14.25" customHeight="1">
      <c r="B1062" s="96"/>
    </row>
    <row r="1063" ht="14.25" customHeight="1">
      <c r="B1063" s="96"/>
    </row>
    <row r="1064" ht="14.25" customHeight="1">
      <c r="B1064" s="96"/>
    </row>
    <row r="1065" ht="14.25" customHeight="1">
      <c r="B1065" s="96"/>
    </row>
    <row r="1066" ht="14.25" customHeight="1">
      <c r="B1066" s="96"/>
    </row>
    <row r="1067" ht="14.25" customHeight="1">
      <c r="B1067" s="96"/>
    </row>
    <row r="1068" ht="14.25" customHeight="1">
      <c r="B1068" s="96"/>
    </row>
    <row r="1069" ht="14.25" customHeight="1">
      <c r="B1069" s="96"/>
    </row>
    <row r="1070" ht="14.25" customHeight="1">
      <c r="B1070" s="96"/>
    </row>
    <row r="1071" ht="14.25" customHeight="1">
      <c r="B1071" s="96"/>
    </row>
    <row r="1072" ht="14.25" customHeight="1">
      <c r="B1072" s="96"/>
    </row>
    <row r="1073" ht="14.25" customHeight="1">
      <c r="B1073" s="96"/>
    </row>
    <row r="1074" ht="14.25" customHeight="1">
      <c r="B1074" s="96"/>
    </row>
    <row r="1075" ht="14.25" customHeight="1">
      <c r="B1075" s="96"/>
    </row>
    <row r="1076" ht="14.25" customHeight="1">
      <c r="B1076" s="96"/>
    </row>
    <row r="1077" ht="14.25" customHeight="1">
      <c r="B1077" s="96"/>
    </row>
    <row r="1078" ht="14.25" customHeight="1">
      <c r="B1078" s="96"/>
    </row>
    <row r="1079" ht="14.25" customHeight="1">
      <c r="B1079" s="96"/>
    </row>
    <row r="1080" ht="14.25" customHeight="1">
      <c r="B1080" s="96"/>
    </row>
    <row r="1081" ht="14.25" customHeight="1">
      <c r="B1081" s="96"/>
    </row>
    <row r="1082" ht="14.25" customHeight="1">
      <c r="B1082" s="96"/>
    </row>
    <row r="1083" ht="14.25" customHeight="1">
      <c r="B1083" s="96"/>
    </row>
    <row r="1084" ht="14.25" customHeight="1">
      <c r="B1084" s="96"/>
    </row>
    <row r="1085" ht="14.25" customHeight="1">
      <c r="B1085" s="96"/>
    </row>
    <row r="1086" ht="14.25" customHeight="1">
      <c r="B1086" s="96"/>
    </row>
    <row r="1087" ht="14.25" customHeight="1">
      <c r="B1087" s="96"/>
    </row>
    <row r="1088" ht="14.25" customHeight="1">
      <c r="B1088" s="96"/>
    </row>
    <row r="1089" ht="14.25" customHeight="1">
      <c r="B1089" s="96"/>
    </row>
    <row r="1090" ht="14.25" customHeight="1">
      <c r="B1090" s="96"/>
    </row>
    <row r="1091" ht="14.25" customHeight="1">
      <c r="B1091" s="96"/>
    </row>
    <row r="1092" ht="14.25" customHeight="1">
      <c r="B1092" s="96"/>
    </row>
    <row r="1093" ht="14.25" customHeight="1">
      <c r="B1093" s="96"/>
    </row>
    <row r="1094" ht="14.25" customHeight="1">
      <c r="B1094" s="96"/>
    </row>
    <row r="1095" ht="14.25" customHeight="1">
      <c r="B1095" s="96"/>
    </row>
    <row r="1096" ht="14.25" customHeight="1">
      <c r="B1096" s="96"/>
    </row>
    <row r="1097" ht="14.25" customHeight="1">
      <c r="B1097" s="96"/>
    </row>
    <row r="1098" ht="14.25" customHeight="1">
      <c r="B1098" s="96"/>
    </row>
    <row r="1099" ht="14.25" customHeight="1">
      <c r="B1099" s="96"/>
    </row>
    <row r="1100" ht="14.25" customHeight="1">
      <c r="B1100" s="96"/>
    </row>
    <row r="1101" ht="14.25" customHeight="1">
      <c r="B1101" s="96"/>
    </row>
    <row r="1102" ht="14.25" customHeight="1">
      <c r="B1102" s="96"/>
    </row>
    <row r="1103" ht="14.25" customHeight="1">
      <c r="B1103" s="96"/>
    </row>
    <row r="1104" ht="14.25" customHeight="1">
      <c r="B1104" s="96"/>
    </row>
    <row r="1105" ht="14.25" customHeight="1">
      <c r="B1105" s="96"/>
    </row>
    <row r="1106" ht="14.25" customHeight="1">
      <c r="B1106" s="96"/>
    </row>
    <row r="1107" ht="14.25" customHeight="1">
      <c r="B1107" s="96"/>
    </row>
    <row r="1108" ht="14.25" customHeight="1">
      <c r="B1108" s="96"/>
    </row>
    <row r="1109" ht="14.25" customHeight="1">
      <c r="B1109" s="96"/>
    </row>
    <row r="1110" ht="14.25" customHeight="1">
      <c r="B1110" s="96"/>
    </row>
    <row r="1111" ht="14.25" customHeight="1">
      <c r="B1111" s="96"/>
    </row>
    <row r="1112" ht="14.25" customHeight="1">
      <c r="B1112" s="96"/>
    </row>
    <row r="1113" ht="14.25" customHeight="1">
      <c r="B1113" s="96"/>
    </row>
    <row r="1114" ht="14.25" customHeight="1">
      <c r="B1114" s="96"/>
    </row>
    <row r="1115" ht="14.25" customHeight="1">
      <c r="B1115" s="96"/>
    </row>
    <row r="1116" ht="14.25" customHeight="1">
      <c r="B1116" s="96"/>
    </row>
    <row r="1117" ht="14.25" customHeight="1">
      <c r="B1117" s="96"/>
    </row>
    <row r="1118" ht="14.25" customHeight="1">
      <c r="B1118" s="96"/>
    </row>
    <row r="1119" ht="14.25" customHeight="1">
      <c r="B1119" s="96"/>
    </row>
    <row r="1120" ht="14.25" customHeight="1">
      <c r="B1120" s="96"/>
    </row>
    <row r="1121" ht="14.25" customHeight="1">
      <c r="B1121" s="96"/>
    </row>
    <row r="1122" ht="14.25" customHeight="1">
      <c r="B1122" s="96"/>
    </row>
    <row r="1123" ht="14.25" customHeight="1">
      <c r="B1123" s="96"/>
    </row>
    <row r="1124" ht="14.25" customHeight="1">
      <c r="B1124" s="96"/>
    </row>
    <row r="1125" ht="14.25" customHeight="1">
      <c r="B1125" s="96"/>
    </row>
    <row r="1126" ht="14.25" customHeight="1">
      <c r="B1126" s="96"/>
    </row>
    <row r="1127" ht="14.25" customHeight="1">
      <c r="B1127" s="96"/>
    </row>
    <row r="1128" ht="14.25" customHeight="1">
      <c r="B1128" s="96"/>
    </row>
    <row r="1129" ht="14.25" customHeight="1">
      <c r="B1129" s="96"/>
    </row>
    <row r="1130" ht="14.25" customHeight="1">
      <c r="B1130" s="96"/>
    </row>
    <row r="1131" ht="14.25" customHeight="1">
      <c r="B1131" s="96"/>
    </row>
    <row r="1132" ht="14.25" customHeight="1">
      <c r="B1132" s="96"/>
    </row>
    <row r="1133" ht="14.25" customHeight="1">
      <c r="B1133" s="96"/>
    </row>
    <row r="1134" ht="14.25" customHeight="1">
      <c r="B1134" s="96"/>
    </row>
    <row r="1135" ht="14.25" customHeight="1">
      <c r="B1135" s="96"/>
    </row>
    <row r="1136" ht="14.25" customHeight="1">
      <c r="B1136" s="96"/>
    </row>
    <row r="1137" ht="14.25" customHeight="1">
      <c r="B1137" s="96"/>
    </row>
    <row r="1138" ht="14.25" customHeight="1">
      <c r="B1138" s="96"/>
    </row>
    <row r="1139" ht="14.25" customHeight="1">
      <c r="B1139" s="96"/>
    </row>
    <row r="1140" ht="14.25" customHeight="1">
      <c r="B1140" s="96"/>
    </row>
    <row r="1141" ht="14.25" customHeight="1">
      <c r="B1141" s="96"/>
    </row>
    <row r="1142" ht="14.25" customHeight="1">
      <c r="B1142" s="96"/>
    </row>
    <row r="1143" ht="14.25" customHeight="1">
      <c r="B1143" s="96"/>
    </row>
    <row r="1144" ht="14.25" customHeight="1">
      <c r="B1144" s="96"/>
    </row>
    <row r="1145" ht="14.25" customHeight="1">
      <c r="B1145" s="96"/>
    </row>
    <row r="1146" ht="14.25" customHeight="1">
      <c r="B1146" s="96"/>
    </row>
    <row r="1147" ht="14.25" customHeight="1">
      <c r="B1147" s="96"/>
    </row>
    <row r="1148" ht="14.25" customHeight="1">
      <c r="B1148" s="96"/>
    </row>
    <row r="1149" ht="14.25" customHeight="1">
      <c r="B1149" s="96"/>
    </row>
    <row r="1150" ht="14.25" customHeight="1">
      <c r="B1150" s="96"/>
    </row>
    <row r="1151" ht="14.25" customHeight="1">
      <c r="B1151" s="96"/>
    </row>
    <row r="1152" ht="14.25" customHeight="1">
      <c r="B1152" s="96"/>
    </row>
    <row r="1153" ht="14.25" customHeight="1">
      <c r="B1153" s="96"/>
    </row>
    <row r="1154" ht="14.25" customHeight="1">
      <c r="B1154" s="96"/>
    </row>
    <row r="1155" ht="14.25" customHeight="1">
      <c r="B1155" s="96"/>
    </row>
    <row r="1156" ht="14.25" customHeight="1">
      <c r="B1156" s="96"/>
    </row>
    <row r="1157" ht="14.25" customHeight="1">
      <c r="B1157" s="96"/>
    </row>
    <row r="1158" ht="14.25" customHeight="1">
      <c r="B1158" s="96"/>
    </row>
    <row r="1159" ht="14.25" customHeight="1">
      <c r="B1159" s="96"/>
    </row>
    <row r="1160" ht="14.25" customHeight="1">
      <c r="B1160" s="96"/>
    </row>
    <row r="1161" ht="14.25" customHeight="1">
      <c r="B1161" s="96"/>
    </row>
    <row r="1162" ht="14.25" customHeight="1">
      <c r="B1162" s="96"/>
    </row>
    <row r="1163" ht="14.25" customHeight="1">
      <c r="B1163" s="96"/>
    </row>
    <row r="1164" ht="14.25" customHeight="1">
      <c r="B1164" s="96"/>
    </row>
    <row r="1165" ht="14.25" customHeight="1">
      <c r="B1165" s="96"/>
    </row>
    <row r="1166" ht="14.25" customHeight="1">
      <c r="B1166" s="96"/>
    </row>
    <row r="1167" ht="14.25" customHeight="1">
      <c r="B1167" s="96"/>
    </row>
    <row r="1168" ht="14.25" customHeight="1">
      <c r="B1168" s="96"/>
    </row>
    <row r="1169" ht="14.25" customHeight="1">
      <c r="B1169" s="96"/>
    </row>
    <row r="1170" ht="14.25" customHeight="1">
      <c r="B1170" s="96"/>
    </row>
    <row r="1171" ht="14.25" customHeight="1">
      <c r="B1171" s="96"/>
    </row>
    <row r="1172" ht="14.25" customHeight="1">
      <c r="B1172" s="96"/>
    </row>
    <row r="1173" ht="14.25" customHeight="1">
      <c r="B1173" s="96"/>
    </row>
    <row r="1174" ht="14.25" customHeight="1">
      <c r="B1174" s="96"/>
    </row>
    <row r="1175" ht="14.25" customHeight="1">
      <c r="B1175" s="96"/>
    </row>
    <row r="1176" ht="14.25" customHeight="1">
      <c r="B1176" s="96"/>
    </row>
    <row r="1177" ht="14.25" customHeight="1">
      <c r="B1177" s="96"/>
    </row>
    <row r="1178" ht="14.25" customHeight="1">
      <c r="B1178" s="96"/>
    </row>
    <row r="1179" ht="14.25" customHeight="1">
      <c r="B1179" s="96"/>
    </row>
    <row r="1180" ht="14.25" customHeight="1">
      <c r="B1180" s="96"/>
    </row>
    <row r="1181" ht="14.25" customHeight="1">
      <c r="B1181" s="96"/>
    </row>
    <row r="1182" ht="14.25" customHeight="1">
      <c r="B1182" s="96"/>
    </row>
    <row r="1183" ht="14.25" customHeight="1">
      <c r="B1183" s="96"/>
    </row>
    <row r="1184" ht="14.25" customHeight="1">
      <c r="B1184" s="96"/>
    </row>
    <row r="1185" ht="14.25" customHeight="1">
      <c r="B1185" s="96"/>
    </row>
    <row r="1186" ht="14.25" customHeight="1">
      <c r="B1186" s="96"/>
    </row>
    <row r="1187" ht="14.25" customHeight="1">
      <c r="B1187" s="96"/>
    </row>
    <row r="1188" ht="14.25" customHeight="1">
      <c r="B1188" s="96"/>
    </row>
    <row r="1189" ht="14.25" customHeight="1">
      <c r="B1189" s="96"/>
    </row>
    <row r="1190" ht="14.25" customHeight="1">
      <c r="B1190" s="96"/>
    </row>
    <row r="1191" ht="14.25" customHeight="1">
      <c r="B1191" s="96"/>
    </row>
    <row r="1192" ht="14.25" customHeight="1">
      <c r="B1192" s="96"/>
    </row>
    <row r="1193" ht="14.25" customHeight="1">
      <c r="B1193" s="96"/>
    </row>
    <row r="1194" ht="14.25" customHeight="1">
      <c r="B1194" s="96"/>
    </row>
    <row r="1195" ht="14.25" customHeight="1">
      <c r="B1195" s="96"/>
    </row>
    <row r="1196" ht="14.25" customHeight="1">
      <c r="B1196" s="96"/>
    </row>
    <row r="1197" ht="14.25" customHeight="1">
      <c r="B1197" s="96"/>
    </row>
    <row r="1198" ht="14.25" customHeight="1">
      <c r="B1198" s="96"/>
    </row>
    <row r="1199" ht="14.25" customHeight="1">
      <c r="B1199" s="96"/>
    </row>
    <row r="1200" ht="14.25" customHeight="1">
      <c r="B1200" s="96"/>
    </row>
    <row r="1201" ht="14.25" customHeight="1">
      <c r="B1201" s="96"/>
    </row>
    <row r="1202" ht="14.25" customHeight="1">
      <c r="B1202" s="96"/>
    </row>
    <row r="1203" ht="14.25" customHeight="1">
      <c r="B1203" s="96"/>
    </row>
    <row r="1204" ht="14.25" customHeight="1">
      <c r="B1204" s="96"/>
    </row>
    <row r="1205" ht="14.25" customHeight="1">
      <c r="B1205" s="96"/>
    </row>
    <row r="1206" ht="14.25" customHeight="1">
      <c r="B1206" s="96"/>
    </row>
    <row r="1207" ht="14.25" customHeight="1">
      <c r="B1207" s="96"/>
    </row>
    <row r="1208" ht="14.25" customHeight="1">
      <c r="B1208" s="96"/>
    </row>
    <row r="1209" ht="14.25" customHeight="1">
      <c r="B1209" s="96"/>
    </row>
    <row r="1210" ht="14.25" customHeight="1">
      <c r="B1210" s="96"/>
    </row>
    <row r="1211" ht="14.25" customHeight="1">
      <c r="B1211" s="96"/>
    </row>
    <row r="1212" ht="14.25" customHeight="1">
      <c r="B1212" s="96"/>
    </row>
    <row r="1213" ht="14.25" customHeight="1">
      <c r="B1213" s="96"/>
    </row>
    <row r="1214" ht="14.25" customHeight="1">
      <c r="B1214" s="96"/>
    </row>
    <row r="1215" ht="14.25" customHeight="1">
      <c r="B1215" s="96"/>
    </row>
    <row r="1216" ht="14.25" customHeight="1">
      <c r="B1216" s="96"/>
    </row>
    <row r="1217" ht="14.25" customHeight="1">
      <c r="B1217" s="96"/>
    </row>
  </sheetData>
  <mergeCells count="1">
    <mergeCell ref="D3:D4"/>
  </mergeCells>
  <conditionalFormatting sqref="D110:L110">
    <cfRule type="cellIs" dxfId="0" priority="1" operator="equal">
      <formula>0</formula>
    </cfRule>
  </conditionalFormatting>
  <conditionalFormatting sqref="G57:M57">
    <cfRule type="cellIs" dxfId="0" priority="2" operator="equal">
      <formula>0</formula>
    </cfRule>
  </conditionalFormatting>
  <conditionalFormatting sqref="C78:I84">
    <cfRule type="cellIs" dxfId="1" priority="3" operator="lessThan">
      <formula>$B$11</formula>
    </cfRule>
  </conditionalFormatting>
  <conditionalFormatting sqref="C78:I84">
    <cfRule type="cellIs" dxfId="2" priority="4" operator="greaterThan">
      <formula>$B$11</formula>
    </cfRule>
  </conditionalFormatting>
  <conditionalFormatting sqref="C88:I95">
    <cfRule type="cellIs" dxfId="1" priority="5" operator="lessThan">
      <formula>$B$11</formula>
    </cfRule>
  </conditionalFormatting>
  <conditionalFormatting sqref="C88:I95">
    <cfRule type="cellIs" dxfId="2" priority="6" operator="greaterThan">
      <formula>$B$11</formula>
    </cfRule>
  </conditionalFormatting>
  <conditionalFormatting sqref="C137:I144">
    <cfRule type="cellIs" dxfId="1" priority="7" operator="lessThan">
      <formula>$B$11</formula>
    </cfRule>
  </conditionalFormatting>
  <conditionalFormatting sqref="C137:I144">
    <cfRule type="cellIs" dxfId="2" priority="8" operator="greaterThan">
      <formula>$B$11</formula>
    </cfRule>
  </conditionalFormatting>
  <conditionalFormatting sqref="C126:I132">
    <cfRule type="cellIs" dxfId="1" priority="9" operator="lessThan">
      <formula>$B$11</formula>
    </cfRule>
  </conditionalFormatting>
  <conditionalFormatting sqref="C126:I132">
    <cfRule type="cellIs" dxfId="2" priority="10" operator="greaterThan">
      <formula>$B$11</formula>
    </cfRule>
  </conditionalFormatting>
  <conditionalFormatting sqref="F178">
    <cfRule type="cellIs" dxfId="0" priority="11" operator="equal">
      <formula>0</formula>
    </cfRule>
  </conditionalFormatting>
  <conditionalFormatting sqref="G178:M178">
    <cfRule type="cellIs" dxfId="0" priority="12" operator="equal">
      <formula>0</formula>
    </cfRule>
  </conditionalFormatting>
  <conditionalFormatting sqref="G178:M178">
    <cfRule type="cellIs" dxfId="3" priority="13" operator="equal">
      <formula>0</formula>
    </cfRule>
  </conditionalFormatting>
  <conditionalFormatting sqref="C200:I207">
    <cfRule type="cellIs" dxfId="1" priority="14" operator="lessThan">
      <formula>$B$11</formula>
    </cfRule>
  </conditionalFormatting>
  <conditionalFormatting sqref="C200:I207">
    <cfRule type="cellIs" dxfId="2" priority="15" operator="greaterThan">
      <formula>$B$11</formula>
    </cfRule>
  </conditionalFormatting>
  <conditionalFormatting sqref="C189:I195">
    <cfRule type="cellIs" dxfId="1" priority="16" operator="lessThan">
      <formula>$B$11</formula>
    </cfRule>
  </conditionalFormatting>
  <conditionalFormatting sqref="C189:I195">
    <cfRule type="cellIs" dxfId="2" priority="17" operator="greaterThan">
      <formula>$B$11</formula>
    </cfRule>
  </conditionalFormatting>
  <conditionalFormatting sqref="C99:I106">
    <cfRule type="cellIs" dxfId="1" priority="18" operator="lessThan">
      <formula>$B$11</formula>
    </cfRule>
  </conditionalFormatting>
  <conditionalFormatting sqref="C99:I106">
    <cfRule type="cellIs" dxfId="2" priority="19" operator="greaterThan">
      <formula>$B$11</formula>
    </cfRule>
  </conditionalFormatting>
  <conditionalFormatting sqref="C148:I155">
    <cfRule type="cellIs" dxfId="1" priority="20" operator="lessThan">
      <formula>$B$11</formula>
    </cfRule>
  </conditionalFormatting>
  <conditionalFormatting sqref="C148:I155">
    <cfRule type="cellIs" dxfId="2" priority="21" operator="greaterThan">
      <formula>$B$11</formula>
    </cfRule>
  </conditionalFormatting>
  <hyperlinks>
    <hyperlink r:id="rId2" ref="I1"/>
  </hyperlinks>
  <drawing r:id="rId3"/>
  <legacyDrawing r:id="rId4"/>
</worksheet>
</file>