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lal\Desktop\Bilal PC\ODOO\Associate And Subsideries Data\dashboared Data\"/>
    </mc:Choice>
  </mc:AlternateContent>
  <xr:revisionPtr revIDLastSave="0" documentId="13_ncr:1_{C5C5F810-E03A-4003-9E88-D88FB17150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SR" sheetId="1" r:id="rId1"/>
    <sheet name="RTCC" sheetId="2" r:id="rId2"/>
    <sheet name="SMC" sheetId="3" r:id="rId3"/>
    <sheet name="SSEM" sheetId="4" r:id="rId4"/>
    <sheet name="Razin" sheetId="5" r:id="rId5"/>
    <sheet name="Rafaya" sheetId="6" r:id="rId6"/>
    <sheet name="PPC" sheetId="7" r:id="rId7"/>
    <sheet name="G.Chicken" sheetId="8" r:id="rId8"/>
    <sheet name="Bayan" sheetId="9" r:id="rId9"/>
    <sheet name="Abetong" sheetId="10" r:id="rId10"/>
    <sheet name="Food Aroma" sheetId="11" r:id="rId11"/>
    <sheet name="Impulse" sheetId="12" r:id="rId12"/>
    <sheet name="Marooj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0" l="1"/>
  <c r="D81" i="2"/>
  <c r="E81" i="2"/>
  <c r="F81" i="2"/>
  <c r="G81" i="2"/>
  <c r="H81" i="2"/>
  <c r="I81" i="2"/>
  <c r="J81" i="2"/>
  <c r="K81" i="2"/>
  <c r="L81" i="2"/>
  <c r="C81" i="2"/>
  <c r="D58" i="13" l="1"/>
  <c r="E57" i="13"/>
  <c r="D57" i="13"/>
  <c r="C57" i="13"/>
  <c r="D54" i="13"/>
  <c r="C54" i="13"/>
  <c r="D53" i="13"/>
  <c r="C53" i="13"/>
  <c r="D29" i="13"/>
  <c r="C29" i="13"/>
  <c r="E28" i="13"/>
  <c r="E29" i="13" s="1"/>
  <c r="D28" i="13"/>
  <c r="C28" i="13"/>
  <c r="E23" i="13"/>
  <c r="D23" i="13"/>
  <c r="C23" i="13"/>
  <c r="E20" i="13"/>
  <c r="D20" i="13"/>
  <c r="C20" i="13"/>
  <c r="E12" i="13"/>
  <c r="E58" i="13" s="1"/>
  <c r="D12" i="13"/>
  <c r="C12" i="13"/>
  <c r="C58" i="13" s="1"/>
  <c r="E5" i="13"/>
  <c r="E13" i="13" s="1"/>
  <c r="D5" i="13"/>
  <c r="D13" i="13" s="1"/>
  <c r="C5" i="13"/>
  <c r="E60" i="13" l="1"/>
  <c r="E59" i="13"/>
  <c r="E30" i="13"/>
  <c r="D59" i="13"/>
  <c r="E31" i="13"/>
  <c r="E56" i="13"/>
  <c r="E55" i="13"/>
  <c r="D55" i="13"/>
  <c r="D56" i="13"/>
  <c r="C60" i="13"/>
  <c r="D60" i="13"/>
  <c r="C30" i="13"/>
  <c r="C13" i="13"/>
  <c r="C59" i="13" s="1"/>
  <c r="D30" i="13"/>
  <c r="D31" i="13" s="1"/>
  <c r="C55" i="13" l="1"/>
  <c r="C31" i="13"/>
  <c r="C56" i="13"/>
  <c r="E57" i="12" l="1"/>
  <c r="D57" i="12"/>
  <c r="D56" i="12"/>
  <c r="D53" i="12"/>
  <c r="D54" i="12"/>
  <c r="D55" i="12"/>
  <c r="E55" i="12"/>
  <c r="E56" i="12"/>
  <c r="D58" i="12"/>
  <c r="E58" i="12"/>
  <c r="D59" i="12"/>
  <c r="E59" i="12"/>
  <c r="D60" i="12"/>
  <c r="E60" i="12"/>
  <c r="C57" i="12"/>
  <c r="C60" i="12"/>
  <c r="C59" i="12"/>
  <c r="C58" i="12"/>
  <c r="C54" i="12"/>
  <c r="C53" i="12"/>
  <c r="E31" i="12"/>
  <c r="E32" i="12" s="1"/>
  <c r="E30" i="12"/>
  <c r="D30" i="12"/>
  <c r="C30" i="12"/>
  <c r="E24" i="12"/>
  <c r="D24" i="12"/>
  <c r="D31" i="12" s="1"/>
  <c r="D32" i="12" s="1"/>
  <c r="C24" i="12"/>
  <c r="C31" i="12" s="1"/>
  <c r="C32" i="12" s="1"/>
  <c r="E20" i="12"/>
  <c r="D20" i="12"/>
  <c r="C20" i="12"/>
  <c r="E13" i="12"/>
  <c r="D13" i="12"/>
  <c r="E12" i="12"/>
  <c r="D12" i="12"/>
  <c r="C12" i="12"/>
  <c r="E5" i="12"/>
  <c r="D5" i="12"/>
  <c r="C5" i="12"/>
  <c r="C13" i="12" s="1"/>
  <c r="C56" i="12" l="1"/>
  <c r="C55" i="12"/>
  <c r="E64" i="11" l="1"/>
  <c r="D64" i="11"/>
  <c r="C64" i="11"/>
  <c r="D61" i="11"/>
  <c r="C61" i="11"/>
  <c r="D60" i="11"/>
  <c r="C60" i="11"/>
  <c r="E36" i="11"/>
  <c r="D36" i="11"/>
  <c r="C36" i="11"/>
  <c r="C37" i="11" s="1"/>
  <c r="E27" i="11"/>
  <c r="E37" i="11" s="1"/>
  <c r="D27" i="11"/>
  <c r="D37" i="11" s="1"/>
  <c r="C27" i="11"/>
  <c r="E22" i="11"/>
  <c r="D22" i="11"/>
  <c r="C22" i="11"/>
  <c r="E14" i="11"/>
  <c r="E65" i="11" s="1"/>
  <c r="D14" i="11"/>
  <c r="D65" i="11" s="1"/>
  <c r="C14" i="11"/>
  <c r="C65" i="11" s="1"/>
  <c r="E7" i="11"/>
  <c r="E15" i="11" s="1"/>
  <c r="D7" i="11"/>
  <c r="D15" i="11" s="1"/>
  <c r="C7" i="11"/>
  <c r="C15" i="11" s="1"/>
  <c r="D67" i="11" l="1"/>
  <c r="D66" i="11"/>
  <c r="D38" i="11"/>
  <c r="E67" i="11"/>
  <c r="E66" i="11"/>
  <c r="E38" i="11"/>
  <c r="C38" i="11"/>
  <c r="C67" i="11"/>
  <c r="C66" i="11"/>
  <c r="C62" i="11"/>
  <c r="C40" i="11"/>
  <c r="C63" i="11"/>
  <c r="D62" i="11"/>
  <c r="D40" i="11"/>
  <c r="D63" i="11"/>
  <c r="E40" i="11"/>
  <c r="E63" i="11"/>
  <c r="E62" i="11"/>
  <c r="L65" i="10" l="1"/>
  <c r="K65" i="10"/>
  <c r="J65" i="10"/>
  <c r="I65" i="10"/>
  <c r="H65" i="10"/>
  <c r="G65" i="10"/>
  <c r="F65" i="10"/>
  <c r="E65" i="10"/>
  <c r="D65" i="10"/>
  <c r="C65" i="10"/>
  <c r="I62" i="10"/>
  <c r="H62" i="10"/>
  <c r="G62" i="10"/>
  <c r="F62" i="10"/>
  <c r="F61" i="10"/>
  <c r="E61" i="10"/>
  <c r="D61" i="10"/>
  <c r="C61" i="10"/>
  <c r="I59" i="10"/>
  <c r="D59" i="10"/>
  <c r="L58" i="10"/>
  <c r="K58" i="10"/>
  <c r="J58" i="10"/>
  <c r="I58" i="10"/>
  <c r="H58" i="10"/>
  <c r="G58" i="10"/>
  <c r="F58" i="10"/>
  <c r="E58" i="10"/>
  <c r="D58" i="10"/>
  <c r="C58" i="10"/>
  <c r="L57" i="10"/>
  <c r="K57" i="10"/>
  <c r="J57" i="10"/>
  <c r="I57" i="10"/>
  <c r="H57" i="10"/>
  <c r="G57" i="10"/>
  <c r="F57" i="10"/>
  <c r="E57" i="10"/>
  <c r="D57" i="10"/>
  <c r="I38" i="10"/>
  <c r="I63" i="10" s="1"/>
  <c r="H38" i="10"/>
  <c r="H63" i="10" s="1"/>
  <c r="G38" i="10"/>
  <c r="G63" i="10" s="1"/>
  <c r="F38" i="10"/>
  <c r="F64" i="10" s="1"/>
  <c r="I37" i="10"/>
  <c r="H37" i="10"/>
  <c r="G37" i="10"/>
  <c r="F37" i="10"/>
  <c r="E37" i="10"/>
  <c r="D37" i="10"/>
  <c r="C37" i="10"/>
  <c r="L33" i="10"/>
  <c r="L37" i="10" s="1"/>
  <c r="L38" i="10" s="1"/>
  <c r="K33" i="10"/>
  <c r="K37" i="10" s="1"/>
  <c r="K38" i="10" s="1"/>
  <c r="J33" i="10"/>
  <c r="J37" i="10" s="1"/>
  <c r="J38" i="10" s="1"/>
  <c r="L28" i="10"/>
  <c r="K28" i="10"/>
  <c r="J28" i="10"/>
  <c r="I28" i="10"/>
  <c r="H28" i="10"/>
  <c r="G28" i="10"/>
  <c r="F28" i="10"/>
  <c r="E28" i="10"/>
  <c r="E38" i="10" s="1"/>
  <c r="D28" i="10"/>
  <c r="D38" i="10" s="1"/>
  <c r="C28" i="10"/>
  <c r="C38" i="10" s="1"/>
  <c r="L22" i="10"/>
  <c r="L61" i="10" s="1"/>
  <c r="K22" i="10"/>
  <c r="K61" i="10" s="1"/>
  <c r="J22" i="10"/>
  <c r="J61" i="10" s="1"/>
  <c r="I22" i="10"/>
  <c r="I61" i="10" s="1"/>
  <c r="H22" i="10"/>
  <c r="H61" i="10" s="1"/>
  <c r="G22" i="10"/>
  <c r="G61" i="10" s="1"/>
  <c r="F22" i="10"/>
  <c r="E22" i="10"/>
  <c r="D22" i="10"/>
  <c r="C22" i="10"/>
  <c r="I15" i="10"/>
  <c r="I60" i="10" s="1"/>
  <c r="H15" i="10"/>
  <c r="H59" i="10" s="1"/>
  <c r="G15" i="10"/>
  <c r="G59" i="10" s="1"/>
  <c r="F15" i="10"/>
  <c r="D15" i="10"/>
  <c r="D60" i="10" s="1"/>
  <c r="C15" i="10"/>
  <c r="C59" i="10" s="1"/>
  <c r="L14" i="10"/>
  <c r="K14" i="10"/>
  <c r="I14" i="10"/>
  <c r="H14" i="10"/>
  <c r="G14" i="10"/>
  <c r="F14" i="10"/>
  <c r="E14" i="10"/>
  <c r="E62" i="10" s="1"/>
  <c r="D14" i="10"/>
  <c r="D62" i="10" s="1"/>
  <c r="C14" i="10"/>
  <c r="C62" i="10" s="1"/>
  <c r="L9" i="10"/>
  <c r="K9" i="10"/>
  <c r="J9" i="10"/>
  <c r="L8" i="10"/>
  <c r="K8" i="10"/>
  <c r="J8" i="10"/>
  <c r="J14" i="10" s="1"/>
  <c r="L6" i="10"/>
  <c r="L15" i="10" s="1"/>
  <c r="K6" i="10"/>
  <c r="K15" i="10" s="1"/>
  <c r="J6" i="10"/>
  <c r="I6" i="10"/>
  <c r="H6" i="10"/>
  <c r="G6" i="10"/>
  <c r="F6" i="10"/>
  <c r="E6" i="10"/>
  <c r="E15" i="10" s="1"/>
  <c r="D6" i="10"/>
  <c r="C6" i="10"/>
  <c r="J62" i="10" l="1"/>
  <c r="J15" i="10"/>
  <c r="D64" i="10"/>
  <c r="D63" i="10"/>
  <c r="D39" i="10"/>
  <c r="D41" i="10" s="1"/>
  <c r="E64" i="10"/>
  <c r="E63" i="10"/>
  <c r="E39" i="10"/>
  <c r="E41" i="10" s="1"/>
  <c r="K62" i="10"/>
  <c r="L60" i="10"/>
  <c r="L59" i="10"/>
  <c r="C64" i="10"/>
  <c r="C63" i="10"/>
  <c r="C39" i="10"/>
  <c r="C41" i="10" s="1"/>
  <c r="F41" i="10"/>
  <c r="E59" i="10"/>
  <c r="E60" i="10"/>
  <c r="J63" i="10"/>
  <c r="J39" i="10"/>
  <c r="J64" i="10"/>
  <c r="K63" i="10"/>
  <c r="K39" i="10"/>
  <c r="K64" i="10"/>
  <c r="L63" i="10"/>
  <c r="L39" i="10"/>
  <c r="L41" i="10" s="1"/>
  <c r="L64" i="10"/>
  <c r="K60" i="10"/>
  <c r="K41" i="10"/>
  <c r="K59" i="10"/>
  <c r="L62" i="10"/>
  <c r="G64" i="10"/>
  <c r="H64" i="10"/>
  <c r="I64" i="10"/>
  <c r="C60" i="10"/>
  <c r="F39" i="10"/>
  <c r="F63" i="10"/>
  <c r="G39" i="10"/>
  <c r="G41" i="10" s="1"/>
  <c r="H39" i="10"/>
  <c r="H41" i="10" s="1"/>
  <c r="F60" i="10"/>
  <c r="I39" i="10"/>
  <c r="I41" i="10" s="1"/>
  <c r="G60" i="10"/>
  <c r="H60" i="10"/>
  <c r="F59" i="10"/>
  <c r="J60" i="10" l="1"/>
  <c r="J41" i="10"/>
  <c r="J59" i="10"/>
  <c r="L61" i="9" l="1"/>
  <c r="K61" i="9"/>
  <c r="J61" i="9"/>
  <c r="I61" i="9"/>
  <c r="H61" i="9"/>
  <c r="G61" i="9"/>
  <c r="F61" i="9"/>
  <c r="E61" i="9"/>
  <c r="D61" i="9"/>
  <c r="C61" i="9"/>
  <c r="L58" i="9"/>
  <c r="K58" i="9"/>
  <c r="L57" i="9"/>
  <c r="K57" i="9"/>
  <c r="J57" i="9"/>
  <c r="I57" i="9"/>
  <c r="H57" i="9"/>
  <c r="G57" i="9"/>
  <c r="F57" i="9"/>
  <c r="E57" i="9"/>
  <c r="J55" i="9"/>
  <c r="I55" i="9"/>
  <c r="J54" i="9"/>
  <c r="F54" i="9"/>
  <c r="D54" i="9"/>
  <c r="C54" i="9"/>
  <c r="J53" i="9"/>
  <c r="F53" i="9"/>
  <c r="D53" i="9"/>
  <c r="C53" i="9"/>
  <c r="L30" i="9"/>
  <c r="K30" i="9"/>
  <c r="J30" i="9"/>
  <c r="I30" i="9"/>
  <c r="H30" i="9"/>
  <c r="G30" i="9"/>
  <c r="F30" i="9"/>
  <c r="E30" i="9"/>
  <c r="D30" i="9"/>
  <c r="C30" i="9"/>
  <c r="L24" i="9"/>
  <c r="L31" i="9" s="1"/>
  <c r="K24" i="9"/>
  <c r="K31" i="9" s="1"/>
  <c r="J24" i="9"/>
  <c r="J31" i="9" s="1"/>
  <c r="I24" i="9"/>
  <c r="I31" i="9" s="1"/>
  <c r="H24" i="9"/>
  <c r="H31" i="9" s="1"/>
  <c r="G24" i="9"/>
  <c r="G31" i="9" s="1"/>
  <c r="F24" i="9"/>
  <c r="F31" i="9" s="1"/>
  <c r="E24" i="9"/>
  <c r="E31" i="9" s="1"/>
  <c r="D24" i="9"/>
  <c r="D31" i="9" s="1"/>
  <c r="C24" i="9"/>
  <c r="C31" i="9" s="1"/>
  <c r="L21" i="9"/>
  <c r="K21" i="9"/>
  <c r="J21" i="9"/>
  <c r="I21" i="9"/>
  <c r="H21" i="9"/>
  <c r="G21" i="9"/>
  <c r="F21" i="9"/>
  <c r="E21" i="9"/>
  <c r="D21" i="9"/>
  <c r="D57" i="9" s="1"/>
  <c r="C21" i="9"/>
  <c r="C57" i="9" s="1"/>
  <c r="J14" i="9"/>
  <c r="I14" i="9"/>
  <c r="H14" i="9"/>
  <c r="H55" i="9" s="1"/>
  <c r="G14" i="9"/>
  <c r="G56" i="9" s="1"/>
  <c r="L13" i="9"/>
  <c r="K13" i="9"/>
  <c r="J13" i="9"/>
  <c r="J58" i="9" s="1"/>
  <c r="I13" i="9"/>
  <c r="I58" i="9" s="1"/>
  <c r="H13" i="9"/>
  <c r="H58" i="9" s="1"/>
  <c r="G13" i="9"/>
  <c r="G58" i="9" s="1"/>
  <c r="F13" i="9"/>
  <c r="F58" i="9" s="1"/>
  <c r="E13" i="9"/>
  <c r="E58" i="9" s="1"/>
  <c r="D13" i="9"/>
  <c r="D58" i="9" s="1"/>
  <c r="C13" i="9"/>
  <c r="C58" i="9" s="1"/>
  <c r="L8" i="9"/>
  <c r="L14" i="9" s="1"/>
  <c r="K8" i="9"/>
  <c r="K14" i="9" s="1"/>
  <c r="J8" i="9"/>
  <c r="I8" i="9"/>
  <c r="H8" i="9"/>
  <c r="G8" i="9"/>
  <c r="F8" i="9"/>
  <c r="F14" i="9" s="1"/>
  <c r="E8" i="9"/>
  <c r="E14" i="9" s="1"/>
  <c r="D8" i="9"/>
  <c r="D14" i="9" s="1"/>
  <c r="C8" i="9"/>
  <c r="C14" i="9" s="1"/>
  <c r="E59" i="9" l="1"/>
  <c r="E32" i="9"/>
  <c r="E60" i="9"/>
  <c r="F60" i="9"/>
  <c r="F59" i="9"/>
  <c r="F32" i="9"/>
  <c r="I34" i="9"/>
  <c r="G59" i="9"/>
  <c r="G60" i="9"/>
  <c r="G32" i="9"/>
  <c r="G34" i="9" s="1"/>
  <c r="H59" i="9"/>
  <c r="H32" i="9"/>
  <c r="H34" i="9" s="1"/>
  <c r="H60" i="9"/>
  <c r="K56" i="9"/>
  <c r="K55" i="9"/>
  <c r="I59" i="9"/>
  <c r="I32" i="9"/>
  <c r="I60" i="9"/>
  <c r="L56" i="9"/>
  <c r="L55" i="9"/>
  <c r="J60" i="9"/>
  <c r="J59" i="9"/>
  <c r="J32" i="9"/>
  <c r="J34" i="9" s="1"/>
  <c r="K59" i="9"/>
  <c r="K32" i="9"/>
  <c r="K34" i="9" s="1"/>
  <c r="K60" i="9"/>
  <c r="L32" i="9"/>
  <c r="L34" i="9" s="1"/>
  <c r="L60" i="9"/>
  <c r="L59" i="9"/>
  <c r="C56" i="9"/>
  <c r="C55" i="9"/>
  <c r="D55" i="9"/>
  <c r="D56" i="9"/>
  <c r="E55" i="9"/>
  <c r="E34" i="9"/>
  <c r="E56" i="9"/>
  <c r="C32" i="9"/>
  <c r="C34" i="9" s="1"/>
  <c r="C60" i="9"/>
  <c r="C59" i="9"/>
  <c r="F55" i="9"/>
  <c r="F34" i="9"/>
  <c r="F56" i="9"/>
  <c r="D32" i="9"/>
  <c r="D34" i="9" s="1"/>
  <c r="D60" i="9"/>
  <c r="D59" i="9"/>
  <c r="H56" i="9"/>
  <c r="I56" i="9"/>
  <c r="J56" i="9"/>
  <c r="G55" i="9"/>
  <c r="L86" i="8" l="1"/>
  <c r="K86" i="8"/>
  <c r="J86" i="8"/>
  <c r="I86" i="8"/>
  <c r="H86" i="8"/>
  <c r="G86" i="8"/>
  <c r="F86" i="8"/>
  <c r="E86" i="8"/>
  <c r="D86" i="8"/>
  <c r="C86" i="8"/>
  <c r="L83" i="8"/>
  <c r="K83" i="8"/>
  <c r="H82" i="8"/>
  <c r="G82" i="8"/>
  <c r="F82" i="8"/>
  <c r="E82" i="8"/>
  <c r="L79" i="8"/>
  <c r="K79" i="8"/>
  <c r="J79" i="8"/>
  <c r="I79" i="8"/>
  <c r="H79" i="8"/>
  <c r="G79" i="8"/>
  <c r="F79" i="8"/>
  <c r="E79" i="8"/>
  <c r="D79" i="8"/>
  <c r="C79" i="8"/>
  <c r="L78" i="8"/>
  <c r="K78" i="8"/>
  <c r="J78" i="8"/>
  <c r="I78" i="8"/>
  <c r="H78" i="8"/>
  <c r="G78" i="8"/>
  <c r="F78" i="8"/>
  <c r="E78" i="8"/>
  <c r="D78" i="8"/>
  <c r="C78" i="8"/>
  <c r="L51" i="8"/>
  <c r="L85" i="8" s="1"/>
  <c r="K51" i="8"/>
  <c r="K52" i="8" s="1"/>
  <c r="L50" i="8"/>
  <c r="K50" i="8"/>
  <c r="J50" i="8"/>
  <c r="I50" i="8"/>
  <c r="H50" i="8"/>
  <c r="G50" i="8"/>
  <c r="F50" i="8"/>
  <c r="E50" i="8"/>
  <c r="D50" i="8"/>
  <c r="C50" i="8"/>
  <c r="L38" i="8"/>
  <c r="K38" i="8"/>
  <c r="J38" i="8"/>
  <c r="J51" i="8" s="1"/>
  <c r="I38" i="8"/>
  <c r="I51" i="8" s="1"/>
  <c r="H38" i="8"/>
  <c r="H51" i="8" s="1"/>
  <c r="G38" i="8"/>
  <c r="G51" i="8" s="1"/>
  <c r="F38" i="8"/>
  <c r="F51" i="8" s="1"/>
  <c r="E38" i="8"/>
  <c r="E51" i="8" s="1"/>
  <c r="D38" i="8"/>
  <c r="D51" i="8" s="1"/>
  <c r="C38" i="8"/>
  <c r="C51" i="8" s="1"/>
  <c r="L29" i="8"/>
  <c r="L82" i="8" s="1"/>
  <c r="K29" i="8"/>
  <c r="K82" i="8" s="1"/>
  <c r="J29" i="8"/>
  <c r="J82" i="8" s="1"/>
  <c r="I29" i="8"/>
  <c r="I82" i="8" s="1"/>
  <c r="H29" i="8"/>
  <c r="G29" i="8"/>
  <c r="F29" i="8"/>
  <c r="E29" i="8"/>
  <c r="D29" i="8"/>
  <c r="D82" i="8" s="1"/>
  <c r="C29" i="8"/>
  <c r="C82" i="8" s="1"/>
  <c r="F21" i="8"/>
  <c r="E21" i="8"/>
  <c r="E80" i="8" s="1"/>
  <c r="D21" i="8"/>
  <c r="C21" i="8"/>
  <c r="L20" i="8"/>
  <c r="K20" i="8"/>
  <c r="J20" i="8"/>
  <c r="J83" i="8" s="1"/>
  <c r="I20" i="8"/>
  <c r="I83" i="8" s="1"/>
  <c r="H20" i="8"/>
  <c r="H83" i="8" s="1"/>
  <c r="G20" i="8"/>
  <c r="G83" i="8" s="1"/>
  <c r="F20" i="8"/>
  <c r="F83" i="8" s="1"/>
  <c r="E20" i="8"/>
  <c r="E83" i="8" s="1"/>
  <c r="D20" i="8"/>
  <c r="D83" i="8" s="1"/>
  <c r="C20" i="8"/>
  <c r="C83" i="8" s="1"/>
  <c r="L12" i="8"/>
  <c r="L21" i="8" s="1"/>
  <c r="K12" i="8"/>
  <c r="K21" i="8" s="1"/>
  <c r="J12" i="8"/>
  <c r="J21" i="8" s="1"/>
  <c r="I12" i="8"/>
  <c r="I21" i="8" s="1"/>
  <c r="H12" i="8"/>
  <c r="H21" i="8" s="1"/>
  <c r="G12" i="8"/>
  <c r="G21" i="8" s="1"/>
  <c r="F12" i="8"/>
  <c r="E12" i="8"/>
  <c r="D12" i="8"/>
  <c r="C12" i="8"/>
  <c r="C84" i="8" l="1"/>
  <c r="C52" i="8"/>
  <c r="C85" i="8"/>
  <c r="D85" i="8"/>
  <c r="D52" i="8"/>
  <c r="D84" i="8"/>
  <c r="C54" i="8"/>
  <c r="H80" i="8"/>
  <c r="H81" i="8"/>
  <c r="H54" i="8"/>
  <c r="F85" i="8"/>
  <c r="F84" i="8"/>
  <c r="F52" i="8"/>
  <c r="F54" i="8" s="1"/>
  <c r="J81" i="8"/>
  <c r="J80" i="8"/>
  <c r="J54" i="8"/>
  <c r="K54" i="8"/>
  <c r="K80" i="8"/>
  <c r="K81" i="8"/>
  <c r="J85" i="8"/>
  <c r="J84" i="8"/>
  <c r="J52" i="8"/>
  <c r="G81" i="8"/>
  <c r="G54" i="8"/>
  <c r="G80" i="8"/>
  <c r="E52" i="8"/>
  <c r="E54" i="8" s="1"/>
  <c r="E85" i="8"/>
  <c r="E84" i="8"/>
  <c r="D54" i="8"/>
  <c r="I54" i="8"/>
  <c r="I80" i="8"/>
  <c r="I81" i="8"/>
  <c r="G52" i="8"/>
  <c r="G84" i="8"/>
  <c r="G85" i="8"/>
  <c r="H85" i="8"/>
  <c r="H84" i="8"/>
  <c r="H52" i="8"/>
  <c r="I84" i="8"/>
  <c r="I52" i="8"/>
  <c r="I85" i="8"/>
  <c r="L81" i="8"/>
  <c r="L54" i="8"/>
  <c r="L80" i="8"/>
  <c r="D81" i="8"/>
  <c r="E81" i="8"/>
  <c r="K84" i="8"/>
  <c r="L52" i="8"/>
  <c r="D80" i="8"/>
  <c r="L84" i="8"/>
  <c r="F80" i="8"/>
  <c r="C81" i="8"/>
  <c r="K85" i="8"/>
  <c r="F81" i="8"/>
  <c r="C80" i="8"/>
  <c r="L80" i="7" l="1"/>
  <c r="K80" i="7"/>
  <c r="J80" i="7"/>
  <c r="I80" i="7"/>
  <c r="H80" i="7"/>
  <c r="G80" i="7"/>
  <c r="F80" i="7"/>
  <c r="E80" i="7"/>
  <c r="D80" i="7"/>
  <c r="C80" i="7"/>
  <c r="H77" i="7"/>
  <c r="G77" i="7"/>
  <c r="D76" i="7"/>
  <c r="C76" i="7"/>
  <c r="L75" i="7"/>
  <c r="K75" i="7"/>
  <c r="F74" i="7"/>
  <c r="E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J49" i="7"/>
  <c r="I49" i="7"/>
  <c r="H49" i="7"/>
  <c r="G49" i="7"/>
  <c r="L48" i="7"/>
  <c r="K48" i="7"/>
  <c r="J48" i="7"/>
  <c r="I48" i="7"/>
  <c r="H48" i="7"/>
  <c r="G48" i="7"/>
  <c r="F48" i="7"/>
  <c r="E48" i="7"/>
  <c r="D48" i="7"/>
  <c r="C48" i="7"/>
  <c r="L36" i="7"/>
  <c r="L49" i="7" s="1"/>
  <c r="K36" i="7"/>
  <c r="K49" i="7" s="1"/>
  <c r="J36" i="7"/>
  <c r="I36" i="7"/>
  <c r="H36" i="7"/>
  <c r="G36" i="7"/>
  <c r="F36" i="7"/>
  <c r="F49" i="7" s="1"/>
  <c r="E36" i="7"/>
  <c r="E49" i="7" s="1"/>
  <c r="D36" i="7"/>
  <c r="D49" i="7" s="1"/>
  <c r="C36" i="7"/>
  <c r="C49" i="7" s="1"/>
  <c r="L27" i="7"/>
  <c r="L76" i="7" s="1"/>
  <c r="K27" i="7"/>
  <c r="K76" i="7" s="1"/>
  <c r="J27" i="7"/>
  <c r="J76" i="7" s="1"/>
  <c r="I27" i="7"/>
  <c r="I76" i="7" s="1"/>
  <c r="H27" i="7"/>
  <c r="H76" i="7" s="1"/>
  <c r="G27" i="7"/>
  <c r="G76" i="7" s="1"/>
  <c r="F27" i="7"/>
  <c r="F76" i="7" s="1"/>
  <c r="E27" i="7"/>
  <c r="E76" i="7" s="1"/>
  <c r="D27" i="7"/>
  <c r="C27" i="7"/>
  <c r="L19" i="7"/>
  <c r="L77" i="7" s="1"/>
  <c r="K19" i="7"/>
  <c r="K77" i="7" s="1"/>
  <c r="J19" i="7"/>
  <c r="J77" i="7" s="1"/>
  <c r="I19" i="7"/>
  <c r="I77" i="7" s="1"/>
  <c r="H19" i="7"/>
  <c r="G19" i="7"/>
  <c r="F19" i="7"/>
  <c r="F77" i="7" s="1"/>
  <c r="E19" i="7"/>
  <c r="E77" i="7" s="1"/>
  <c r="D19" i="7"/>
  <c r="D77" i="7" s="1"/>
  <c r="C19" i="7"/>
  <c r="C77" i="7" s="1"/>
  <c r="L10" i="7"/>
  <c r="L20" i="7" s="1"/>
  <c r="K10" i="7"/>
  <c r="K20" i="7" s="1"/>
  <c r="J10" i="7"/>
  <c r="I10" i="7"/>
  <c r="H10" i="7"/>
  <c r="H20" i="7" s="1"/>
  <c r="G10" i="7"/>
  <c r="G20" i="7" s="1"/>
  <c r="F10" i="7"/>
  <c r="F20" i="7" s="1"/>
  <c r="E10" i="7"/>
  <c r="E20" i="7" s="1"/>
  <c r="D10" i="7"/>
  <c r="D20" i="7" s="1"/>
  <c r="C10" i="7"/>
  <c r="C20" i="7" s="1"/>
  <c r="C78" i="7" l="1"/>
  <c r="C50" i="7"/>
  <c r="D78" i="7"/>
  <c r="D50" i="7"/>
  <c r="D79" i="7"/>
  <c r="C74" i="7"/>
  <c r="C75" i="7"/>
  <c r="E78" i="7"/>
  <c r="E50" i="7"/>
  <c r="E79" i="7"/>
  <c r="D74" i="7"/>
  <c r="D75" i="7"/>
  <c r="F78" i="7"/>
  <c r="F50" i="7"/>
  <c r="F52" i="7" s="1"/>
  <c r="F79" i="7"/>
  <c r="E75" i="7"/>
  <c r="E52" i="7"/>
  <c r="G78" i="7"/>
  <c r="G50" i="7"/>
  <c r="G79" i="7"/>
  <c r="F75" i="7"/>
  <c r="H78" i="7"/>
  <c r="H50" i="7"/>
  <c r="H79" i="7"/>
  <c r="G75" i="7"/>
  <c r="G52" i="7"/>
  <c r="G74" i="7"/>
  <c r="I78" i="7"/>
  <c r="C79" i="7"/>
  <c r="H75" i="7"/>
  <c r="H52" i="7"/>
  <c r="H74" i="7"/>
  <c r="I20" i="7"/>
  <c r="K78" i="7"/>
  <c r="K50" i="7"/>
  <c r="K79" i="7"/>
  <c r="C52" i="7"/>
  <c r="J20" i="7"/>
  <c r="L78" i="7"/>
  <c r="L50" i="7"/>
  <c r="L79" i="7"/>
  <c r="D52" i="7"/>
  <c r="K52" i="7"/>
  <c r="K74" i="7"/>
  <c r="L52" i="7"/>
  <c r="L74" i="7"/>
  <c r="I79" i="7"/>
  <c r="J79" i="7"/>
  <c r="I50" i="7"/>
  <c r="J50" i="7"/>
  <c r="J75" i="7" l="1"/>
  <c r="J52" i="7"/>
  <c r="J74" i="7"/>
  <c r="I75" i="7"/>
  <c r="I52" i="7"/>
  <c r="I74" i="7"/>
  <c r="J78" i="7"/>
  <c r="H89" i="6" l="1"/>
  <c r="G89" i="6"/>
  <c r="F89" i="6"/>
  <c r="E89" i="6"/>
  <c r="D89" i="6"/>
  <c r="C89" i="6"/>
  <c r="H85" i="6"/>
  <c r="G85" i="6"/>
  <c r="F85" i="6"/>
  <c r="E85" i="6"/>
  <c r="D85" i="6"/>
  <c r="C85" i="6"/>
  <c r="H84" i="6"/>
  <c r="G84" i="6"/>
  <c r="H82" i="6"/>
  <c r="G82" i="6"/>
  <c r="F82" i="6"/>
  <c r="E82" i="6"/>
  <c r="D82" i="6"/>
  <c r="C82" i="6"/>
  <c r="H81" i="6"/>
  <c r="G81" i="6"/>
  <c r="F81" i="6"/>
  <c r="E81" i="6"/>
  <c r="D81" i="6"/>
  <c r="C81" i="6"/>
  <c r="H50" i="6"/>
  <c r="H86" i="6" s="1"/>
  <c r="G50" i="6"/>
  <c r="G86" i="6" s="1"/>
  <c r="F50" i="6"/>
  <c r="F86" i="6" s="1"/>
  <c r="E50" i="6"/>
  <c r="E86" i="6" s="1"/>
  <c r="D50" i="6"/>
  <c r="D86" i="6" s="1"/>
  <c r="C50" i="6"/>
  <c r="C86" i="6" s="1"/>
  <c r="H38" i="6"/>
  <c r="H51" i="6" s="1"/>
  <c r="G38" i="6"/>
  <c r="G51" i="6" s="1"/>
  <c r="F38" i="6"/>
  <c r="E38" i="6"/>
  <c r="D38" i="6"/>
  <c r="C38" i="6"/>
  <c r="H27" i="6"/>
  <c r="G27" i="6"/>
  <c r="F27" i="6"/>
  <c r="E27" i="6"/>
  <c r="D27" i="6"/>
  <c r="C27" i="6"/>
  <c r="H20" i="6"/>
  <c r="H83" i="6" s="1"/>
  <c r="G20" i="6"/>
  <c r="G83" i="6" s="1"/>
  <c r="F20" i="6"/>
  <c r="F84" i="6" s="1"/>
  <c r="E20" i="6"/>
  <c r="E84" i="6" s="1"/>
  <c r="D20" i="6"/>
  <c r="D84" i="6" s="1"/>
  <c r="C20" i="6"/>
  <c r="C84" i="6" s="1"/>
  <c r="H19" i="6"/>
  <c r="G19" i="6"/>
  <c r="F19" i="6"/>
  <c r="E19" i="6"/>
  <c r="D19" i="6"/>
  <c r="C19" i="6"/>
  <c r="H10" i="6"/>
  <c r="G10" i="6"/>
  <c r="F10" i="6"/>
  <c r="E10" i="6"/>
  <c r="D10" i="6"/>
  <c r="C10" i="6"/>
  <c r="G88" i="6" l="1"/>
  <c r="G87" i="6"/>
  <c r="G52" i="6"/>
  <c r="H88" i="6"/>
  <c r="H87" i="6"/>
  <c r="H52" i="6"/>
  <c r="H54" i="6" s="1"/>
  <c r="C83" i="6"/>
  <c r="D83" i="6"/>
  <c r="C51" i="6"/>
  <c r="G54" i="6"/>
  <c r="E83" i="6"/>
  <c r="D51" i="6"/>
  <c r="F83" i="6"/>
  <c r="E51" i="6"/>
  <c r="F51" i="6"/>
  <c r="D87" i="6" l="1"/>
  <c r="D52" i="6"/>
  <c r="D54" i="6" s="1"/>
  <c r="D88" i="6"/>
  <c r="C87" i="6"/>
  <c r="C52" i="6"/>
  <c r="C54" i="6" s="1"/>
  <c r="C88" i="6"/>
  <c r="F88" i="6"/>
  <c r="F87" i="6"/>
  <c r="F52" i="6"/>
  <c r="F54" i="6" s="1"/>
  <c r="E88" i="6"/>
  <c r="E87" i="6"/>
  <c r="E52" i="6"/>
  <c r="E54" i="6" s="1"/>
  <c r="K88" i="5" l="1"/>
  <c r="J88" i="5"/>
  <c r="I88" i="5"/>
  <c r="H88" i="5"/>
  <c r="G88" i="5"/>
  <c r="F88" i="5"/>
  <c r="E88" i="5"/>
  <c r="D88" i="5"/>
  <c r="C88" i="5"/>
  <c r="G85" i="5"/>
  <c r="C85" i="5"/>
  <c r="E84" i="5"/>
  <c r="D84" i="5"/>
  <c r="C84" i="5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50" i="5"/>
  <c r="K51" i="5" s="1"/>
  <c r="J50" i="5"/>
  <c r="J85" i="5" s="1"/>
  <c r="I50" i="5"/>
  <c r="I85" i="5" s="1"/>
  <c r="H50" i="5"/>
  <c r="H85" i="5" s="1"/>
  <c r="G50" i="5"/>
  <c r="F50" i="5"/>
  <c r="F85" i="5" s="1"/>
  <c r="E50" i="5"/>
  <c r="E85" i="5" s="1"/>
  <c r="D50" i="5"/>
  <c r="D85" i="5" s="1"/>
  <c r="C50" i="5"/>
  <c r="K41" i="5"/>
  <c r="J41" i="5"/>
  <c r="J51" i="5" s="1"/>
  <c r="I41" i="5"/>
  <c r="I51" i="5" s="1"/>
  <c r="H41" i="5"/>
  <c r="H51" i="5" s="1"/>
  <c r="G41" i="5"/>
  <c r="G51" i="5" s="1"/>
  <c r="F41" i="5"/>
  <c r="F51" i="5" s="1"/>
  <c r="E41" i="5"/>
  <c r="E51" i="5" s="1"/>
  <c r="D41" i="5"/>
  <c r="D51" i="5" s="1"/>
  <c r="C41" i="5"/>
  <c r="C51" i="5" s="1"/>
  <c r="K34" i="5"/>
  <c r="K84" i="5" s="1"/>
  <c r="J34" i="5"/>
  <c r="J84" i="5" s="1"/>
  <c r="I34" i="5"/>
  <c r="I84" i="5" s="1"/>
  <c r="H34" i="5"/>
  <c r="H84" i="5" s="1"/>
  <c r="G34" i="5"/>
  <c r="G84" i="5" s="1"/>
  <c r="F34" i="5"/>
  <c r="F84" i="5" s="1"/>
  <c r="E34" i="5"/>
  <c r="D34" i="5"/>
  <c r="C34" i="5"/>
  <c r="F26" i="5"/>
  <c r="F83" i="5" s="1"/>
  <c r="E26" i="5"/>
  <c r="E83" i="5" s="1"/>
  <c r="D26" i="5"/>
  <c r="D82" i="5" s="1"/>
  <c r="C26" i="5"/>
  <c r="C82" i="5" s="1"/>
  <c r="K25" i="5"/>
  <c r="J25" i="5"/>
  <c r="I25" i="5"/>
  <c r="H25" i="5"/>
  <c r="G25" i="5"/>
  <c r="F25" i="5"/>
  <c r="E25" i="5"/>
  <c r="D25" i="5"/>
  <c r="C25" i="5"/>
  <c r="I20" i="5"/>
  <c r="H20" i="5"/>
  <c r="K16" i="5"/>
  <c r="K26" i="5" s="1"/>
  <c r="J16" i="5"/>
  <c r="J26" i="5" s="1"/>
  <c r="I16" i="5"/>
  <c r="I26" i="5" s="1"/>
  <c r="H16" i="5"/>
  <c r="H26" i="5" s="1"/>
  <c r="G16" i="5"/>
  <c r="G26" i="5" s="1"/>
  <c r="F16" i="5"/>
  <c r="E16" i="5"/>
  <c r="D16" i="5"/>
  <c r="C16" i="5"/>
  <c r="F52" i="5" l="1"/>
  <c r="F86" i="5"/>
  <c r="F87" i="5"/>
  <c r="E52" i="5"/>
  <c r="E86" i="5"/>
  <c r="E87" i="5"/>
  <c r="G86" i="5"/>
  <c r="G87" i="5"/>
  <c r="G52" i="5"/>
  <c r="I54" i="5"/>
  <c r="I83" i="5"/>
  <c r="I82" i="5"/>
  <c r="H52" i="5"/>
  <c r="H86" i="5"/>
  <c r="H87" i="5"/>
  <c r="I86" i="5"/>
  <c r="I87" i="5"/>
  <c r="I52" i="5"/>
  <c r="J86" i="5"/>
  <c r="J87" i="5"/>
  <c r="J52" i="5"/>
  <c r="C87" i="5"/>
  <c r="C52" i="5"/>
  <c r="C86" i="5"/>
  <c r="G83" i="5"/>
  <c r="G54" i="5"/>
  <c r="G82" i="5"/>
  <c r="H83" i="5"/>
  <c r="H54" i="5"/>
  <c r="H82" i="5"/>
  <c r="J54" i="5"/>
  <c r="J82" i="5"/>
  <c r="J83" i="5"/>
  <c r="K82" i="5"/>
  <c r="K83" i="5"/>
  <c r="D87" i="5"/>
  <c r="D52" i="5"/>
  <c r="D54" i="5" s="1"/>
  <c r="D86" i="5"/>
  <c r="K86" i="5"/>
  <c r="K87" i="5"/>
  <c r="K52" i="5"/>
  <c r="K54" i="5" s="1"/>
  <c r="E82" i="5"/>
  <c r="K85" i="5"/>
  <c r="C54" i="5"/>
  <c r="E54" i="5"/>
  <c r="F54" i="5"/>
  <c r="C83" i="5"/>
  <c r="F82" i="5"/>
  <c r="D83" i="5"/>
  <c r="L85" i="4" l="1"/>
  <c r="K85" i="4"/>
  <c r="J85" i="4"/>
  <c r="I85" i="4"/>
  <c r="H85" i="4"/>
  <c r="G85" i="4"/>
  <c r="F85" i="4"/>
  <c r="E85" i="4"/>
  <c r="D85" i="4"/>
  <c r="C85" i="4"/>
  <c r="K82" i="4"/>
  <c r="K81" i="4"/>
  <c r="J81" i="4"/>
  <c r="I81" i="4"/>
  <c r="H81" i="4"/>
  <c r="G81" i="4"/>
  <c r="F81" i="4"/>
  <c r="E81" i="4"/>
  <c r="I79" i="4"/>
  <c r="L78" i="4"/>
  <c r="K78" i="4"/>
  <c r="J78" i="4"/>
  <c r="I78" i="4"/>
  <c r="H78" i="4"/>
  <c r="G78" i="4"/>
  <c r="F78" i="4"/>
  <c r="E78" i="4"/>
  <c r="D78" i="4"/>
  <c r="C78" i="4"/>
  <c r="L77" i="4"/>
  <c r="K77" i="4"/>
  <c r="J77" i="4"/>
  <c r="I77" i="4"/>
  <c r="H77" i="4"/>
  <c r="G77" i="4"/>
  <c r="F77" i="4"/>
  <c r="E77" i="4"/>
  <c r="D77" i="4"/>
  <c r="C77" i="4"/>
  <c r="L52" i="4"/>
  <c r="K52" i="4"/>
  <c r="L51" i="4"/>
  <c r="K51" i="4"/>
  <c r="J51" i="4"/>
  <c r="I51" i="4"/>
  <c r="H51" i="4"/>
  <c r="G51" i="4"/>
  <c r="F51" i="4"/>
  <c r="E51" i="4"/>
  <c r="D51" i="4"/>
  <c r="C51" i="4"/>
  <c r="L43" i="4"/>
  <c r="K43" i="4"/>
  <c r="J43" i="4"/>
  <c r="L36" i="4"/>
  <c r="K36" i="4"/>
  <c r="J36" i="4"/>
  <c r="J52" i="4" s="1"/>
  <c r="I36" i="4"/>
  <c r="I52" i="4" s="1"/>
  <c r="H36" i="4"/>
  <c r="H52" i="4" s="1"/>
  <c r="G36" i="4"/>
  <c r="G52" i="4" s="1"/>
  <c r="G84" i="4" s="1"/>
  <c r="F36" i="4"/>
  <c r="F52" i="4" s="1"/>
  <c r="E36" i="4"/>
  <c r="D36" i="4"/>
  <c r="D52" i="4" s="1"/>
  <c r="C36" i="4"/>
  <c r="C52" i="4" s="1"/>
  <c r="L30" i="4"/>
  <c r="L81" i="4" s="1"/>
  <c r="K30" i="4"/>
  <c r="J30" i="4"/>
  <c r="I30" i="4"/>
  <c r="H30" i="4"/>
  <c r="G30" i="4"/>
  <c r="F30" i="4"/>
  <c r="E30" i="4"/>
  <c r="D30" i="4"/>
  <c r="D81" i="4" s="1"/>
  <c r="C30" i="4"/>
  <c r="C81" i="4" s="1"/>
  <c r="I23" i="4"/>
  <c r="I80" i="4" s="1"/>
  <c r="H23" i="4"/>
  <c r="H79" i="4" s="1"/>
  <c r="G23" i="4"/>
  <c r="F23" i="4"/>
  <c r="I22" i="4"/>
  <c r="I82" i="4" s="1"/>
  <c r="H22" i="4"/>
  <c r="H82" i="4" s="1"/>
  <c r="G22" i="4"/>
  <c r="G82" i="4" s="1"/>
  <c r="F22" i="4"/>
  <c r="F82" i="4" s="1"/>
  <c r="E22" i="4"/>
  <c r="E82" i="4" s="1"/>
  <c r="D22" i="4"/>
  <c r="D82" i="4" s="1"/>
  <c r="C22" i="4"/>
  <c r="C82" i="4" s="1"/>
  <c r="L20" i="4"/>
  <c r="L22" i="4" s="1"/>
  <c r="K20" i="4"/>
  <c r="K22" i="4" s="1"/>
  <c r="K23" i="4" s="1"/>
  <c r="J20" i="4"/>
  <c r="J22" i="4" s="1"/>
  <c r="L10" i="4"/>
  <c r="K10" i="4"/>
  <c r="J10" i="4"/>
  <c r="I10" i="4"/>
  <c r="H10" i="4"/>
  <c r="G10" i="4"/>
  <c r="F10" i="4"/>
  <c r="E10" i="4"/>
  <c r="E23" i="4" s="1"/>
  <c r="D10" i="4"/>
  <c r="D23" i="4" s="1"/>
  <c r="C10" i="4"/>
  <c r="C23" i="4" s="1"/>
  <c r="F84" i="4" l="1"/>
  <c r="F83" i="4"/>
  <c r="F53" i="4"/>
  <c r="H83" i="4"/>
  <c r="H53" i="4"/>
  <c r="H55" i="4" s="1"/>
  <c r="H84" i="4"/>
  <c r="L23" i="4"/>
  <c r="L82" i="4"/>
  <c r="D84" i="4"/>
  <c r="D83" i="4"/>
  <c r="D53" i="4"/>
  <c r="D55" i="4" s="1"/>
  <c r="G79" i="4"/>
  <c r="G80" i="4"/>
  <c r="G83" i="4"/>
  <c r="G53" i="4"/>
  <c r="G55" i="4" s="1"/>
  <c r="I83" i="4"/>
  <c r="I53" i="4"/>
  <c r="I55" i="4" s="1"/>
  <c r="I84" i="4"/>
  <c r="J53" i="4"/>
  <c r="J84" i="4"/>
  <c r="K83" i="4"/>
  <c r="K53" i="4"/>
  <c r="K84" i="4"/>
  <c r="J82" i="4"/>
  <c r="J23" i="4"/>
  <c r="J83" i="4" s="1"/>
  <c r="L83" i="4"/>
  <c r="L53" i="4"/>
  <c r="L84" i="4"/>
  <c r="K80" i="4"/>
  <c r="K55" i="4"/>
  <c r="K79" i="4"/>
  <c r="C79" i="4"/>
  <c r="C80" i="4"/>
  <c r="D79" i="4"/>
  <c r="D80" i="4"/>
  <c r="E79" i="4"/>
  <c r="E80" i="4"/>
  <c r="C84" i="4"/>
  <c r="C83" i="4"/>
  <c r="C53" i="4"/>
  <c r="C55" i="4" s="1"/>
  <c r="F55" i="4"/>
  <c r="F79" i="4"/>
  <c r="F80" i="4"/>
  <c r="E52" i="4"/>
  <c r="H80" i="4"/>
  <c r="L80" i="4" l="1"/>
  <c r="L55" i="4"/>
  <c r="L79" i="4"/>
  <c r="J80" i="4"/>
  <c r="J55" i="4"/>
  <c r="J79" i="4"/>
  <c r="E84" i="4"/>
  <c r="E83" i="4"/>
  <c r="E53" i="4"/>
  <c r="E55" i="4" s="1"/>
  <c r="K80" i="3" l="1"/>
  <c r="J80" i="3"/>
  <c r="I80" i="3"/>
  <c r="H80" i="3"/>
  <c r="G80" i="3"/>
  <c r="F80" i="3"/>
  <c r="E80" i="3"/>
  <c r="D80" i="3"/>
  <c r="C80" i="3"/>
  <c r="G77" i="3"/>
  <c r="I76" i="3"/>
  <c r="H76" i="3"/>
  <c r="G76" i="3"/>
  <c r="F76" i="3"/>
  <c r="E76" i="3"/>
  <c r="D76" i="3"/>
  <c r="C76" i="3"/>
  <c r="K73" i="3"/>
  <c r="J73" i="3"/>
  <c r="I73" i="3"/>
  <c r="H73" i="3"/>
  <c r="G73" i="3"/>
  <c r="F73" i="3"/>
  <c r="E73" i="3"/>
  <c r="D73" i="3"/>
  <c r="C73" i="3"/>
  <c r="K72" i="3"/>
  <c r="J72" i="3"/>
  <c r="I72" i="3"/>
  <c r="H72" i="3"/>
  <c r="G72" i="3"/>
  <c r="F72" i="3"/>
  <c r="E72" i="3"/>
  <c r="D72" i="3"/>
  <c r="C72" i="3"/>
  <c r="K45" i="3"/>
  <c r="K77" i="3" s="1"/>
  <c r="J45" i="3"/>
  <c r="J77" i="3" s="1"/>
  <c r="I45" i="3"/>
  <c r="I77" i="3" s="1"/>
  <c r="H45" i="3"/>
  <c r="H77" i="3" s="1"/>
  <c r="G45" i="3"/>
  <c r="F45" i="3"/>
  <c r="E45" i="3"/>
  <c r="D45" i="3"/>
  <c r="C45" i="3"/>
  <c r="K31" i="3"/>
  <c r="K46" i="3" s="1"/>
  <c r="J31" i="3"/>
  <c r="J46" i="3" s="1"/>
  <c r="I31" i="3"/>
  <c r="I46" i="3" s="1"/>
  <c r="H31" i="3"/>
  <c r="H46" i="3" s="1"/>
  <c r="G31" i="3"/>
  <c r="G46" i="3" s="1"/>
  <c r="F31" i="3"/>
  <c r="F46" i="3" s="1"/>
  <c r="E31" i="3"/>
  <c r="E46" i="3" s="1"/>
  <c r="D31" i="3"/>
  <c r="D46" i="3" s="1"/>
  <c r="C31" i="3"/>
  <c r="C46" i="3" s="1"/>
  <c r="K21" i="3"/>
  <c r="K76" i="3" s="1"/>
  <c r="J21" i="3"/>
  <c r="J76" i="3" s="1"/>
  <c r="I21" i="3"/>
  <c r="H21" i="3"/>
  <c r="G21" i="3"/>
  <c r="F21" i="3"/>
  <c r="E21" i="3"/>
  <c r="D21" i="3"/>
  <c r="C21" i="3"/>
  <c r="D14" i="3"/>
  <c r="D75" i="3" s="1"/>
  <c r="C14" i="3"/>
  <c r="C75" i="3" s="1"/>
  <c r="K13" i="3"/>
  <c r="J13" i="3"/>
  <c r="I13" i="3"/>
  <c r="H13" i="3"/>
  <c r="G13" i="3"/>
  <c r="F13" i="3"/>
  <c r="F77" i="3" s="1"/>
  <c r="E13" i="3"/>
  <c r="E77" i="3" s="1"/>
  <c r="D13" i="3"/>
  <c r="D77" i="3" s="1"/>
  <c r="C13" i="3"/>
  <c r="C77" i="3" s="1"/>
  <c r="K6" i="3"/>
  <c r="K14" i="3" s="1"/>
  <c r="J6" i="3"/>
  <c r="J14" i="3" s="1"/>
  <c r="I6" i="3"/>
  <c r="I14" i="3" s="1"/>
  <c r="H6" i="3"/>
  <c r="H14" i="3" s="1"/>
  <c r="G6" i="3"/>
  <c r="G14" i="3" s="1"/>
  <c r="F6" i="3"/>
  <c r="F14" i="3" s="1"/>
  <c r="E6" i="3"/>
  <c r="E14" i="3" s="1"/>
  <c r="D6" i="3"/>
  <c r="C6" i="3"/>
  <c r="E75" i="3" l="1"/>
  <c r="E74" i="3"/>
  <c r="H78" i="3"/>
  <c r="H79" i="3"/>
  <c r="H47" i="3"/>
  <c r="H49" i="3" s="1"/>
  <c r="F75" i="3"/>
  <c r="F74" i="3"/>
  <c r="I78" i="3"/>
  <c r="I79" i="3"/>
  <c r="I47" i="3"/>
  <c r="I49" i="3" s="1"/>
  <c r="G75" i="3"/>
  <c r="G74" i="3"/>
  <c r="J78" i="3"/>
  <c r="J79" i="3"/>
  <c r="J47" i="3"/>
  <c r="H75" i="3"/>
  <c r="H74" i="3"/>
  <c r="K78" i="3"/>
  <c r="K79" i="3"/>
  <c r="K47" i="3"/>
  <c r="I74" i="3"/>
  <c r="I75" i="3"/>
  <c r="J49" i="3"/>
  <c r="J74" i="3"/>
  <c r="J75" i="3"/>
  <c r="K49" i="3"/>
  <c r="K74" i="3"/>
  <c r="K75" i="3"/>
  <c r="C79" i="3"/>
  <c r="C47" i="3"/>
  <c r="C78" i="3"/>
  <c r="D79" i="3"/>
  <c r="D47" i="3"/>
  <c r="D49" i="3" s="1"/>
  <c r="D78" i="3"/>
  <c r="E47" i="3"/>
  <c r="E49" i="3" s="1"/>
  <c r="E78" i="3"/>
  <c r="E79" i="3"/>
  <c r="F78" i="3"/>
  <c r="F79" i="3"/>
  <c r="F47" i="3"/>
  <c r="F49" i="3" s="1"/>
  <c r="G78" i="3"/>
  <c r="G79" i="3"/>
  <c r="G47" i="3"/>
  <c r="G49" i="3" s="1"/>
  <c r="C74" i="3"/>
  <c r="D74" i="3"/>
  <c r="C49" i="3"/>
  <c r="L83" i="2" l="1"/>
  <c r="K83" i="2"/>
  <c r="J83" i="2"/>
  <c r="I83" i="2"/>
  <c r="H83" i="2"/>
  <c r="G83" i="2"/>
  <c r="F83" i="2"/>
  <c r="E83" i="2"/>
  <c r="D83" i="2"/>
  <c r="C83" i="2"/>
  <c r="J80" i="2"/>
  <c r="I80" i="2"/>
  <c r="H80" i="2"/>
  <c r="F79" i="2"/>
  <c r="E79" i="2"/>
  <c r="D79" i="2"/>
  <c r="C79" i="2"/>
  <c r="L76" i="2"/>
  <c r="K76" i="2"/>
  <c r="J76" i="2"/>
  <c r="I76" i="2"/>
  <c r="H76" i="2"/>
  <c r="G76" i="2"/>
  <c r="F76" i="2"/>
  <c r="E76" i="2"/>
  <c r="D76" i="2"/>
  <c r="C76" i="2"/>
  <c r="L75" i="2"/>
  <c r="K75" i="2"/>
  <c r="J75" i="2"/>
  <c r="I75" i="2"/>
  <c r="H75" i="2"/>
  <c r="G75" i="2"/>
  <c r="F75" i="2"/>
  <c r="E75" i="2"/>
  <c r="D75" i="2"/>
  <c r="C75" i="2"/>
  <c r="K49" i="2"/>
  <c r="K50" i="2" s="1"/>
  <c r="J49" i="2"/>
  <c r="J50" i="2" s="1"/>
  <c r="I49" i="2"/>
  <c r="I50" i="2" s="1"/>
  <c r="H49" i="2"/>
  <c r="K48" i="2"/>
  <c r="J48" i="2"/>
  <c r="I48" i="2"/>
  <c r="H48" i="2"/>
  <c r="G48" i="2"/>
  <c r="F48" i="2"/>
  <c r="E48" i="2"/>
  <c r="D48" i="2"/>
  <c r="C48" i="2"/>
  <c r="L42" i="2"/>
  <c r="L48" i="2" s="1"/>
  <c r="L49" i="2" s="1"/>
  <c r="L39" i="2"/>
  <c r="K39" i="2"/>
  <c r="J39" i="2"/>
  <c r="I39" i="2"/>
  <c r="H39" i="2"/>
  <c r="G39" i="2"/>
  <c r="G49" i="2" s="1"/>
  <c r="F39" i="2"/>
  <c r="F49" i="2" s="1"/>
  <c r="E39" i="2"/>
  <c r="E49" i="2" s="1"/>
  <c r="D39" i="2"/>
  <c r="D49" i="2" s="1"/>
  <c r="C39" i="2"/>
  <c r="C49" i="2" s="1"/>
  <c r="L32" i="2"/>
  <c r="L79" i="2" s="1"/>
  <c r="K32" i="2"/>
  <c r="K79" i="2" s="1"/>
  <c r="J32" i="2"/>
  <c r="J79" i="2" s="1"/>
  <c r="I32" i="2"/>
  <c r="I79" i="2" s="1"/>
  <c r="H32" i="2"/>
  <c r="H79" i="2" s="1"/>
  <c r="G32" i="2"/>
  <c r="G79" i="2" s="1"/>
  <c r="F32" i="2"/>
  <c r="E32" i="2"/>
  <c r="D32" i="2"/>
  <c r="C32" i="2"/>
  <c r="E24" i="2"/>
  <c r="E77" i="2" s="1"/>
  <c r="D24" i="2"/>
  <c r="D77" i="2" s="1"/>
  <c r="C24" i="2"/>
  <c r="L23" i="2"/>
  <c r="L80" i="2" s="1"/>
  <c r="K23" i="2"/>
  <c r="K80" i="2" s="1"/>
  <c r="J23" i="2"/>
  <c r="I23" i="2"/>
  <c r="H23" i="2"/>
  <c r="G23" i="2"/>
  <c r="G80" i="2" s="1"/>
  <c r="F23" i="2"/>
  <c r="F80" i="2" s="1"/>
  <c r="E23" i="2"/>
  <c r="E80" i="2" s="1"/>
  <c r="D23" i="2"/>
  <c r="D80" i="2" s="1"/>
  <c r="C23" i="2"/>
  <c r="C80" i="2" s="1"/>
  <c r="L20" i="2"/>
  <c r="L15" i="2"/>
  <c r="L24" i="2" s="1"/>
  <c r="K15" i="2"/>
  <c r="J15" i="2"/>
  <c r="J24" i="2" s="1"/>
  <c r="I15" i="2"/>
  <c r="I24" i="2" s="1"/>
  <c r="H15" i="2"/>
  <c r="H24" i="2" s="1"/>
  <c r="G15" i="2"/>
  <c r="G24" i="2" s="1"/>
  <c r="F15" i="2"/>
  <c r="F24" i="2" s="1"/>
  <c r="E15" i="2"/>
  <c r="D15" i="2"/>
  <c r="C15" i="2"/>
  <c r="L3" i="2"/>
  <c r="F78" i="2" l="1"/>
  <c r="D50" i="2"/>
  <c r="D82" i="2"/>
  <c r="G78" i="2"/>
  <c r="G52" i="2"/>
  <c r="G77" i="2"/>
  <c r="E50" i="2"/>
  <c r="E82" i="2"/>
  <c r="H78" i="2"/>
  <c r="H77" i="2"/>
  <c r="H50" i="2"/>
  <c r="H82" i="2"/>
  <c r="J78" i="2"/>
  <c r="J52" i="2"/>
  <c r="J77" i="2"/>
  <c r="L77" i="2"/>
  <c r="L78" i="2"/>
  <c r="L50" i="2"/>
  <c r="L82" i="2"/>
  <c r="C82" i="2"/>
  <c r="C50" i="2"/>
  <c r="C52" i="2"/>
  <c r="F50" i="2"/>
  <c r="F82" i="2"/>
  <c r="I78" i="2"/>
  <c r="I52" i="2"/>
  <c r="I77" i="2"/>
  <c r="G50" i="2"/>
  <c r="G82" i="2"/>
  <c r="K24" i="2"/>
  <c r="F77" i="2"/>
  <c r="I82" i="2"/>
  <c r="J82" i="2"/>
  <c r="C78" i="2"/>
  <c r="K82" i="2"/>
  <c r="D78" i="2"/>
  <c r="E78" i="2"/>
  <c r="C77" i="2"/>
  <c r="D52" i="2" l="1"/>
  <c r="E52" i="2"/>
  <c r="L52" i="2"/>
  <c r="H52" i="2"/>
  <c r="K78" i="2"/>
  <c r="K52" i="2"/>
  <c r="K77" i="2"/>
  <c r="F52" i="2"/>
  <c r="D105" i="1" l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9" i="1"/>
  <c r="E109" i="1"/>
  <c r="F109" i="1"/>
  <c r="G109" i="1"/>
  <c r="K109" i="1"/>
  <c r="L109" i="1"/>
  <c r="M109" i="1"/>
  <c r="N109" i="1"/>
  <c r="O109" i="1"/>
  <c r="G110" i="1"/>
  <c r="H110" i="1"/>
  <c r="D54" i="1"/>
  <c r="D112" i="1" s="1"/>
  <c r="E54" i="1"/>
  <c r="E112" i="1" s="1"/>
  <c r="C54" i="1"/>
  <c r="C106" i="1"/>
  <c r="C105" i="1"/>
  <c r="M21" i="1"/>
  <c r="M23" i="1" s="1"/>
  <c r="M110" i="1" s="1"/>
  <c r="L21" i="1"/>
  <c r="L23" i="1" s="1"/>
  <c r="L110" i="1" s="1"/>
  <c r="K21" i="1"/>
  <c r="K23" i="1" s="1"/>
  <c r="K110" i="1" s="1"/>
  <c r="J21" i="1"/>
  <c r="J23" i="1" s="1"/>
  <c r="O35" i="1"/>
  <c r="N35" i="1"/>
  <c r="M35" i="1"/>
  <c r="O23" i="1"/>
  <c r="O110" i="1" s="1"/>
  <c r="N23" i="1"/>
  <c r="N110" i="1" s="1"/>
  <c r="O15" i="1"/>
  <c r="N15" i="1"/>
  <c r="M15" i="1"/>
  <c r="O53" i="1"/>
  <c r="O54" i="1" s="1"/>
  <c r="N53" i="1"/>
  <c r="N54" i="1" s="1"/>
  <c r="M53" i="1"/>
  <c r="L53" i="1"/>
  <c r="K53" i="1"/>
  <c r="J53" i="1"/>
  <c r="J110" i="1" s="1"/>
  <c r="I53" i="1"/>
  <c r="I110" i="1" s="1"/>
  <c r="H53" i="1"/>
  <c r="G53" i="1"/>
  <c r="F53" i="1"/>
  <c r="C53" i="1"/>
  <c r="D53" i="1"/>
  <c r="E53" i="1"/>
  <c r="O44" i="1"/>
  <c r="N44" i="1"/>
  <c r="M44" i="1"/>
  <c r="M54" i="1" s="1"/>
  <c r="L44" i="1"/>
  <c r="L54" i="1" s="1"/>
  <c r="K44" i="1"/>
  <c r="K54" i="1" s="1"/>
  <c r="J44" i="1"/>
  <c r="J54" i="1" s="1"/>
  <c r="I44" i="1"/>
  <c r="I54" i="1" s="1"/>
  <c r="H44" i="1"/>
  <c r="H54" i="1" s="1"/>
  <c r="G44" i="1"/>
  <c r="G54" i="1" s="1"/>
  <c r="F44" i="1"/>
  <c r="F54" i="1" s="1"/>
  <c r="L35" i="1"/>
  <c r="K35" i="1"/>
  <c r="J35" i="1"/>
  <c r="J109" i="1" s="1"/>
  <c r="I35" i="1"/>
  <c r="I109" i="1" s="1"/>
  <c r="H35" i="1"/>
  <c r="H109" i="1" s="1"/>
  <c r="G35" i="1"/>
  <c r="F35" i="1"/>
  <c r="I23" i="1"/>
  <c r="H23" i="1"/>
  <c r="G23" i="1"/>
  <c r="F23" i="1"/>
  <c r="F110" i="1" s="1"/>
  <c r="E23" i="1"/>
  <c r="E110" i="1" s="1"/>
  <c r="D23" i="1"/>
  <c r="D110" i="1" s="1"/>
  <c r="C23" i="1"/>
  <c r="C110" i="1" s="1"/>
  <c r="L15" i="1"/>
  <c r="K15" i="1"/>
  <c r="J15" i="1"/>
  <c r="I15" i="1"/>
  <c r="H15" i="1"/>
  <c r="G15" i="1"/>
  <c r="F15" i="1"/>
  <c r="E15" i="1"/>
  <c r="D15" i="1"/>
  <c r="E44" i="1"/>
  <c r="D44" i="1"/>
  <c r="C44" i="1"/>
  <c r="E35" i="1"/>
  <c r="D35" i="1"/>
  <c r="C35" i="1"/>
  <c r="C109" i="1" s="1"/>
  <c r="C15" i="1"/>
  <c r="M112" i="1" l="1"/>
  <c r="F112" i="1"/>
  <c r="G112" i="1"/>
  <c r="H112" i="1"/>
  <c r="I112" i="1"/>
  <c r="J112" i="1"/>
  <c r="J111" i="1"/>
  <c r="K112" i="1"/>
  <c r="K111" i="1"/>
  <c r="N112" i="1"/>
  <c r="N111" i="1"/>
  <c r="L112" i="1"/>
  <c r="O112" i="1"/>
  <c r="C112" i="1"/>
  <c r="F55" i="1"/>
  <c r="O24" i="1"/>
  <c r="O111" i="1" s="1"/>
  <c r="G24" i="1"/>
  <c r="F24" i="1"/>
  <c r="N24" i="1"/>
  <c r="E55" i="1"/>
  <c r="G55" i="1"/>
  <c r="O55" i="1"/>
  <c r="E24" i="1"/>
  <c r="C55" i="1"/>
  <c r="N55" i="1"/>
  <c r="M24" i="1"/>
  <c r="M55" i="1"/>
  <c r="L55" i="1"/>
  <c r="K55" i="1"/>
  <c r="L24" i="1"/>
  <c r="K24" i="1"/>
  <c r="J55" i="1"/>
  <c r="J24" i="1"/>
  <c r="I55" i="1"/>
  <c r="H55" i="1"/>
  <c r="I24" i="1"/>
  <c r="H24" i="1"/>
  <c r="D55" i="1"/>
  <c r="D24" i="1"/>
  <c r="C24" i="1"/>
  <c r="C111" i="1" s="1"/>
  <c r="I108" i="1" l="1"/>
  <c r="I107" i="1"/>
  <c r="N108" i="1"/>
  <c r="N107" i="1"/>
  <c r="G108" i="1"/>
  <c r="G107" i="1"/>
  <c r="K108" i="1"/>
  <c r="K107" i="1"/>
  <c r="D108" i="1"/>
  <c r="D107" i="1"/>
  <c r="E108" i="1"/>
  <c r="E107" i="1"/>
  <c r="H108" i="1"/>
  <c r="H107" i="1"/>
  <c r="F108" i="1"/>
  <c r="F107" i="1"/>
  <c r="J108" i="1"/>
  <c r="J107" i="1"/>
  <c r="I111" i="1"/>
  <c r="O108" i="1"/>
  <c r="O107" i="1"/>
  <c r="H111" i="1"/>
  <c r="L108" i="1"/>
  <c r="L107" i="1"/>
  <c r="D111" i="1"/>
  <c r="E111" i="1"/>
  <c r="G111" i="1"/>
  <c r="F111" i="1"/>
  <c r="M108" i="1"/>
  <c r="M107" i="1"/>
  <c r="L111" i="1"/>
  <c r="M111" i="1"/>
  <c r="C108" i="1"/>
  <c r="C107" i="1"/>
  <c r="F57" i="1"/>
  <c r="J57" i="1"/>
  <c r="G57" i="1"/>
  <c r="K57" i="1"/>
  <c r="O57" i="1"/>
  <c r="E57" i="1"/>
  <c r="C57" i="1"/>
  <c r="M57" i="1"/>
  <c r="I57" i="1"/>
  <c r="H57" i="1"/>
  <c r="L57" i="1"/>
  <c r="D57" i="1"/>
  <c r="N57" i="1"/>
</calcChain>
</file>

<file path=xl/sharedStrings.xml><?xml version="1.0" encoding="utf-8"?>
<sst xmlns="http://schemas.openxmlformats.org/spreadsheetml/2006/main" count="1157" uniqueCount="405">
  <si>
    <t>ASSETS</t>
  </si>
  <si>
    <t>Property, plant and equipment, net</t>
  </si>
  <si>
    <t>Investment properties, net</t>
  </si>
  <si>
    <t>-</t>
  </si>
  <si>
    <t>Intangible assets, net</t>
  </si>
  <si>
    <t>Investments in subsidiaries</t>
  </si>
  <si>
    <t>Investments in associates</t>
  </si>
  <si>
    <t>Investments at fair value through other comprehensive income</t>
  </si>
  <si>
    <t>Loan to a related party – non current portion</t>
  </si>
  <si>
    <t>Investments at fair value through profit or loss</t>
  </si>
  <si>
    <t>Inventories, net</t>
  </si>
  <si>
    <t>Loan to a related party</t>
  </si>
  <si>
    <t>Due from related parties</t>
  </si>
  <si>
    <t>Accounts receivables, prepayments and other assets</t>
  </si>
  <si>
    <t>Cash and cash equivalents</t>
  </si>
  <si>
    <t>PARTNERS’ EQUITY AND LIABILITIES</t>
  </si>
  <si>
    <t>Share capital</t>
  </si>
  <si>
    <t>Contributions from partners</t>
  </si>
  <si>
    <t>Statutory reserve</t>
  </si>
  <si>
    <t>Actuarial reserve</t>
  </si>
  <si>
    <t>Reserve of valuation of investments carried at FVOCI</t>
  </si>
  <si>
    <t>Retained earnings</t>
  </si>
  <si>
    <t>LIABILITIES</t>
  </si>
  <si>
    <t>Employees’ defined benefits obligations</t>
  </si>
  <si>
    <t>Loans – non current portion</t>
  </si>
  <si>
    <t>Deficit in investments in subsidiaries</t>
  </si>
  <si>
    <t>Deficit in investments in an associate</t>
  </si>
  <si>
    <t>Accounts payables, Accrued expenses and other liabilities</t>
  </si>
  <si>
    <t>Provision for zakat</t>
  </si>
  <si>
    <t>Loans – Current portion</t>
  </si>
  <si>
    <t>Additional paid-in capital</t>
  </si>
  <si>
    <r>
      <rPr>
        <b/>
        <sz val="14"/>
        <rFont val="Times New Roman"/>
        <family val="1"/>
      </rPr>
      <t xml:space="preserve">
</t>
    </r>
    <r>
      <rPr>
        <sz val="14"/>
        <rFont val="Times New Roman"/>
        <family val="1"/>
      </rPr>
      <t>Due to related parties</t>
    </r>
  </si>
  <si>
    <t>Liabilities against investment in associate</t>
  </si>
  <si>
    <t>Provision for end of Service Indeminity</t>
  </si>
  <si>
    <t>Projects under Process</t>
  </si>
  <si>
    <t>Investments at fair value through Profit and Loss</t>
  </si>
  <si>
    <t>Investment in associate using Equity Method</t>
  </si>
  <si>
    <t>Obligation for impairment of investment id subsidiary</t>
  </si>
  <si>
    <t>Contigent lianilities reserved</t>
  </si>
  <si>
    <t>December 31,2023</t>
  </si>
  <si>
    <t>December 31,2022</t>
  </si>
  <si>
    <t>December 31,2021</t>
  </si>
  <si>
    <t>December 31,2020</t>
  </si>
  <si>
    <t>December 31,2019</t>
  </si>
  <si>
    <t>December 31,2018</t>
  </si>
  <si>
    <t>December 31,2017</t>
  </si>
  <si>
    <t>December 31,2016</t>
  </si>
  <si>
    <t>December 31,2015</t>
  </si>
  <si>
    <t>December 31,2014</t>
  </si>
  <si>
    <t>December 31,2013</t>
  </si>
  <si>
    <t>December 31,2012</t>
  </si>
  <si>
    <t>December 31,2011</t>
  </si>
  <si>
    <t>Revenue</t>
  </si>
  <si>
    <t>Cost of revenue</t>
  </si>
  <si>
    <t>Gross (loss) / profit</t>
  </si>
  <si>
    <t>General and administrative expenses</t>
  </si>
  <si>
    <t>The Company's share of profit of associates, net</t>
  </si>
  <si>
    <t>Changes in the fair value of investments at fair value through profit or loss</t>
  </si>
  <si>
    <t>The Company's share of loss of subsidiaries, net</t>
  </si>
  <si>
    <t>Reversal for provision of inventory</t>
  </si>
  <si>
    <t>Gain from disposal of investment in associate</t>
  </si>
  <si>
    <t>Gain from contingent proceeds of investment disposal</t>
  </si>
  <si>
    <t>Impairment losses on investment in subsidiary</t>
  </si>
  <si>
    <t>Finance expenses</t>
  </si>
  <si>
    <t>Interest income on short term deposits with banks</t>
  </si>
  <si>
    <t>Other income</t>
  </si>
  <si>
    <t>Profit for the year before zakat</t>
  </si>
  <si>
    <t>Zakat</t>
  </si>
  <si>
    <t>Items that will not be reclassified to the profit or loss:</t>
  </si>
  <si>
    <t>The Company's share of other comprehensive loss of associates, net</t>
  </si>
  <si>
    <t>The Company's share of other comprehensive income of subsidiaries, net</t>
  </si>
  <si>
    <t>Remeasurement of defined employee benefits obligations</t>
  </si>
  <si>
    <t>Change in the fair value of investment at fair value through OCI</t>
  </si>
  <si>
    <t>Other comprehensive loss for the year</t>
  </si>
  <si>
    <t>Profit/ (loss) on opening balance</t>
  </si>
  <si>
    <t>Adjustment during the current year</t>
  </si>
  <si>
    <t>Gain/ Loss on disposal of investment properties</t>
  </si>
  <si>
    <t>Impairment losses on investment in associates</t>
  </si>
  <si>
    <t>Profits/Loss realized from the sale of investments at fair value through profit or loss</t>
  </si>
  <si>
    <t>Provision for contigent liabilities</t>
  </si>
  <si>
    <t>Investment Revenue</t>
  </si>
  <si>
    <t>Impairment  of PPE</t>
  </si>
  <si>
    <t>Impairement lossess on investment at fair value through profit or loss</t>
  </si>
  <si>
    <t>Unrealized Gain/losses on investments at fair value through profit or loss</t>
  </si>
  <si>
    <t>Selling and marketing expenses</t>
  </si>
  <si>
    <t>Dividends distributed from financial investments at fair value through profit
or loss</t>
  </si>
  <si>
    <t>Gains from sale of investments in subsidiaries</t>
  </si>
  <si>
    <t>Provision for liabilities against investment  in associates</t>
  </si>
  <si>
    <t>Losses of investments Portfolio valuation</t>
  </si>
  <si>
    <t>Impairment  in inventory</t>
  </si>
  <si>
    <t>Interest income on short term deposits through investment at fair value
through profit or loss</t>
  </si>
  <si>
    <t>OTHER COMPREHENSIVE INCOME</t>
  </si>
  <si>
    <t xml:space="preserve">GP Margin </t>
  </si>
  <si>
    <t>= GP/ Sales</t>
  </si>
  <si>
    <t>NP Margin</t>
  </si>
  <si>
    <t>= NP / Sales</t>
  </si>
  <si>
    <t xml:space="preserve">Asset Turnover   </t>
  </si>
  <si>
    <t>= Sales /Total Asset</t>
  </si>
  <si>
    <t xml:space="preserve">Financial leverage  </t>
  </si>
  <si>
    <t>= Asset / Equity</t>
  </si>
  <si>
    <t xml:space="preserve">Return On Equity  </t>
  </si>
  <si>
    <t xml:space="preserve">Current Ratio </t>
  </si>
  <si>
    <t>= Current Asst / Current Liability</t>
  </si>
  <si>
    <t xml:space="preserve">Debt to Asset Ratio </t>
  </si>
  <si>
    <t>= Total Debt / Total Assets</t>
  </si>
  <si>
    <t xml:space="preserve">Debt to Equity Ratio </t>
  </si>
  <si>
    <t>=  Total Debt / Total Equity</t>
  </si>
  <si>
    <t>Current liabilities</t>
  </si>
  <si>
    <t>Total liabilities</t>
  </si>
  <si>
    <t>Total equity and liabilities</t>
  </si>
  <si>
    <t>Non-current assets</t>
  </si>
  <si>
    <t>Current assets</t>
  </si>
  <si>
    <t>Total assets</t>
  </si>
  <si>
    <t>Total equity</t>
  </si>
  <si>
    <t>Non-current liability</t>
  </si>
  <si>
    <t>Operating Profit / loss</t>
  </si>
  <si>
    <t>Profit &amp; loss</t>
  </si>
  <si>
    <t>Net profit for the year before OCI</t>
  </si>
  <si>
    <t>=Net profit /Equity</t>
  </si>
  <si>
    <t>Discription</t>
  </si>
  <si>
    <t>31 December
2024</t>
  </si>
  <si>
    <t xml:space="preserve">31 December
2023
</t>
  </si>
  <si>
    <t xml:space="preserve">31 December
2022
</t>
  </si>
  <si>
    <t xml:space="preserve">31 December
2021
</t>
  </si>
  <si>
    <t>31 December
2020</t>
  </si>
  <si>
    <t>31 December
2019</t>
  </si>
  <si>
    <t>31 December
2018</t>
  </si>
  <si>
    <t>31 December
2017</t>
  </si>
  <si>
    <t>31 December
2016</t>
  </si>
  <si>
    <t>31 December
2015</t>
  </si>
  <si>
    <t>Investments</t>
  </si>
  <si>
    <t>Investment in equity accounted investees</t>
  </si>
  <si>
    <t>Investment in joint ventures</t>
  </si>
  <si>
    <t>Financial assets at Fair Value through FVTOCI</t>
  </si>
  <si>
    <t>Goodwill</t>
  </si>
  <si>
    <t>Non Current Financil assets</t>
  </si>
  <si>
    <t>Non-current portion of retention receivables</t>
  </si>
  <si>
    <t>Right of use assets, net</t>
  </si>
  <si>
    <t>Long term accounts receivable, net</t>
  </si>
  <si>
    <t>Accounts and other receivable, net</t>
  </si>
  <si>
    <t>Contract assets</t>
  </si>
  <si>
    <t>Prepayments and other current assets</t>
  </si>
  <si>
    <t>Current portion of retention receivables</t>
  </si>
  <si>
    <t>Equity</t>
  </si>
  <si>
    <t xml:space="preserve">
Share capital</t>
  </si>
  <si>
    <t>Other reserve</t>
  </si>
  <si>
    <t>Fair Value reserve financial assets through FVTOCI</t>
  </si>
  <si>
    <t>Employees’ defined benefit liability</t>
  </si>
  <si>
    <t>Leased Liability Non Current Portion</t>
  </si>
  <si>
    <t>Reserve furniture, fixtures and equipment</t>
  </si>
  <si>
    <t>Long term loans</t>
  </si>
  <si>
    <t>Lease liability – non-current portion</t>
  </si>
  <si>
    <t xml:space="preserve">
Accounts payable and others</t>
  </si>
  <si>
    <t>Accrued expenses and other current liabilities</t>
  </si>
  <si>
    <t>Lease liability - current portion</t>
  </si>
  <si>
    <t>Short term loans</t>
  </si>
  <si>
    <t>Contract liabilities</t>
  </si>
  <si>
    <t>Provisions</t>
  </si>
  <si>
    <t>Zakat provision</t>
  </si>
  <si>
    <t>Impairment loss from investment property</t>
  </si>
  <si>
    <t>Impairment loss on account receivables</t>
  </si>
  <si>
    <t>Finance cost</t>
  </si>
  <si>
    <t>Finance income</t>
  </si>
  <si>
    <t>Share of (loss) / profit of Joint Ventures</t>
  </si>
  <si>
    <t>Share of (loss) / profit of equity accounted investees</t>
  </si>
  <si>
    <t>Profit Before Zakat</t>
  </si>
  <si>
    <t>Net Profit For The Year</t>
  </si>
  <si>
    <t>Other comprehensive income:</t>
  </si>
  <si>
    <t>Items that will not be reclassified to income in subsequent periods:</t>
  </si>
  <si>
    <t>Changes in fair value of FVOCI investments</t>
  </si>
  <si>
    <t>Re-measurement losses for defined employee benefits</t>
  </si>
  <si>
    <t>RSR Profit %</t>
  </si>
  <si>
    <t>20%</t>
  </si>
  <si>
    <r>
      <rPr>
        <sz val="16"/>
        <rFont val="Times New Roman"/>
        <family val="1"/>
      </rPr>
      <t>Right-of-use assets</t>
    </r>
  </si>
  <si>
    <t>Project work in progress</t>
  </si>
  <si>
    <r>
      <rPr>
        <sz val="16"/>
        <rFont val="Times New Roman"/>
        <family val="1"/>
      </rPr>
      <t>Cash and cash equivalents</t>
    </r>
  </si>
  <si>
    <r>
      <rPr>
        <sz val="16"/>
        <rFont val="Times New Roman"/>
        <family val="1"/>
      </rPr>
      <t>Accounts receivable</t>
    </r>
  </si>
  <si>
    <r>
      <rPr>
        <sz val="16"/>
        <rFont val="Times New Roman"/>
        <family val="1"/>
      </rPr>
      <t>Inventory</t>
    </r>
  </si>
  <si>
    <r>
      <rPr>
        <sz val="16"/>
        <rFont val="Times New Roman"/>
        <family val="1"/>
      </rPr>
      <t>Prepaid expense and other debit balances</t>
    </r>
  </si>
  <si>
    <r>
      <rPr>
        <sz val="16"/>
        <rFont val="Times New Roman"/>
        <family val="1"/>
      </rPr>
      <t>Due from related parties</t>
    </r>
  </si>
  <si>
    <r>
      <rPr>
        <sz val="16"/>
        <rFont val="Times New Roman"/>
        <family val="1"/>
      </rPr>
      <t>Share capital</t>
    </r>
  </si>
  <si>
    <r>
      <rPr>
        <sz val="16"/>
        <rFont val="Times New Roman"/>
        <family val="1"/>
      </rPr>
      <t>Statutory reserve</t>
    </r>
  </si>
  <si>
    <r>
      <rPr>
        <sz val="16"/>
        <rFont val="Times New Roman"/>
        <family val="1"/>
      </rPr>
      <t>Retained earnings</t>
    </r>
  </si>
  <si>
    <r>
      <rPr>
        <sz val="14"/>
        <rFont val="Times New Roman"/>
        <family val="1"/>
      </rPr>
      <t>Non-current portion of long-term loans</t>
    </r>
  </si>
  <si>
    <r>
      <rPr>
        <sz val="14"/>
        <rFont val="Times New Roman"/>
        <family val="1"/>
      </rPr>
      <t>Non-current portion of letter of credits</t>
    </r>
  </si>
  <si>
    <r>
      <rPr>
        <sz val="14"/>
        <rFont val="Times New Roman"/>
        <family val="1"/>
      </rPr>
      <t>Non-current portion of long-term government loans</t>
    </r>
  </si>
  <si>
    <r>
      <rPr>
        <sz val="14"/>
        <rFont val="Times New Roman"/>
        <family val="1"/>
      </rPr>
      <t>Non-current portion of lease liabilities</t>
    </r>
  </si>
  <si>
    <r>
      <rPr>
        <sz val="14"/>
        <rFont val="Times New Roman"/>
        <family val="1"/>
      </rPr>
      <t>Non-current portion of deferred income-government grant</t>
    </r>
  </si>
  <si>
    <r>
      <rPr>
        <sz val="14"/>
        <rFont val="Times New Roman"/>
        <family val="1"/>
      </rPr>
      <t>Non-current portion of finance lease liabilities</t>
    </r>
  </si>
  <si>
    <r>
      <rPr>
        <sz val="14"/>
        <rFont val="Times New Roman"/>
        <family val="1"/>
      </rPr>
      <t>Employees defined benefits liabilities</t>
    </r>
  </si>
  <si>
    <r>
      <rPr>
        <sz val="14"/>
        <rFont val="Times New Roman"/>
        <family val="1"/>
      </rPr>
      <t>Trade payables</t>
    </r>
  </si>
  <si>
    <r>
      <rPr>
        <sz val="16"/>
        <rFont val="Times New Roman"/>
        <family val="1"/>
      </rPr>
      <t>Accounts payable</t>
    </r>
  </si>
  <si>
    <r>
      <rPr>
        <sz val="16"/>
        <rFont val="Times New Roman"/>
        <family val="1"/>
      </rPr>
      <t>Short term loans</t>
    </r>
  </si>
  <si>
    <r>
      <rPr>
        <sz val="16"/>
        <rFont val="Times New Roman"/>
        <family val="1"/>
      </rPr>
      <t>Current portion of long-term loans</t>
    </r>
  </si>
  <si>
    <r>
      <rPr>
        <sz val="16"/>
        <rFont val="Times New Roman"/>
        <family val="1"/>
      </rPr>
      <t>Current portion of letter of credits</t>
    </r>
  </si>
  <si>
    <r>
      <rPr>
        <sz val="16"/>
        <rFont val="Times New Roman"/>
        <family val="1"/>
      </rPr>
      <t>Current portion of long-term government loans</t>
    </r>
  </si>
  <si>
    <r>
      <rPr>
        <sz val="16"/>
        <rFont val="Times New Roman"/>
        <family val="1"/>
      </rPr>
      <t>Current portion of finance lease liabilities</t>
    </r>
  </si>
  <si>
    <r>
      <rPr>
        <sz val="16"/>
        <rFont val="Times New Roman"/>
        <family val="1"/>
      </rPr>
      <t>-</t>
    </r>
  </si>
  <si>
    <r>
      <rPr>
        <sz val="16"/>
        <rFont val="Times New Roman"/>
        <family val="1"/>
      </rPr>
      <t>Current portion of lease liabilities</t>
    </r>
  </si>
  <si>
    <r>
      <rPr>
        <sz val="16"/>
        <rFont val="Times New Roman"/>
        <family val="1"/>
      </rPr>
      <t>Current portion of deferred income-government grant</t>
    </r>
  </si>
  <si>
    <r>
      <rPr>
        <sz val="16"/>
        <rFont val="Times New Roman"/>
        <family val="1"/>
      </rPr>
      <t>Accrued expenses and other credit balances</t>
    </r>
  </si>
  <si>
    <r>
      <rPr>
        <sz val="16"/>
        <rFont val="Times New Roman"/>
        <family val="1"/>
      </rPr>
      <t>Zakat provision</t>
    </r>
  </si>
  <si>
    <r>
      <rPr>
        <sz val="16"/>
        <rFont val="Times New Roman"/>
        <family val="1"/>
      </rPr>
      <t>Due to related parties</t>
    </r>
  </si>
  <si>
    <t>Selling and markrting Expense</t>
  </si>
  <si>
    <t>Depreciation of right of use assets</t>
  </si>
  <si>
    <t>Depreciation of property, plant and equipment</t>
  </si>
  <si>
    <t>13.02%</t>
  </si>
  <si>
    <r>
      <rPr>
        <sz val="16"/>
        <rFont val="Times New Roman"/>
        <family val="1"/>
      </rPr>
      <t>Property, plant and equipment, net</t>
    </r>
  </si>
  <si>
    <r>
      <rPr>
        <sz val="16"/>
        <rFont val="Times New Roman"/>
        <family val="1"/>
      </rPr>
      <t>Right of use asset, net</t>
    </r>
  </si>
  <si>
    <r>
      <rPr>
        <sz val="11.5"/>
        <rFont val="Times New Roman"/>
        <family val="1"/>
      </rPr>
      <t>-</t>
    </r>
  </si>
  <si>
    <r>
      <rPr>
        <sz val="16"/>
        <rFont val="Times New Roman"/>
        <family val="1"/>
      </rPr>
      <t>Investments at fair value through other comprehensive income</t>
    </r>
  </si>
  <si>
    <r>
      <rPr>
        <sz val="16"/>
        <rFont val="Times New Roman"/>
        <family val="1"/>
      </rPr>
      <t>Intangible assets, net</t>
    </r>
  </si>
  <si>
    <t>Detainees due for arrest</t>
  </si>
  <si>
    <t>Retention Receivable</t>
  </si>
  <si>
    <t>Total non-current assets</t>
  </si>
  <si>
    <r>
      <rPr>
        <sz val="16"/>
        <rFont val="Times New Roman"/>
        <family val="1"/>
      </rPr>
      <t>Due from a related party</t>
    </r>
  </si>
  <si>
    <t>Inventries</t>
  </si>
  <si>
    <t>Short term investments</t>
  </si>
  <si>
    <t>Accrued revenue</t>
  </si>
  <si>
    <r>
      <rPr>
        <sz val="16"/>
        <rFont val="Times New Roman"/>
        <family val="1"/>
      </rPr>
      <t>Unbilled revenues related to completed works</t>
    </r>
  </si>
  <si>
    <r>
      <rPr>
        <sz val="16"/>
        <rFont val="Times New Roman"/>
        <family val="1"/>
      </rPr>
      <t>Accounts receivable, prepaid expenses and other assets, net</t>
    </r>
  </si>
  <si>
    <t>Total current assets</t>
  </si>
  <si>
    <t>EQUITY AND LIABILITIES</t>
  </si>
  <si>
    <t>Additional Capital</t>
  </si>
  <si>
    <t>Loan from Shareholder</t>
  </si>
  <si>
    <r>
      <rPr>
        <sz val="11.5"/>
        <rFont val="Times New Roman"/>
        <family val="1"/>
      </rPr>
      <t>Lease liabilities – non current portion</t>
    </r>
  </si>
  <si>
    <t>Investment in Joint Venture</t>
  </si>
  <si>
    <r>
      <rPr>
        <sz val="11.5"/>
        <rFont val="Times New Roman"/>
        <family val="1"/>
      </rPr>
      <t>Employees’ defined benefit plan obligations</t>
    </r>
  </si>
  <si>
    <t>Total non - current liabilities</t>
  </si>
  <si>
    <r>
      <rPr>
        <sz val="11.5"/>
        <rFont val="Times New Roman"/>
        <family val="1"/>
      </rPr>
      <t>Short term loans</t>
    </r>
  </si>
  <si>
    <t>Post dated letter of credits</t>
  </si>
  <si>
    <r>
      <rPr>
        <sz val="11.5"/>
        <rFont val="Times New Roman"/>
        <family val="1"/>
      </rPr>
      <t>Credit banks</t>
    </r>
  </si>
  <si>
    <r>
      <rPr>
        <sz val="11.5"/>
        <rFont val="Times New Roman"/>
        <family val="1"/>
      </rPr>
      <t>Notes payables</t>
    </r>
  </si>
  <si>
    <r>
      <rPr>
        <sz val="11.5"/>
        <rFont val="Times New Roman"/>
        <family val="1"/>
      </rPr>
      <t>Lease liabilities - current portion</t>
    </r>
  </si>
  <si>
    <r>
      <rPr>
        <sz val="11.5"/>
        <rFont val="Times New Roman"/>
        <family val="1"/>
      </rPr>
      <t xml:space="preserve">Accounts payable, accrued expenses and other </t>
    </r>
    <r>
      <rPr>
        <sz val="11.5"/>
        <rFont val="Times New Roman"/>
        <family val="1"/>
      </rPr>
      <t>liabilities</t>
    </r>
  </si>
  <si>
    <r>
      <rPr>
        <sz val="11.5"/>
        <rFont val="Times New Roman"/>
        <family val="1"/>
      </rPr>
      <t>Billings in excess of revenues</t>
    </r>
  </si>
  <si>
    <r>
      <rPr>
        <sz val="11.5"/>
        <rFont val="Times New Roman"/>
        <family val="1"/>
      </rPr>
      <t>Provisions for performance obligations</t>
    </r>
  </si>
  <si>
    <t xml:space="preserve">Provisions </t>
  </si>
  <si>
    <r>
      <rPr>
        <sz val="11.5"/>
        <rFont val="Times New Roman"/>
        <family val="1"/>
      </rPr>
      <t>Zakat provision</t>
    </r>
  </si>
  <si>
    <t>Deffered Revenue</t>
  </si>
  <si>
    <t>Overdraft banks</t>
  </si>
  <si>
    <t>Due from a related party</t>
  </si>
  <si>
    <t>Total current liabilities</t>
  </si>
  <si>
    <t>Gross Profit</t>
  </si>
  <si>
    <t>Operating Profit</t>
  </si>
  <si>
    <t>Finance costs</t>
  </si>
  <si>
    <t>Company share of joint venture</t>
  </si>
  <si>
    <t>Impairment of advances to suppliers</t>
  </si>
  <si>
    <t>Provisions for performance obligations</t>
  </si>
  <si>
    <t>Other revenue</t>
  </si>
  <si>
    <t>Realized gains from the sale of investments at fair value through other comprehensive income</t>
  </si>
  <si>
    <t>Total Comprehensive Income For The Year</t>
  </si>
  <si>
    <t>25%</t>
  </si>
  <si>
    <t>31 December
2014</t>
  </si>
  <si>
    <t>Prepayment deferred expenses, net</t>
  </si>
  <si>
    <t>Investment at fair value through P/L</t>
  </si>
  <si>
    <t>Work in Pogress</t>
  </si>
  <si>
    <t>Amount due to partners</t>
  </si>
  <si>
    <t xml:space="preserve">
Accounts payable and others Accrued expenses and other </t>
  </si>
  <si>
    <t>Bank Overdraft</t>
  </si>
  <si>
    <t>Due to related parties</t>
  </si>
  <si>
    <t>Inventory valuation expense</t>
  </si>
  <si>
    <t>Unrealised (loss) gain on sale of investments</t>
  </si>
  <si>
    <t>Gain on sale of Fixed Assets</t>
  </si>
  <si>
    <t>50%</t>
  </si>
  <si>
    <r>
      <rPr>
        <sz val="16"/>
        <rFont val="Times New Roman"/>
        <family val="1"/>
      </rPr>
      <t>Property, plant and equipment</t>
    </r>
  </si>
  <si>
    <r>
      <rPr>
        <sz val="16"/>
        <rFont val="Times New Roman"/>
        <family val="1"/>
      </rPr>
      <t>Intangible assets</t>
    </r>
  </si>
  <si>
    <r>
      <rPr>
        <sz val="16"/>
        <rFont val="Times New Roman"/>
        <family val="1"/>
      </rPr>
      <t>Investment available for sale</t>
    </r>
  </si>
  <si>
    <r>
      <rPr>
        <sz val="16"/>
        <rFont val="Times New Roman"/>
        <family val="1"/>
      </rPr>
      <t>Advance payments for capital assets</t>
    </r>
  </si>
  <si>
    <r>
      <rPr>
        <sz val="16"/>
        <rFont val="Times New Roman"/>
        <family val="1"/>
      </rPr>
      <t>Deferred financing charges</t>
    </r>
  </si>
  <si>
    <r>
      <rPr>
        <sz val="16"/>
        <rFont val="Times New Roman"/>
        <family val="1"/>
      </rPr>
      <t>Right of use land &amp; leasehold buildings</t>
    </r>
  </si>
  <si>
    <r>
      <rPr>
        <sz val="16"/>
        <rFont val="Times New Roman"/>
        <family val="1"/>
      </rPr>
      <t>Accounts receivable, net</t>
    </r>
  </si>
  <si>
    <r>
      <rPr>
        <sz val="16"/>
        <rFont val="Times New Roman"/>
        <family val="1"/>
      </rPr>
      <t>Advance to suppliers</t>
    </r>
  </si>
  <si>
    <t>Due to related party</t>
  </si>
  <si>
    <r>
      <rPr>
        <sz val="16"/>
        <rFont val="Times New Roman"/>
        <family val="1"/>
      </rPr>
      <t>Liabilities from external banks</t>
    </r>
  </si>
  <si>
    <r>
      <rPr>
        <sz val="16"/>
        <rFont val="Times New Roman"/>
        <family val="1"/>
      </rPr>
      <t>Inventories, net</t>
    </r>
  </si>
  <si>
    <r>
      <rPr>
        <sz val="16"/>
        <rFont val="Times New Roman"/>
        <family val="1"/>
      </rPr>
      <t>Prepaid expenses and other debit balances, net</t>
    </r>
  </si>
  <si>
    <r>
      <rPr>
        <sz val="11.5"/>
        <rFont val="Times New Roman"/>
        <family val="1"/>
      </rPr>
      <t>Share Capital</t>
    </r>
  </si>
  <si>
    <r>
      <rPr>
        <sz val="11.5"/>
        <rFont val="Times New Roman"/>
        <family val="1"/>
      </rPr>
      <t>Statutory reserve</t>
    </r>
  </si>
  <si>
    <r>
      <rPr>
        <sz val="11.5"/>
        <rFont val="Times New Roman"/>
        <family val="1"/>
      </rPr>
      <t>Reserve benefit program reassessment</t>
    </r>
  </si>
  <si>
    <r>
      <rPr>
        <sz val="11.5"/>
        <rFont val="Times New Roman"/>
        <family val="1"/>
      </rPr>
      <t>Retained earnings</t>
    </r>
  </si>
  <si>
    <r>
      <rPr>
        <sz val="11.5"/>
        <rFont val="Times New Roman"/>
        <family val="1"/>
      </rPr>
      <t>Long term loans</t>
    </r>
  </si>
  <si>
    <r>
      <rPr>
        <sz val="11.5"/>
        <rFont val="Times New Roman"/>
        <family val="1"/>
      </rPr>
      <t>Defined benefit obligations</t>
    </r>
  </si>
  <si>
    <r>
      <rPr>
        <sz val="11.5"/>
        <rFont val="Times New Roman"/>
        <family val="1"/>
      </rPr>
      <t>Long term portion of land &amp; leasehold buildings</t>
    </r>
  </si>
  <si>
    <r>
      <rPr>
        <sz val="11.5"/>
        <rFont val="Times New Roman"/>
        <family val="1"/>
      </rPr>
      <t>Obligations of lease contracts</t>
    </r>
  </si>
  <si>
    <t>Account payable non current portion</t>
  </si>
  <si>
    <t xml:space="preserve">Non-Current portion of Long term loans </t>
  </si>
  <si>
    <t xml:space="preserve">Non-Current portion of Government loan </t>
  </si>
  <si>
    <r>
      <rPr>
        <sz val="11.5"/>
        <rFont val="Times New Roman"/>
        <family val="1"/>
      </rPr>
      <t>Overdraft and letters of credit financing</t>
    </r>
  </si>
  <si>
    <r>
      <rPr>
        <sz val="11.5"/>
        <rFont val="Times New Roman"/>
        <family val="1"/>
      </rPr>
      <t>Account payable</t>
    </r>
  </si>
  <si>
    <t>current portion of long term loan</t>
  </si>
  <si>
    <t>Dino experiment</t>
  </si>
  <si>
    <r>
      <rPr>
        <sz val="11.5"/>
        <rFont val="Times New Roman"/>
        <family val="1"/>
      </rPr>
      <t>Loans</t>
    </r>
  </si>
  <si>
    <r>
      <rPr>
        <sz val="11.5"/>
        <rFont val="Times New Roman"/>
        <family val="1"/>
      </rPr>
      <t>Accrued expenses and other credit balances</t>
    </r>
  </si>
  <si>
    <r>
      <rPr>
        <sz val="11.5"/>
        <rFont val="Times New Roman"/>
        <family val="1"/>
      </rPr>
      <t>Zakat legal provision</t>
    </r>
  </si>
  <si>
    <r>
      <rPr>
        <sz val="11.5"/>
        <rFont val="Times New Roman"/>
        <family val="1"/>
      </rPr>
      <t>Short term portion of land &amp; leasehold buildings</t>
    </r>
  </si>
  <si>
    <t>Impairment loss on inventory</t>
  </si>
  <si>
    <t>Employee service liability</t>
  </si>
  <si>
    <t>Amortization of intangible assets</t>
  </si>
  <si>
    <t>Capital gain</t>
  </si>
  <si>
    <t>Losses from projects under progress closure</t>
  </si>
  <si>
    <t>33%</t>
  </si>
  <si>
    <r>
      <rPr>
        <sz val="11.5"/>
        <rFont val="Times New Roman"/>
      </rPr>
      <t>Share Capital</t>
    </r>
  </si>
  <si>
    <r>
      <rPr>
        <sz val="11.5"/>
        <rFont val="Times New Roman"/>
      </rPr>
      <t>Statutory reserve</t>
    </r>
  </si>
  <si>
    <r>
      <rPr>
        <sz val="11.5"/>
        <rFont val="Times New Roman"/>
      </rPr>
      <t>Reserve benefit program reassessment</t>
    </r>
  </si>
  <si>
    <r>
      <rPr>
        <sz val="11.5"/>
        <rFont val="Times New Roman"/>
      </rPr>
      <t>Retained earnings</t>
    </r>
  </si>
  <si>
    <r>
      <rPr>
        <sz val="11.5"/>
        <rFont val="Times New Roman"/>
      </rPr>
      <t>Long term loans</t>
    </r>
  </si>
  <si>
    <r>
      <rPr>
        <sz val="11.5"/>
        <rFont val="Times New Roman"/>
      </rPr>
      <t>Defined benefit obligations</t>
    </r>
  </si>
  <si>
    <r>
      <rPr>
        <sz val="11.5"/>
        <rFont val="Times New Roman"/>
      </rPr>
      <t>Obligations of lease contracts</t>
    </r>
  </si>
  <si>
    <r>
      <rPr>
        <sz val="11.5"/>
        <rFont val="Times New Roman"/>
      </rPr>
      <t>Overdraft and letters of credit financing</t>
    </r>
  </si>
  <si>
    <r>
      <rPr>
        <sz val="11.5"/>
        <rFont val="Times New Roman"/>
      </rPr>
      <t>Account payable</t>
    </r>
  </si>
  <si>
    <r>
      <rPr>
        <sz val="11.5"/>
        <rFont val="Times New Roman"/>
      </rPr>
      <t>Loans</t>
    </r>
  </si>
  <si>
    <r>
      <rPr>
        <sz val="11.5"/>
        <rFont val="Times New Roman"/>
      </rPr>
      <t>Accrued expenses and other credit balances</t>
    </r>
  </si>
  <si>
    <r>
      <rPr>
        <sz val="11.5"/>
        <rFont val="Times New Roman"/>
      </rPr>
      <t>Zakat legal provision</t>
    </r>
  </si>
  <si>
    <t>lease charges</t>
  </si>
  <si>
    <t xml:space="preserve">31 December
2024
</t>
  </si>
  <si>
    <r>
      <rPr>
        <sz val="16"/>
        <rFont val="Times New Roman"/>
        <family val="1"/>
      </rPr>
      <t>Projects under constructions</t>
    </r>
  </si>
  <si>
    <t xml:space="preserve">Deferred expenses </t>
  </si>
  <si>
    <t xml:space="preserve">Investments in company </t>
  </si>
  <si>
    <r>
      <rPr>
        <sz val="16"/>
        <rFont val="Times New Roman"/>
        <family val="1"/>
      </rPr>
      <t>Biological assets</t>
    </r>
  </si>
  <si>
    <r>
      <rPr>
        <sz val="16"/>
        <rFont val="Times New Roman"/>
        <family val="1"/>
      </rPr>
      <t>Advanced payments to purchase fixed assets</t>
    </r>
  </si>
  <si>
    <r>
      <rPr>
        <sz val="11.5"/>
        <rFont val="Times New Roman"/>
      </rPr>
      <t>Inventories</t>
    </r>
  </si>
  <si>
    <r>
      <rPr>
        <sz val="11.5"/>
        <rFont val="Times New Roman"/>
      </rPr>
      <t>Biological assets</t>
    </r>
  </si>
  <si>
    <r>
      <rPr>
        <sz val="11.5"/>
        <rFont val="Times New Roman"/>
      </rPr>
      <t>Trade receivables</t>
    </r>
  </si>
  <si>
    <r>
      <rPr>
        <sz val="11.5"/>
        <rFont val="Times New Roman"/>
      </rPr>
      <t>Prepayments and other receivables</t>
    </r>
  </si>
  <si>
    <r>
      <rPr>
        <sz val="11.5"/>
        <rFont val="Times New Roman"/>
      </rPr>
      <t>Short term investment</t>
    </r>
  </si>
  <si>
    <r>
      <rPr>
        <sz val="11.5"/>
        <rFont val="Times New Roman"/>
      </rPr>
      <t>-</t>
    </r>
  </si>
  <si>
    <r>
      <rPr>
        <sz val="11.5"/>
        <rFont val="Times New Roman"/>
      </rPr>
      <t>Cash and cash equivalents</t>
    </r>
  </si>
  <si>
    <r>
      <rPr>
        <sz val="11.5"/>
        <rFont val="Times New Roman"/>
        <family val="1"/>
      </rPr>
      <t>Additional capital</t>
    </r>
  </si>
  <si>
    <r>
      <rPr>
        <sz val="14"/>
        <rFont val="Times New Roman"/>
        <family val="1"/>
      </rPr>
      <t>Remeasurement of employees benefit plan</t>
    </r>
  </si>
  <si>
    <r>
      <rPr>
        <sz val="11.5"/>
        <rFont val="Times New Roman"/>
      </rPr>
      <t>Employee benefits obligations</t>
    </r>
  </si>
  <si>
    <r>
      <rPr>
        <sz val="11.5"/>
        <rFont val="Times New Roman"/>
      </rPr>
      <t>Lease liabilities</t>
    </r>
  </si>
  <si>
    <r>
      <rPr>
        <sz val="11.5"/>
        <rFont val="Times New Roman"/>
      </rPr>
      <t>Loans and Borrowings</t>
    </r>
  </si>
  <si>
    <r>
      <rPr>
        <sz val="11.5"/>
        <rFont val="Times New Roman"/>
      </rPr>
      <t>Loans and borrowings</t>
    </r>
  </si>
  <si>
    <r>
      <rPr>
        <sz val="11.5"/>
        <rFont val="Times New Roman"/>
      </rPr>
      <t>Trade payables and clue to related party</t>
    </r>
  </si>
  <si>
    <t>Current portion of long Government loan</t>
  </si>
  <si>
    <t xml:space="preserve">Government subsidies </t>
  </si>
  <si>
    <r>
      <rPr>
        <sz val="11.5"/>
        <rFont val="Times New Roman"/>
        <family val="1"/>
      </rPr>
      <t>Due to related party</t>
    </r>
  </si>
  <si>
    <r>
      <rPr>
        <sz val="11.5"/>
        <rFont val="Times New Roman"/>
        <family val="1"/>
      </rPr>
      <t>Long term loans- current portion</t>
    </r>
  </si>
  <si>
    <r>
      <rPr>
        <sz val="11.5"/>
        <rFont val="Times New Roman"/>
      </rPr>
      <t>Accrued and other liabilities</t>
    </r>
  </si>
  <si>
    <r>
      <rPr>
        <sz val="11.5"/>
        <rFont val="Times New Roman"/>
      </rPr>
      <t>Provision for Zakat</t>
    </r>
  </si>
  <si>
    <t>Impairment loss on financial assets</t>
  </si>
  <si>
    <t>Goverment subsidies income</t>
  </si>
  <si>
    <t>GP Margin</t>
  </si>
  <si>
    <t>Asset Turnover</t>
  </si>
  <si>
    <t>Financial leverage</t>
  </si>
  <si>
    <t>Return On Equity</t>
  </si>
  <si>
    <t>Current Ratio</t>
  </si>
  <si>
    <t>Debt to Asset Ratio</t>
  </si>
  <si>
    <t>Debt to Equity Ratio</t>
  </si>
  <si>
    <t>RSR Profit</t>
  </si>
  <si>
    <t>RSR Profit  25%</t>
  </si>
  <si>
    <r>
      <rPr>
        <sz val="16"/>
        <rFont val="Times New Roman"/>
        <family val="1"/>
      </rPr>
      <t>Investment properties</t>
    </r>
  </si>
  <si>
    <t>Properties under development</t>
  </si>
  <si>
    <t>Advances to sub contractors</t>
  </si>
  <si>
    <t xml:space="preserve">Properties </t>
  </si>
  <si>
    <r>
      <rPr>
        <sz val="16"/>
        <rFont val="Times New Roman"/>
        <family val="1"/>
      </rPr>
      <t>Trade receivables, net</t>
    </r>
  </si>
  <si>
    <r>
      <rPr>
        <sz val="16"/>
        <rFont val="Times New Roman"/>
        <family val="1"/>
      </rPr>
      <t>Prepayments and other debit balances</t>
    </r>
  </si>
  <si>
    <t>increased in capital</t>
  </si>
  <si>
    <r>
      <rPr>
        <sz val="16"/>
        <rFont val="Times New Roman"/>
        <family val="1"/>
      </rPr>
      <t>Employees’ benefit obligation</t>
    </r>
  </si>
  <si>
    <r>
      <rPr>
        <sz val="16"/>
        <rFont val="Times New Roman"/>
        <family val="1"/>
      </rPr>
      <t>Trade payables</t>
    </r>
  </si>
  <si>
    <r>
      <rPr>
        <sz val="16"/>
        <rFont val="Times New Roman"/>
        <family val="1"/>
      </rPr>
      <t>Due to related party</t>
    </r>
  </si>
  <si>
    <r>
      <rPr>
        <sz val="11.5"/>
        <rFont val="Times New Roman"/>
        <family val="1"/>
      </rPr>
      <t>Provision for Zakat</t>
    </r>
  </si>
  <si>
    <t>Gain on disposal of property, plant and equipment</t>
  </si>
  <si>
    <t>Bank deposit return-islamic Murabha</t>
  </si>
  <si>
    <t>Change in FV of Realstate Investment</t>
  </si>
  <si>
    <t>7.8%</t>
  </si>
  <si>
    <t>Advance payments ppe</t>
  </si>
  <si>
    <r>
      <rPr>
        <sz val="10"/>
        <color rgb="FF363A42"/>
        <rFont val="Times New Roman"/>
        <family val="1"/>
      </rPr>
      <t>Inv</t>
    </r>
    <r>
      <rPr>
        <sz val="10"/>
        <color rgb="FF62666D"/>
        <rFont val="Times New Roman"/>
        <family val="1"/>
      </rPr>
      <t>entory</t>
    </r>
    <r>
      <rPr>
        <sz val="10"/>
        <color rgb="FF363A42"/>
        <rFont val="Times New Roman"/>
        <family val="1"/>
      </rPr>
      <t xml:space="preserve">, </t>
    </r>
    <r>
      <rPr>
        <sz val="10"/>
        <color rgb="FF4B4F56"/>
        <rFont val="Times New Roman"/>
        <family val="1"/>
      </rPr>
      <t>net</t>
    </r>
  </si>
  <si>
    <r>
      <rPr>
        <sz val="10"/>
        <color rgb="FF4B4F56"/>
        <rFont val="Times New Roman"/>
        <family val="1"/>
      </rPr>
      <t xml:space="preserve">Accounts </t>
    </r>
    <r>
      <rPr>
        <sz val="10"/>
        <color rgb="FF363A42"/>
        <rFont val="Times New Roman"/>
        <family val="1"/>
      </rPr>
      <t>receivab</t>
    </r>
    <r>
      <rPr>
        <sz val="10"/>
        <color rgb="FF62666D"/>
        <rFont val="Times New Roman"/>
        <family val="1"/>
      </rPr>
      <t xml:space="preserve">le, </t>
    </r>
    <r>
      <rPr>
        <sz val="10"/>
        <color rgb="FF4B4F56"/>
        <rFont val="Times New Roman"/>
        <family val="1"/>
      </rPr>
      <t xml:space="preserve">prepaid expenses </t>
    </r>
    <r>
      <rPr>
        <sz val="10"/>
        <color rgb="FF62666D"/>
        <rFont val="Times New Roman"/>
        <family val="1"/>
      </rPr>
      <t xml:space="preserve">and </t>
    </r>
    <r>
      <rPr>
        <sz val="10"/>
        <color rgb="FF4B4F56"/>
        <rFont val="Times New Roman"/>
        <family val="1"/>
      </rPr>
      <t xml:space="preserve">other </t>
    </r>
    <r>
      <rPr>
        <sz val="10"/>
        <color rgb="FF363A42"/>
        <rFont val="Times New Roman"/>
        <family val="1"/>
      </rPr>
      <t>receivables,net</t>
    </r>
  </si>
  <si>
    <r>
      <rPr>
        <sz val="10"/>
        <color rgb="FF4B4F56"/>
        <rFont val="Times New Roman"/>
        <family val="1"/>
      </rPr>
      <t>Unbilled revenues related to Accomplished Works</t>
    </r>
  </si>
  <si>
    <r>
      <rPr>
        <sz val="10"/>
        <color rgb="FF4B4F56"/>
        <rFont val="Times New Roman"/>
        <family val="1"/>
      </rPr>
      <t>Due from related parties</t>
    </r>
  </si>
  <si>
    <r>
      <rPr>
        <sz val="10"/>
        <color rgb="FF4B4F56"/>
        <rFont val="Times New Roman"/>
        <family val="1"/>
      </rPr>
      <t>Cash and cash equivalent</t>
    </r>
  </si>
  <si>
    <t>Work in progress</t>
  </si>
  <si>
    <t>Employees' benefit obligations</t>
  </si>
  <si>
    <t>Decommissioning cost provision</t>
  </si>
  <si>
    <t>Lease Liability- non-current portion</t>
  </si>
  <si>
    <r>
      <rPr>
        <sz val="10"/>
        <color rgb="FF4B4F56"/>
        <rFont val="Times New Roman"/>
        <family val="1"/>
      </rPr>
      <t xml:space="preserve">Short-term </t>
    </r>
    <r>
      <rPr>
        <sz val="10"/>
        <color rgb="FF363A42"/>
        <rFont val="Times New Roman"/>
        <family val="1"/>
      </rPr>
      <t xml:space="preserve">bank </t>
    </r>
    <r>
      <rPr>
        <sz val="10"/>
        <color rgb="FF4B4F56"/>
        <rFont val="Times New Roman"/>
        <family val="1"/>
      </rPr>
      <t>facilities</t>
    </r>
  </si>
  <si>
    <r>
      <rPr>
        <sz val="10"/>
        <color rgb="FF4B4F56"/>
        <rFont val="Times New Roman"/>
        <family val="1"/>
      </rPr>
      <t xml:space="preserve">Bank </t>
    </r>
    <r>
      <rPr>
        <sz val="10"/>
        <color rgb="FF363A42"/>
        <rFont val="Times New Roman"/>
        <family val="1"/>
      </rPr>
      <t xml:space="preserve">over </t>
    </r>
    <r>
      <rPr>
        <sz val="10"/>
        <color rgb="FF4B4F56"/>
        <rFont val="Times New Roman"/>
        <family val="1"/>
      </rPr>
      <t>draft</t>
    </r>
  </si>
  <si>
    <r>
      <rPr>
        <sz val="10"/>
        <color rgb="FF4B4F56"/>
        <rFont val="Times New Roman"/>
        <family val="1"/>
      </rPr>
      <t xml:space="preserve">Lease </t>
    </r>
    <r>
      <rPr>
        <sz val="10"/>
        <color rgb="FF363A42"/>
        <rFont val="Times New Roman"/>
        <family val="1"/>
      </rPr>
      <t xml:space="preserve">Liability </t>
    </r>
    <r>
      <rPr>
        <sz val="10"/>
        <color rgb="FF4B4F56"/>
        <rFont val="Times New Roman"/>
        <family val="1"/>
      </rPr>
      <t>- current portion</t>
    </r>
  </si>
  <si>
    <r>
      <rPr>
        <sz val="10"/>
        <color rgb="FF363A42"/>
        <rFont val="Times New Roman"/>
        <family val="1"/>
      </rPr>
      <t xml:space="preserve">Accounts </t>
    </r>
    <r>
      <rPr>
        <sz val="10"/>
        <color rgb="FF4B4F56"/>
        <rFont val="Times New Roman"/>
        <family val="1"/>
      </rPr>
      <t xml:space="preserve">payable, accrued expenses and other </t>
    </r>
    <r>
      <rPr>
        <sz val="10"/>
        <color rgb="FF363A42"/>
        <rFont val="Times New Roman"/>
        <family val="1"/>
      </rPr>
      <t>P</t>
    </r>
    <r>
      <rPr>
        <sz val="10"/>
        <color rgb="FF62666D"/>
        <rFont val="Times New Roman"/>
        <family val="1"/>
      </rPr>
      <t>ayab</t>
    </r>
    <r>
      <rPr>
        <sz val="10"/>
        <color rgb="FF363A42"/>
        <rFont val="Times New Roman"/>
        <family val="1"/>
      </rPr>
      <t>l</t>
    </r>
    <r>
      <rPr>
        <sz val="10"/>
        <color rgb="FF62666D"/>
        <rFont val="Times New Roman"/>
        <family val="1"/>
      </rPr>
      <t>es</t>
    </r>
  </si>
  <si>
    <r>
      <rPr>
        <sz val="10"/>
        <color rgb="FF363A42"/>
        <rFont val="Times New Roman"/>
        <family val="1"/>
      </rPr>
      <t xml:space="preserve">Billings </t>
    </r>
    <r>
      <rPr>
        <sz val="10"/>
        <color rgb="FF242831"/>
        <rFont val="Times New Roman"/>
        <family val="1"/>
      </rPr>
      <t>i</t>
    </r>
    <r>
      <rPr>
        <sz val="10"/>
        <color rgb="FF4B4F56"/>
        <rFont val="Times New Roman"/>
        <family val="1"/>
      </rPr>
      <t xml:space="preserve">n excess of </t>
    </r>
    <r>
      <rPr>
        <sz val="10"/>
        <color rgb="FF62666D"/>
        <rFont val="Times New Roman"/>
        <family val="1"/>
      </rPr>
      <t xml:space="preserve">earned </t>
    </r>
    <r>
      <rPr>
        <sz val="10"/>
        <color rgb="FF4B4F56"/>
        <rFont val="Times New Roman"/>
        <family val="1"/>
      </rPr>
      <t>revenues</t>
    </r>
  </si>
  <si>
    <r>
      <rPr>
        <sz val="10"/>
        <color rgb="FF4B4F56"/>
        <rFont val="Times New Roman"/>
        <family val="1"/>
      </rPr>
      <t>Zakat provision</t>
    </r>
  </si>
  <si>
    <t>Column1</t>
  </si>
  <si>
    <r>
      <rPr>
        <sz val="16"/>
        <rFont val="Times New Roman"/>
        <family val="1"/>
      </rPr>
      <t>Right-of-use assets, net</t>
    </r>
  </si>
  <si>
    <r>
      <rPr>
        <sz val="16"/>
        <rFont val="Times New Roman"/>
        <family val="1"/>
      </rPr>
      <t>Inventory, net</t>
    </r>
  </si>
  <si>
    <t>Partner contribution</t>
  </si>
  <si>
    <t>loans from partners – non-current portion</t>
  </si>
  <si>
    <r>
      <rPr>
        <sz val="16"/>
        <rFont val="Times New Roman"/>
        <family val="1"/>
      </rPr>
      <t>Lease liabilities – non-current portion</t>
    </r>
  </si>
  <si>
    <r>
      <rPr>
        <sz val="16"/>
        <rFont val="Times New Roman"/>
        <family val="1"/>
      </rPr>
      <t>Long term loans – current portion</t>
    </r>
  </si>
  <si>
    <r>
      <rPr>
        <sz val="16"/>
        <rFont val="Times New Roman"/>
        <family val="1"/>
      </rPr>
      <t>Lease liabilities – current portion</t>
    </r>
  </si>
  <si>
    <t>31 December
2023</t>
  </si>
  <si>
    <t>31 December
2022</t>
  </si>
  <si>
    <t>31 December
2021</t>
  </si>
  <si>
    <t>Intengible Assets</t>
  </si>
  <si>
    <t>Actuarial Reserve</t>
  </si>
  <si>
    <t>Trade payables,Accrued expenses and other credit balances</t>
  </si>
  <si>
    <t>Loss on sale of PPE &amp; Intangible asset</t>
  </si>
  <si>
    <t>Gain on sale of Right of use asset</t>
  </si>
  <si>
    <t>Contract maintence cost</t>
  </si>
  <si>
    <t>Investment properties</t>
  </si>
  <si>
    <t>Intangible Assets</t>
  </si>
  <si>
    <t>write off of investment properties</t>
  </si>
  <si>
    <t>Impairment loss on investment properties</t>
  </si>
  <si>
    <t>Impairment loss on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</si>
</sst>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7" formatCode="yyyy"/>
  </numFmts>
  <fonts count="39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2"/>
    </font>
    <font>
      <sz val="14"/>
      <color rgb="FF000000"/>
      <name val="Cambria"/>
      <family val="2"/>
    </font>
    <font>
      <sz val="14"/>
      <name val="Cambria"/>
      <family val="1"/>
    </font>
    <font>
      <sz val="14"/>
      <color rgb="FFFF0000"/>
      <name val="Times New Roman"/>
      <family val="1"/>
    </font>
    <font>
      <b/>
      <sz val="14"/>
      <color rgb="FF000000"/>
      <name val="Times New Roman"/>
      <family val="1"/>
    </font>
    <font>
      <sz val="14"/>
      <color rgb="FFFF0000"/>
      <name val="Times New Roman"/>
      <family val="2"/>
    </font>
    <font>
      <b/>
      <i/>
      <sz val="14"/>
      <name val="Times New Roman"/>
      <family val="1"/>
    </font>
    <font>
      <b/>
      <sz val="14"/>
      <color rgb="FF0070C0"/>
      <name val="Times New Roman"/>
      <family val="1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4"/>
      <color rgb="FF0070C0"/>
      <name val="Cambria"/>
      <family val="1"/>
      <scheme val="major"/>
    </font>
    <font>
      <b/>
      <sz val="14"/>
      <color rgb="FFFF0000"/>
      <name val="Cambria"/>
      <family val="1"/>
      <scheme val="major"/>
    </font>
    <font>
      <sz val="14"/>
      <color rgb="FFFF0000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2"/>
    </font>
    <font>
      <sz val="14"/>
      <color rgb="FF0070C0"/>
      <name val="Times New Roman"/>
      <family val="1"/>
    </font>
    <font>
      <sz val="16"/>
      <color theme="1"/>
      <name val="Cambria"/>
      <family val="1"/>
      <scheme val="major"/>
    </font>
    <font>
      <sz val="16"/>
      <name val="Times New Roman"/>
      <family val="1"/>
    </font>
    <font>
      <b/>
      <sz val="16"/>
      <color rgb="FF00B0F0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.5"/>
      <name val="Times New Roman"/>
      <family val="1"/>
    </font>
    <font>
      <sz val="16"/>
      <color rgb="FFFF0000"/>
      <name val="Cambria"/>
      <family val="1"/>
      <scheme val="major"/>
    </font>
    <font>
      <sz val="16"/>
      <name val="Cambria"/>
      <family val="1"/>
      <scheme val="major"/>
    </font>
    <font>
      <sz val="11.5"/>
      <name val="Times New Roman"/>
    </font>
    <font>
      <sz val="10"/>
      <color rgb="FF363A42"/>
      <name val="Times New Roman"/>
      <family val="1"/>
    </font>
    <font>
      <sz val="10"/>
      <color rgb="FF62666D"/>
      <name val="Times New Roman"/>
      <family val="1"/>
    </font>
    <font>
      <sz val="10"/>
      <color rgb="FF4B4F56"/>
      <name val="Times New Roman"/>
      <family val="1"/>
    </font>
    <font>
      <sz val="10"/>
      <color rgb="FF242831"/>
      <name val="Times New Roman"/>
      <family val="1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165" fontId="4" fillId="0" borderId="0" xfId="1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165" fontId="7" fillId="0" borderId="0" xfId="1" applyNumberFormat="1" applyFont="1" applyFill="1" applyBorder="1" applyAlignment="1">
      <alignment horizontal="right" vertical="top" shrinkToFit="1"/>
    </xf>
    <xf numFmtId="165" fontId="6" fillId="0" borderId="0" xfId="1" applyNumberFormat="1" applyFont="1" applyFill="1" applyBorder="1" applyAlignment="1">
      <alignment horizontal="right" vertical="top" wrapText="1"/>
    </xf>
    <xf numFmtId="165" fontId="8" fillId="0" borderId="0" xfId="1" applyNumberFormat="1" applyFont="1" applyFill="1" applyBorder="1" applyAlignment="1">
      <alignment horizontal="right" vertical="top" shrinkToFit="1"/>
    </xf>
    <xf numFmtId="165" fontId="4" fillId="0" borderId="0" xfId="1" applyNumberFormat="1" applyFont="1" applyFill="1" applyBorder="1" applyAlignment="1">
      <alignment horizontal="right" vertical="top" wrapText="1"/>
    </xf>
    <xf numFmtId="165" fontId="8" fillId="0" borderId="1" xfId="1" applyNumberFormat="1" applyFont="1" applyFill="1" applyBorder="1" applyAlignment="1">
      <alignment horizontal="right" vertical="top" shrinkToFit="1"/>
    </xf>
    <xf numFmtId="165" fontId="9" fillId="0" borderId="0" xfId="1" applyNumberFormat="1" applyFont="1" applyFill="1" applyBorder="1" applyAlignment="1">
      <alignment horizontal="right" vertical="top" wrapText="1"/>
    </xf>
    <xf numFmtId="165" fontId="7" fillId="0" borderId="1" xfId="1" applyNumberFormat="1" applyFont="1" applyFill="1" applyBorder="1" applyAlignment="1">
      <alignment horizontal="right" vertical="top" shrinkToFit="1"/>
    </xf>
    <xf numFmtId="165" fontId="4" fillId="0" borderId="0" xfId="1" applyNumberFormat="1" applyFont="1" applyFill="1" applyBorder="1" applyAlignment="1">
      <alignment horizontal="left" wrapText="1"/>
    </xf>
    <xf numFmtId="165" fontId="6" fillId="0" borderId="1" xfId="1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4" fontId="5" fillId="0" borderId="0" xfId="0" quotePrefix="1" applyNumberFormat="1" applyFont="1" applyAlignment="1">
      <alignment horizontal="right" vertical="top" wrapText="1"/>
    </xf>
    <xf numFmtId="165" fontId="3" fillId="0" borderId="4" xfId="1" applyNumberFormat="1" applyFont="1" applyFill="1" applyBorder="1" applyAlignment="1">
      <alignment horizontal="right" vertical="top" shrinkToFit="1"/>
    </xf>
    <xf numFmtId="165" fontId="4" fillId="0" borderId="0" xfId="1" applyNumberFormat="1" applyFont="1" applyFill="1" applyBorder="1" applyAlignment="1">
      <alignment vertical="top"/>
    </xf>
    <xf numFmtId="165" fontId="3" fillId="0" borderId="2" xfId="1" applyNumberFormat="1" applyFont="1" applyFill="1" applyBorder="1" applyAlignment="1">
      <alignment horizontal="right" vertical="top" wrapText="1"/>
    </xf>
    <xf numFmtId="165" fontId="3" fillId="0" borderId="1" xfId="1" applyNumberFormat="1" applyFont="1" applyFill="1" applyBorder="1" applyAlignment="1">
      <alignment horizontal="right" vertical="top" shrinkToFit="1"/>
    </xf>
    <xf numFmtId="165" fontId="12" fillId="0" borderId="0" xfId="1" applyNumberFormat="1" applyFont="1" applyFill="1" applyBorder="1" applyAlignment="1">
      <alignment horizontal="right" vertical="top" shrinkToFit="1"/>
    </xf>
    <xf numFmtId="165" fontId="10" fillId="0" borderId="0" xfId="1" applyNumberFormat="1" applyFont="1" applyFill="1" applyBorder="1" applyAlignment="1">
      <alignment horizontal="left" vertical="top"/>
    </xf>
    <xf numFmtId="165" fontId="4" fillId="0" borderId="0" xfId="1" applyNumberFormat="1" applyFont="1" applyFill="1" applyBorder="1" applyAlignment="1">
      <alignment horizontal="left" vertical="center" wrapText="1"/>
    </xf>
    <xf numFmtId="165" fontId="7" fillId="0" borderId="0" xfId="1" applyNumberFormat="1" applyFont="1" applyFill="1" applyBorder="1" applyAlignment="1">
      <alignment horizontal="right" shrinkToFit="1"/>
    </xf>
    <xf numFmtId="165" fontId="8" fillId="0" borderId="0" xfId="1" applyNumberFormat="1" applyFont="1" applyFill="1" applyBorder="1" applyAlignment="1">
      <alignment horizontal="right" vertical="center" shrinkToFit="1"/>
    </xf>
    <xf numFmtId="165" fontId="3" fillId="0" borderId="5" xfId="1" applyNumberFormat="1" applyFont="1" applyFill="1" applyBorder="1" applyAlignment="1">
      <alignment horizontal="right" vertical="top" shrinkToFit="1"/>
    </xf>
    <xf numFmtId="165" fontId="3" fillId="0" borderId="5" xfId="1" applyNumberFormat="1" applyFont="1" applyFill="1" applyBorder="1" applyAlignment="1">
      <alignment horizontal="left" vertical="top"/>
    </xf>
    <xf numFmtId="165" fontId="3" fillId="0" borderId="4" xfId="1" applyNumberFormat="1" applyFont="1" applyFill="1" applyBorder="1" applyAlignment="1">
      <alignment horizontal="left" vertical="top"/>
    </xf>
    <xf numFmtId="165" fontId="10" fillId="0" borderId="6" xfId="1" applyNumberFormat="1" applyFont="1" applyFill="1" applyBorder="1" applyAlignment="1">
      <alignment horizontal="left" vertical="top"/>
    </xf>
    <xf numFmtId="165" fontId="3" fillId="0" borderId="0" xfId="1" applyNumberFormat="1" applyFont="1" applyFill="1" applyBorder="1" applyAlignment="1">
      <alignment horizontal="left" vertical="top" wrapText="1"/>
    </xf>
    <xf numFmtId="165" fontId="9" fillId="0" borderId="1" xfId="1" applyNumberFormat="1" applyFont="1" applyFill="1" applyBorder="1" applyAlignment="1">
      <alignment horizontal="right" vertical="top" wrapText="1"/>
    </xf>
    <xf numFmtId="165" fontId="14" fillId="0" borderId="2" xfId="1" applyNumberFormat="1" applyFont="1" applyFill="1" applyBorder="1" applyAlignment="1">
      <alignment horizontal="right" vertical="top" wrapText="1"/>
    </xf>
    <xf numFmtId="165" fontId="14" fillId="0" borderId="2" xfId="1" applyNumberFormat="1" applyFont="1" applyFill="1" applyBorder="1" applyAlignment="1">
      <alignment horizontal="right" vertical="top" shrinkToFit="1"/>
    </xf>
    <xf numFmtId="165" fontId="14" fillId="0" borderId="3" xfId="1" applyNumberFormat="1" applyFont="1" applyFill="1" applyBorder="1" applyAlignment="1">
      <alignment horizontal="right" vertical="top" wrapText="1"/>
    </xf>
    <xf numFmtId="165" fontId="3" fillId="0" borderId="3" xfId="1" applyNumberFormat="1" applyFont="1" applyFill="1" applyBorder="1" applyAlignment="1">
      <alignment horizontal="right" vertical="top" wrapText="1"/>
    </xf>
    <xf numFmtId="4" fontId="15" fillId="0" borderId="0" xfId="0" applyNumberFormat="1" applyFont="1" applyAlignment="1">
      <alignment horizontal="right" vertical="top" indent="1" shrinkToFit="1"/>
    </xf>
    <xf numFmtId="3" fontId="15" fillId="0" borderId="0" xfId="0" applyNumberFormat="1" applyFont="1" applyAlignment="1">
      <alignment horizontal="right" vertical="top" shrinkToFit="1"/>
    </xf>
    <xf numFmtId="39" fontId="15" fillId="0" borderId="0" xfId="0" applyNumberFormat="1" applyFont="1" applyAlignment="1">
      <alignment horizontal="right" vertical="top" indent="1" shrinkToFit="1"/>
    </xf>
    <xf numFmtId="37" fontId="15" fillId="0" borderId="0" xfId="0" applyNumberFormat="1" applyFont="1" applyAlignment="1">
      <alignment horizontal="right" vertical="top" shrinkToFit="1"/>
    </xf>
    <xf numFmtId="165" fontId="14" fillId="0" borderId="0" xfId="1" applyNumberFormat="1" applyFont="1" applyFill="1" applyBorder="1" applyAlignment="1">
      <alignment horizontal="right" vertical="top" wrapText="1"/>
    </xf>
    <xf numFmtId="165" fontId="16" fillId="0" borderId="0" xfId="1" applyNumberFormat="1" applyFont="1" applyFill="1" applyBorder="1" applyAlignment="1">
      <alignment horizontal="left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3" fillId="0" borderId="0" xfId="0" applyFont="1" applyAlignment="1">
      <alignment vertical="top"/>
    </xf>
    <xf numFmtId="165" fontId="14" fillId="0" borderId="2" xfId="1" applyNumberFormat="1" applyFont="1" applyFill="1" applyBorder="1" applyAlignment="1">
      <alignment horizontal="right" vertical="top"/>
    </xf>
    <xf numFmtId="165" fontId="6" fillId="0" borderId="0" xfId="1" applyNumberFormat="1" applyFont="1" applyFill="1" applyBorder="1" applyAlignment="1">
      <alignment horizontal="right" vertical="top"/>
    </xf>
    <xf numFmtId="165" fontId="14" fillId="0" borderId="3" xfId="1" applyNumberFormat="1" applyFont="1" applyFill="1" applyBorder="1" applyAlignment="1">
      <alignment horizontal="right" vertical="top"/>
    </xf>
    <xf numFmtId="165" fontId="3" fillId="0" borderId="3" xfId="1" applyNumberFormat="1" applyFont="1" applyFill="1" applyBorder="1" applyAlignment="1">
      <alignment horizontal="right" vertical="top"/>
    </xf>
    <xf numFmtId="0" fontId="17" fillId="0" borderId="0" xfId="0" applyFont="1"/>
    <xf numFmtId="49" fontId="17" fillId="0" borderId="0" xfId="0" applyNumberFormat="1" applyFont="1"/>
    <xf numFmtId="0" fontId="18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14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9" fontId="4" fillId="0" borderId="0" xfId="2" applyFont="1" applyAlignment="1">
      <alignment horizontal="right"/>
    </xf>
    <xf numFmtId="0" fontId="19" fillId="3" borderId="0" xfId="3" applyFont="1" applyFill="1" applyAlignment="1">
      <alignment vertical="center" wrapText="1"/>
    </xf>
    <xf numFmtId="49" fontId="19" fillId="3" borderId="0" xfId="3" applyNumberFormat="1" applyFont="1" applyFill="1" applyAlignment="1">
      <alignment vertical="center" wrapText="1"/>
    </xf>
    <xf numFmtId="167" fontId="19" fillId="3" borderId="0" xfId="4" applyNumberFormat="1" applyFont="1" applyFill="1" applyAlignment="1">
      <alignment vertical="center" wrapText="1"/>
    </xf>
    <xf numFmtId="0" fontId="18" fillId="0" borderId="0" xfId="3" applyFont="1" applyAlignment="1">
      <alignment vertical="center" wrapText="1"/>
    </xf>
    <xf numFmtId="0" fontId="18" fillId="0" borderId="0" xfId="3" applyFont="1"/>
    <xf numFmtId="49" fontId="18" fillId="0" borderId="0" xfId="3" applyNumberFormat="1" applyFont="1"/>
    <xf numFmtId="165" fontId="18" fillId="0" borderId="0" xfId="4" applyNumberFormat="1" applyFont="1"/>
    <xf numFmtId="0" fontId="17" fillId="0" borderId="0" xfId="3" applyFont="1"/>
    <xf numFmtId="49" fontId="17" fillId="0" borderId="0" xfId="3" applyNumberFormat="1" applyFont="1"/>
    <xf numFmtId="165" fontId="17" fillId="0" borderId="0" xfId="4" applyNumberFormat="1" applyFont="1"/>
    <xf numFmtId="0" fontId="18" fillId="2" borderId="0" xfId="3" applyFont="1" applyFill="1"/>
    <xf numFmtId="49" fontId="18" fillId="2" borderId="0" xfId="3" applyNumberFormat="1" applyFont="1" applyFill="1"/>
    <xf numFmtId="165" fontId="20" fillId="0" borderId="7" xfId="4" applyNumberFormat="1" applyFont="1" applyBorder="1"/>
    <xf numFmtId="165" fontId="20" fillId="0" borderId="5" xfId="4" applyNumberFormat="1" applyFont="1" applyBorder="1"/>
    <xf numFmtId="165" fontId="21" fillId="0" borderId="7" xfId="4" applyNumberFormat="1" applyFont="1" applyBorder="1"/>
    <xf numFmtId="165" fontId="21" fillId="0" borderId="8" xfId="4" applyNumberFormat="1" applyFont="1" applyBorder="1"/>
    <xf numFmtId="165" fontId="22" fillId="0" borderId="7" xfId="4" applyNumberFormat="1" applyFont="1" applyBorder="1"/>
    <xf numFmtId="0" fontId="6" fillId="2" borderId="0" xfId="3" applyFont="1" applyFill="1" applyAlignment="1">
      <alignment vertical="center"/>
    </xf>
    <xf numFmtId="49" fontId="6" fillId="2" borderId="0" xfId="3" applyNumberFormat="1" applyFont="1" applyFill="1" applyAlignment="1">
      <alignment vertical="center"/>
    </xf>
    <xf numFmtId="165" fontId="7" fillId="0" borderId="0" xfId="4" applyNumberFormat="1" applyFont="1" applyFill="1" applyBorder="1" applyAlignment="1">
      <alignment horizontal="right" vertical="top" shrinkToFit="1"/>
    </xf>
    <xf numFmtId="165" fontId="23" fillId="0" borderId="0" xfId="4" applyNumberFormat="1" applyFont="1"/>
    <xf numFmtId="0" fontId="6" fillId="2" borderId="0" xfId="3" applyFont="1" applyFill="1" applyAlignment="1">
      <alignment vertical="top"/>
    </xf>
    <xf numFmtId="49" fontId="6" fillId="2" borderId="0" xfId="3" applyNumberFormat="1" applyFont="1" applyFill="1" applyAlignment="1">
      <alignment vertical="top"/>
    </xf>
    <xf numFmtId="0" fontId="14" fillId="2" borderId="0" xfId="3" applyFont="1" applyFill="1" applyAlignment="1">
      <alignment vertical="top"/>
    </xf>
    <xf numFmtId="49" fontId="14" fillId="2" borderId="0" xfId="3" applyNumberFormat="1" applyFont="1" applyFill="1" applyAlignment="1">
      <alignment vertical="top"/>
    </xf>
    <xf numFmtId="165" fontId="14" fillId="0" borderId="5" xfId="4" applyNumberFormat="1" applyFont="1" applyFill="1" applyBorder="1" applyAlignment="1">
      <alignment horizontal="right" vertical="top" shrinkToFit="1"/>
    </xf>
    <xf numFmtId="0" fontId="6" fillId="0" borderId="0" xfId="3" applyFont="1" applyAlignment="1">
      <alignment horizontal="left" vertical="top"/>
    </xf>
    <xf numFmtId="49" fontId="6" fillId="0" borderId="0" xfId="3" applyNumberFormat="1" applyFont="1" applyAlignment="1">
      <alignment horizontal="left" vertical="top"/>
    </xf>
    <xf numFmtId="165" fontId="23" fillId="0" borderId="0" xfId="4" applyNumberFormat="1" applyFont="1" applyBorder="1"/>
    <xf numFmtId="165" fontId="24" fillId="0" borderId="5" xfId="4" applyNumberFormat="1" applyFont="1" applyFill="1" applyBorder="1" applyAlignment="1">
      <alignment horizontal="right" vertical="top" shrinkToFit="1"/>
    </xf>
    <xf numFmtId="165" fontId="25" fillId="0" borderId="5" xfId="4" applyNumberFormat="1" applyFont="1" applyFill="1" applyBorder="1" applyAlignment="1">
      <alignment horizontal="right" vertical="top" shrinkToFit="1"/>
    </xf>
    <xf numFmtId="0" fontId="5" fillId="0" borderId="0" xfId="3" applyFont="1" applyAlignment="1">
      <alignment horizontal="left" vertical="top"/>
    </xf>
    <xf numFmtId="49" fontId="5" fillId="0" borderId="0" xfId="3" applyNumberFormat="1" applyFont="1" applyAlignment="1">
      <alignment horizontal="left" vertical="top"/>
    </xf>
    <xf numFmtId="165" fontId="7" fillId="0" borderId="1" xfId="4" applyNumberFormat="1" applyFont="1" applyFill="1" applyBorder="1" applyAlignment="1">
      <alignment horizontal="right" vertical="top" shrinkToFit="1"/>
    </xf>
    <xf numFmtId="165" fontId="14" fillId="0" borderId="2" xfId="4" applyNumberFormat="1" applyFont="1" applyFill="1" applyBorder="1" applyAlignment="1">
      <alignment horizontal="right" vertical="top" shrinkToFit="1"/>
    </xf>
    <xf numFmtId="165" fontId="23" fillId="0" borderId="0" xfId="4" applyNumberFormat="1" applyFont="1" applyFill="1" applyBorder="1" applyAlignment="1">
      <alignment horizontal="left"/>
    </xf>
    <xf numFmtId="165" fontId="23" fillId="0" borderId="0" xfId="4" applyNumberFormat="1" applyFont="1" applyFill="1" applyBorder="1" applyAlignment="1">
      <alignment horizontal="left" vertical="center"/>
    </xf>
    <xf numFmtId="0" fontId="5" fillId="2" borderId="0" xfId="3" applyFont="1" applyFill="1" applyAlignment="1">
      <alignment horizontal="left" vertical="top"/>
    </xf>
    <xf numFmtId="49" fontId="5" fillId="2" borderId="0" xfId="3" applyNumberFormat="1" applyFont="1" applyFill="1" applyAlignment="1">
      <alignment horizontal="left" vertical="top"/>
    </xf>
    <xf numFmtId="164" fontId="3" fillId="0" borderId="3" xfId="4" applyFont="1" applyFill="1" applyBorder="1" applyAlignment="1">
      <alignment horizontal="right" vertical="top" shrinkToFit="1"/>
    </xf>
    <xf numFmtId="10" fontId="17" fillId="0" borderId="0" xfId="5" applyNumberFormat="1" applyFont="1"/>
    <xf numFmtId="164" fontId="17" fillId="0" borderId="0" xfId="4" applyFont="1"/>
    <xf numFmtId="165" fontId="19" fillId="3" borderId="0" xfId="4" applyNumberFormat="1" applyFont="1" applyFill="1" applyBorder="1" applyAlignment="1">
      <alignment horizontal="center" vertical="center" wrapText="1"/>
    </xf>
    <xf numFmtId="165" fontId="19" fillId="3" borderId="0" xfId="4" applyNumberFormat="1" applyFont="1" applyFill="1" applyAlignment="1">
      <alignment vertical="center" wrapText="1"/>
    </xf>
    <xf numFmtId="0" fontId="26" fillId="0" borderId="0" xfId="3" applyFont="1"/>
    <xf numFmtId="165" fontId="26" fillId="0" borderId="0" xfId="4" applyNumberFormat="1" applyFont="1" applyAlignment="1">
      <alignment horizontal="center"/>
    </xf>
    <xf numFmtId="165" fontId="18" fillId="0" borderId="0" xfId="4" applyNumberFormat="1" applyFont="1" applyBorder="1" applyAlignment="1">
      <alignment horizontal="center"/>
    </xf>
    <xf numFmtId="165" fontId="26" fillId="0" borderId="0" xfId="4" applyNumberFormat="1" applyFont="1"/>
    <xf numFmtId="165" fontId="28" fillId="0" borderId="7" xfId="4" applyNumberFormat="1" applyFont="1" applyBorder="1" applyAlignment="1">
      <alignment horizontal="center"/>
    </xf>
    <xf numFmtId="0" fontId="29" fillId="0" borderId="0" xfId="3" applyFont="1"/>
    <xf numFmtId="165" fontId="26" fillId="0" borderId="0" xfId="4" applyNumberFormat="1" applyFont="1" applyAlignment="1">
      <alignment horizontal="right"/>
    </xf>
    <xf numFmtId="165" fontId="17" fillId="0" borderId="0" xfId="4" applyNumberFormat="1" applyFont="1" applyAlignment="1">
      <alignment horizontal="left"/>
    </xf>
    <xf numFmtId="3" fontId="26" fillId="0" borderId="0" xfId="4" applyNumberFormat="1" applyFont="1" applyAlignment="1">
      <alignment horizontal="center"/>
    </xf>
    <xf numFmtId="165" fontId="17" fillId="0" borderId="0" xfId="4" applyNumberFormat="1" applyFont="1" applyBorder="1" applyAlignment="1">
      <alignment horizontal="center"/>
    </xf>
    <xf numFmtId="165" fontId="20" fillId="0" borderId="7" xfId="4" applyNumberFormat="1" applyFont="1" applyBorder="1" applyAlignment="1">
      <alignment horizontal="center"/>
    </xf>
    <xf numFmtId="165" fontId="21" fillId="0" borderId="7" xfId="4" applyNumberFormat="1" applyFont="1" applyBorder="1" applyAlignment="1">
      <alignment horizontal="center"/>
    </xf>
    <xf numFmtId="165" fontId="6" fillId="0" borderId="5" xfId="4" applyNumberFormat="1" applyFont="1" applyFill="1" applyBorder="1" applyAlignment="1">
      <alignment horizontal="right" vertical="top" shrinkToFit="1"/>
    </xf>
    <xf numFmtId="165" fontId="23" fillId="0" borderId="0" xfId="4" applyNumberFormat="1" applyFont="1" applyAlignment="1"/>
    <xf numFmtId="165" fontId="6" fillId="0" borderId="0" xfId="4" applyNumberFormat="1" applyFont="1" applyFill="1" applyBorder="1" applyAlignment="1">
      <alignment horizontal="left" vertical="top"/>
    </xf>
    <xf numFmtId="0" fontId="6" fillId="0" borderId="8" xfId="3" applyFont="1" applyBorder="1" applyAlignment="1">
      <alignment horizontal="left" vertical="top"/>
    </xf>
    <xf numFmtId="165" fontId="6" fillId="0" borderId="8" xfId="4" applyNumberFormat="1" applyFont="1" applyFill="1" applyBorder="1" applyAlignment="1">
      <alignment horizontal="right" vertical="top" shrinkToFit="1"/>
    </xf>
    <xf numFmtId="165" fontId="14" fillId="0" borderId="0" xfId="4" applyNumberFormat="1" applyFont="1" applyFill="1" applyBorder="1" applyAlignment="1">
      <alignment horizontal="right" vertical="top" shrinkToFit="1"/>
    </xf>
    <xf numFmtId="165" fontId="6" fillId="0" borderId="0" xfId="4" applyNumberFormat="1" applyFont="1" applyFill="1" applyBorder="1" applyAlignment="1">
      <alignment horizontal="right" vertical="top" shrinkToFit="1"/>
    </xf>
    <xf numFmtId="165" fontId="23" fillId="0" borderId="0" xfId="4" applyNumberFormat="1" applyFont="1" applyBorder="1" applyAlignment="1"/>
    <xf numFmtId="165" fontId="24" fillId="0" borderId="0" xfId="4" applyNumberFormat="1" applyFont="1" applyFill="1" applyBorder="1" applyAlignment="1">
      <alignment horizontal="right" vertical="top" shrinkToFit="1"/>
    </xf>
    <xf numFmtId="165" fontId="3" fillId="0" borderId="3" xfId="4" applyNumberFormat="1" applyFont="1" applyFill="1" applyBorder="1" applyAlignment="1">
      <alignment horizontal="right" vertical="top" shrinkToFit="1"/>
    </xf>
    <xf numFmtId="165" fontId="3" fillId="4" borderId="3" xfId="4" applyNumberFormat="1" applyFont="1" applyFill="1" applyBorder="1" applyAlignment="1">
      <alignment horizontal="right" vertical="top" shrinkToFit="1"/>
    </xf>
    <xf numFmtId="0" fontId="19" fillId="3" borderId="0" xfId="3" applyFont="1" applyFill="1" applyAlignment="1">
      <alignment vertical="center"/>
    </xf>
    <xf numFmtId="165" fontId="19" fillId="3" borderId="0" xfId="4" applyNumberFormat="1" applyFont="1" applyFill="1" applyBorder="1" applyAlignment="1">
      <alignment horizontal="center" vertical="center"/>
    </xf>
    <xf numFmtId="165" fontId="19" fillId="3" borderId="0" xfId="4" applyNumberFormat="1" applyFont="1" applyFill="1" applyAlignment="1">
      <alignment vertical="center"/>
    </xf>
    <xf numFmtId="0" fontId="18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165" fontId="29" fillId="0" borderId="0" xfId="4" applyNumberFormat="1" applyFont="1" applyAlignment="1">
      <alignment vertical="center"/>
    </xf>
    <xf numFmtId="165" fontId="26" fillId="0" borderId="0" xfId="4" applyNumberFormat="1" applyFont="1" applyAlignment="1">
      <alignment horizontal="center" vertical="center"/>
    </xf>
    <xf numFmtId="165" fontId="18" fillId="0" borderId="0" xfId="4" applyNumberFormat="1" applyFont="1" applyBorder="1" applyAlignment="1">
      <alignment horizontal="center" vertical="center"/>
    </xf>
    <xf numFmtId="165" fontId="18" fillId="0" borderId="0" xfId="4" applyNumberFormat="1" applyFont="1" applyAlignment="1">
      <alignment vertical="center"/>
    </xf>
    <xf numFmtId="165" fontId="18" fillId="0" borderId="0" xfId="4" applyNumberFormat="1" applyFont="1" applyFill="1" applyAlignment="1">
      <alignment vertical="center"/>
    </xf>
    <xf numFmtId="0" fontId="26" fillId="0" borderId="0" xfId="3" applyFont="1" applyAlignment="1">
      <alignment vertical="center"/>
    </xf>
    <xf numFmtId="165" fontId="26" fillId="0" borderId="0" xfId="4" applyNumberFormat="1" applyFont="1" applyAlignment="1">
      <alignment vertical="center"/>
    </xf>
    <xf numFmtId="165" fontId="26" fillId="0" borderId="0" xfId="4" applyNumberFormat="1" applyFont="1" applyFill="1" applyAlignment="1">
      <alignment vertical="center"/>
    </xf>
    <xf numFmtId="0" fontId="17" fillId="0" borderId="0" xfId="3" applyFont="1" applyAlignment="1">
      <alignment vertical="center"/>
    </xf>
    <xf numFmtId="165" fontId="26" fillId="0" borderId="0" xfId="4" applyNumberFormat="1" applyFont="1" applyFill="1"/>
    <xf numFmtId="0" fontId="31" fillId="0" borderId="0" xfId="3" applyFont="1"/>
    <xf numFmtId="165" fontId="20" fillId="0" borderId="7" xfId="4" applyNumberFormat="1" applyFont="1" applyFill="1" applyBorder="1"/>
    <xf numFmtId="165" fontId="29" fillId="0" borderId="0" xfId="4" applyNumberFormat="1" applyFont="1"/>
    <xf numFmtId="165" fontId="18" fillId="0" borderId="0" xfId="4" applyNumberFormat="1" applyFont="1" applyFill="1"/>
    <xf numFmtId="165" fontId="20" fillId="0" borderId="5" xfId="4" applyNumberFormat="1" applyFont="1" applyFill="1" applyBorder="1"/>
    <xf numFmtId="165" fontId="21" fillId="0" borderId="7" xfId="4" applyNumberFormat="1" applyFont="1" applyFill="1" applyBorder="1"/>
    <xf numFmtId="165" fontId="32" fillId="0" borderId="0" xfId="4" applyNumberFormat="1" applyFont="1" applyFill="1"/>
    <xf numFmtId="165" fontId="31" fillId="0" borderId="0" xfId="4" applyNumberFormat="1" applyFont="1"/>
    <xf numFmtId="165" fontId="21" fillId="0" borderId="8" xfId="4" applyNumberFormat="1" applyFont="1" applyFill="1" applyBorder="1"/>
    <xf numFmtId="165" fontId="17" fillId="0" borderId="0" xfId="4" applyNumberFormat="1" applyFont="1" applyFill="1"/>
    <xf numFmtId="165" fontId="6" fillId="0" borderId="8" xfId="4" applyNumberFormat="1" applyFont="1" applyFill="1" applyBorder="1" applyAlignment="1">
      <alignment horizontal="left" vertical="top"/>
    </xf>
    <xf numFmtId="0" fontId="27" fillId="0" borderId="0" xfId="3" applyFont="1" applyAlignment="1">
      <alignment horizontal="left" vertical="top"/>
    </xf>
    <xf numFmtId="165" fontId="10" fillId="0" borderId="0" xfId="4" applyNumberFormat="1" applyFont="1" applyFill="1" applyBorder="1" applyAlignment="1">
      <alignment horizontal="left" vertical="top"/>
    </xf>
    <xf numFmtId="165" fontId="6" fillId="0" borderId="0" xfId="4" applyNumberFormat="1" applyFont="1" applyFill="1" applyBorder="1" applyAlignment="1">
      <alignment horizontal="center" vertical="top"/>
    </xf>
    <xf numFmtId="165" fontId="5" fillId="0" borderId="0" xfId="4" applyNumberFormat="1" applyFont="1" applyFill="1" applyBorder="1" applyAlignment="1">
      <alignment horizontal="left" vertical="top"/>
    </xf>
    <xf numFmtId="165" fontId="27" fillId="0" borderId="0" xfId="4" applyNumberFormat="1" applyFont="1" applyFill="1" applyBorder="1" applyAlignment="1">
      <alignment horizontal="left" vertical="top"/>
    </xf>
    <xf numFmtId="0" fontId="30" fillId="0" borderId="4" xfId="3" applyFont="1" applyBorder="1" applyAlignment="1">
      <alignment horizontal="left" vertical="top" wrapText="1"/>
    </xf>
    <xf numFmtId="0" fontId="17" fillId="0" borderId="0" xfId="3" applyFont="1" applyAlignment="1">
      <alignment wrapText="1"/>
    </xf>
    <xf numFmtId="0" fontId="17" fillId="3" borderId="0" xfId="3" applyFont="1" applyFill="1"/>
    <xf numFmtId="165" fontId="17" fillId="3" borderId="0" xfId="4" applyNumberFormat="1" applyFont="1" applyFill="1"/>
    <xf numFmtId="165" fontId="17" fillId="3" borderId="0" xfId="4" applyNumberFormat="1" applyFont="1" applyFill="1" applyBorder="1" applyAlignment="1">
      <alignment horizontal="center"/>
    </xf>
    <xf numFmtId="10" fontId="17" fillId="0" borderId="0" xfId="5" applyNumberFormat="1" applyFont="1" applyBorder="1" applyAlignment="1">
      <alignment horizontal="center"/>
    </xf>
    <xf numFmtId="164" fontId="17" fillId="0" borderId="0" xfId="4" applyFont="1" applyBorder="1" applyAlignment="1">
      <alignment horizontal="center"/>
    </xf>
    <xf numFmtId="165" fontId="30" fillId="0" borderId="0" xfId="4" applyNumberFormat="1" applyFont="1" applyBorder="1" applyAlignment="1">
      <alignment horizontal="left" vertical="top" wrapText="1"/>
    </xf>
    <xf numFmtId="10" fontId="17" fillId="0" borderId="0" xfId="3" applyNumberFormat="1" applyFont="1"/>
    <xf numFmtId="165" fontId="18" fillId="0" borderId="0" xfId="4" applyNumberFormat="1" applyFont="1" applyBorder="1" applyAlignment="1">
      <alignment horizontal="center" vertical="center" wrapText="1"/>
    </xf>
    <xf numFmtId="165" fontId="18" fillId="0" borderId="0" xfId="4" applyNumberFormat="1" applyFont="1" applyAlignment="1">
      <alignment vertical="center" wrapText="1"/>
    </xf>
    <xf numFmtId="0" fontId="23" fillId="0" borderId="0" xfId="3" applyFont="1"/>
    <xf numFmtId="165" fontId="21" fillId="3" borderId="7" xfId="4" applyNumberFormat="1" applyFont="1" applyFill="1" applyBorder="1" applyAlignment="1">
      <alignment horizontal="center"/>
    </xf>
    <xf numFmtId="165" fontId="21" fillId="3" borderId="7" xfId="4" applyNumberFormat="1" applyFont="1" applyFill="1" applyBorder="1"/>
    <xf numFmtId="0" fontId="6" fillId="0" borderId="0" xfId="3" applyFont="1" applyAlignment="1">
      <alignment horizontal="center" vertical="top"/>
    </xf>
    <xf numFmtId="165" fontId="0" fillId="0" borderId="0" xfId="4" applyNumberFormat="1" applyFont="1"/>
    <xf numFmtId="3" fontId="1" fillId="0" borderId="0" xfId="3" applyNumberFormat="1"/>
    <xf numFmtId="165" fontId="17" fillId="0" borderId="0" xfId="4" applyNumberFormat="1" applyFont="1" applyAlignment="1">
      <alignment horizontal="center"/>
    </xf>
    <xf numFmtId="165" fontId="17" fillId="0" borderId="0" xfId="4" applyNumberFormat="1" applyFont="1" applyAlignment="1">
      <alignment horizontal="right"/>
    </xf>
    <xf numFmtId="165" fontId="17" fillId="0" borderId="0" xfId="4" applyNumberFormat="1" applyFont="1" applyAlignment="1"/>
    <xf numFmtId="0" fontId="27" fillId="0" borderId="0" xfId="3" applyFont="1"/>
    <xf numFmtId="165" fontId="23" fillId="0" borderId="8" xfId="4" applyNumberFormat="1" applyFont="1" applyBorder="1" applyAlignment="1"/>
    <xf numFmtId="165" fontId="18" fillId="0" borderId="0" xfId="4" applyNumberFormat="1" applyFont="1" applyFill="1" applyBorder="1" applyAlignment="1">
      <alignment horizontal="center" vertical="center" wrapText="1"/>
    </xf>
    <xf numFmtId="165" fontId="28" fillId="0" borderId="7" xfId="4" applyNumberFormat="1" applyFont="1" applyFill="1" applyBorder="1" applyAlignment="1">
      <alignment horizontal="center"/>
    </xf>
    <xf numFmtId="165" fontId="29" fillId="0" borderId="0" xfId="4" applyNumberFormat="1" applyFont="1" applyFill="1"/>
    <xf numFmtId="165" fontId="27" fillId="0" borderId="0" xfId="4" applyNumberFormat="1" applyFont="1" applyFill="1"/>
    <xf numFmtId="165" fontId="20" fillId="0" borderId="7" xfId="4" applyNumberFormat="1" applyFont="1" applyFill="1" applyBorder="1" applyAlignment="1">
      <alignment horizontal="center"/>
    </xf>
    <xf numFmtId="165" fontId="21" fillId="0" borderId="7" xfId="4" applyNumberFormat="1" applyFont="1" applyFill="1" applyBorder="1" applyAlignment="1">
      <alignment horizontal="center"/>
    </xf>
    <xf numFmtId="0" fontId="6" fillId="2" borderId="9" xfId="3" applyFont="1" applyFill="1" applyBorder="1" applyAlignment="1">
      <alignment vertical="center"/>
    </xf>
    <xf numFmtId="0" fontId="6" fillId="2" borderId="10" xfId="3" applyFont="1" applyFill="1" applyBorder="1" applyAlignment="1">
      <alignment vertical="center"/>
    </xf>
    <xf numFmtId="165" fontId="6" fillId="5" borderId="10" xfId="4" applyNumberFormat="1" applyFont="1" applyFill="1" applyBorder="1" applyAlignment="1">
      <alignment horizontal="left" vertical="top"/>
    </xf>
    <xf numFmtId="165" fontId="6" fillId="5" borderId="11" xfId="4" applyNumberFormat="1" applyFont="1" applyFill="1" applyBorder="1" applyAlignment="1">
      <alignment horizontal="left" vertical="top"/>
    </xf>
    <xf numFmtId="0" fontId="6" fillId="2" borderId="9" xfId="3" applyFont="1" applyFill="1" applyBorder="1" applyAlignment="1">
      <alignment vertical="top"/>
    </xf>
    <xf numFmtId="165" fontId="6" fillId="0" borderId="15" xfId="4" applyNumberFormat="1" applyFont="1" applyBorder="1" applyAlignment="1">
      <alignment horizontal="left" vertical="top"/>
    </xf>
    <xf numFmtId="165" fontId="6" fillId="0" borderId="14" xfId="4" applyNumberFormat="1" applyFont="1" applyBorder="1" applyAlignment="1">
      <alignment horizontal="left" vertical="top"/>
    </xf>
    <xf numFmtId="0" fontId="14" fillId="2" borderId="9" xfId="3" applyFont="1" applyFill="1" applyBorder="1" applyAlignment="1">
      <alignment vertical="top"/>
    </xf>
    <xf numFmtId="165" fontId="14" fillId="5" borderId="10" xfId="4" applyNumberFormat="1" applyFont="1" applyFill="1" applyBorder="1" applyAlignment="1">
      <alignment horizontal="right" vertical="top" shrinkToFit="1"/>
    </xf>
    <xf numFmtId="165" fontId="14" fillId="5" borderId="11" xfId="4" applyNumberFormat="1" applyFont="1" applyFill="1" applyBorder="1" applyAlignment="1">
      <alignment horizontal="right" vertical="top" shrinkToFit="1"/>
    </xf>
    <xf numFmtId="0" fontId="6" fillId="0" borderId="9" xfId="3" applyFont="1" applyBorder="1" applyAlignment="1">
      <alignment horizontal="left" vertical="top"/>
    </xf>
    <xf numFmtId="165" fontId="6" fillId="0" borderId="10" xfId="4" applyNumberFormat="1" applyFont="1" applyBorder="1" applyAlignment="1">
      <alignment horizontal="left" vertical="top"/>
    </xf>
    <xf numFmtId="165" fontId="6" fillId="0" borderId="11" xfId="4" applyNumberFormat="1" applyFont="1" applyBorder="1" applyAlignment="1">
      <alignment horizontal="left" vertical="top"/>
    </xf>
    <xf numFmtId="0" fontId="6" fillId="5" borderId="9" xfId="3" applyFont="1" applyFill="1" applyBorder="1" applyAlignment="1">
      <alignment horizontal="left" vertical="top"/>
    </xf>
    <xf numFmtId="165" fontId="23" fillId="5" borderId="11" xfId="4" applyNumberFormat="1" applyFont="1" applyFill="1" applyBorder="1" applyAlignment="1"/>
    <xf numFmtId="165" fontId="23" fillId="0" borderId="11" xfId="4" applyNumberFormat="1" applyFont="1" applyBorder="1" applyAlignment="1"/>
    <xf numFmtId="165" fontId="24" fillId="0" borderId="10" xfId="4" applyNumberFormat="1" applyFont="1" applyBorder="1" applyAlignment="1">
      <alignment horizontal="right" vertical="top" shrinkToFit="1"/>
    </xf>
    <xf numFmtId="165" fontId="24" fillId="0" borderId="11" xfId="4" applyNumberFormat="1" applyFont="1" applyBorder="1" applyAlignment="1">
      <alignment horizontal="right" vertical="top" shrinkToFit="1"/>
    </xf>
    <xf numFmtId="165" fontId="6" fillId="5" borderId="9" xfId="4" applyNumberFormat="1" applyFont="1" applyFill="1" applyBorder="1" applyAlignment="1">
      <alignment horizontal="left" vertical="top"/>
    </xf>
    <xf numFmtId="0" fontId="5" fillId="0" borderId="9" xfId="3" applyFont="1" applyBorder="1" applyAlignment="1">
      <alignment horizontal="left" vertical="top"/>
    </xf>
    <xf numFmtId="165" fontId="14" fillId="0" borderId="12" xfId="4" applyNumberFormat="1" applyFont="1" applyBorder="1" applyAlignment="1">
      <alignment horizontal="right" vertical="top" shrinkToFit="1"/>
    </xf>
    <xf numFmtId="165" fontId="14" fillId="0" borderId="13" xfId="4" applyNumberFormat="1" applyFont="1" applyBorder="1" applyAlignment="1">
      <alignment horizontal="right" vertical="top" shrinkToFit="1"/>
    </xf>
    <xf numFmtId="165" fontId="23" fillId="5" borderId="10" xfId="4" applyNumberFormat="1" applyFont="1" applyFill="1" applyBorder="1" applyAlignment="1"/>
    <xf numFmtId="165" fontId="14" fillId="0" borderId="16" xfId="4" applyNumberFormat="1" applyFont="1" applyBorder="1" applyAlignment="1">
      <alignment horizontal="right" vertical="top" shrinkToFit="1"/>
    </xf>
    <xf numFmtId="165" fontId="14" fillId="0" borderId="17" xfId="4" applyNumberFormat="1" applyFont="1" applyBorder="1" applyAlignment="1">
      <alignment horizontal="right" vertical="top" shrinkToFit="1"/>
    </xf>
    <xf numFmtId="0" fontId="5" fillId="5" borderId="9" xfId="3" applyFont="1" applyFill="1" applyBorder="1" applyAlignment="1">
      <alignment horizontal="left" vertical="top"/>
    </xf>
    <xf numFmtId="165" fontId="5" fillId="5" borderId="10" xfId="4" applyNumberFormat="1" applyFont="1" applyFill="1" applyBorder="1" applyAlignment="1">
      <alignment horizontal="left" vertical="top"/>
    </xf>
    <xf numFmtId="165" fontId="23" fillId="5" borderId="11" xfId="4" applyNumberFormat="1" applyFont="1" applyFill="1" applyBorder="1" applyAlignment="1">
      <alignment horizontal="left"/>
    </xf>
    <xf numFmtId="165" fontId="5" fillId="0" borderId="10" xfId="4" applyNumberFormat="1" applyFont="1" applyBorder="1" applyAlignment="1">
      <alignment horizontal="left" vertical="top"/>
    </xf>
    <xf numFmtId="165" fontId="23" fillId="0" borderId="11" xfId="4" applyNumberFormat="1" applyFont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165" fontId="3" fillId="0" borderId="3" xfId="4" applyNumberFormat="1" applyFont="1" applyBorder="1" applyAlignment="1">
      <alignment horizontal="right" vertical="top" shrinkToFit="1"/>
    </xf>
    <xf numFmtId="165" fontId="3" fillId="0" borderId="18" xfId="4" applyNumberFormat="1" applyFont="1" applyBorder="1" applyAlignment="1">
      <alignment horizontal="right" vertical="top" shrinkToFit="1"/>
    </xf>
    <xf numFmtId="10" fontId="17" fillId="0" borderId="0" xfId="2" applyNumberFormat="1" applyFont="1" applyFill="1"/>
    <xf numFmtId="164" fontId="17" fillId="0" borderId="0" xfId="4" applyNumberFormat="1" applyFont="1" applyFill="1"/>
    <xf numFmtId="165" fontId="27" fillId="0" borderId="0" xfId="4" applyNumberFormat="1" applyFont="1"/>
    <xf numFmtId="0" fontId="38" fillId="3" borderId="0" xfId="0" applyFont="1" applyFill="1" applyAlignment="1">
      <alignment horizontal="left" vertical="top" wrapText="1"/>
    </xf>
    <xf numFmtId="40" fontId="4" fillId="0" borderId="0" xfId="1" applyNumberFormat="1" applyFont="1" applyAlignment="1">
      <alignment horizontal="right" vertical="top"/>
    </xf>
  </cellXfs>
  <cellStyles count="6">
    <cellStyle name="Comma" xfId="1" builtinId="3"/>
    <cellStyle name="Comma 2" xfId="4" xr:uid="{BC566AAF-7501-4D47-85AD-92648DE7813F}"/>
    <cellStyle name="Normal" xfId="0" builtinId="0"/>
    <cellStyle name="Normal 2" xfId="3" xr:uid="{3EBDCD1D-9059-4CC6-B7E6-04CD1A75FFEC}"/>
    <cellStyle name="Percent" xfId="2" builtinId="5"/>
    <cellStyle name="Percent 2" xfId="5" xr:uid="{96B59533-16C3-4831-82A2-0E127E15E3EA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165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59</xdr:row>
      <xdr:rowOff>0</xdr:rowOff>
    </xdr:from>
    <xdr:ext cx="42672" cy="85344"/>
    <xdr:pic>
      <xdr:nvPicPr>
        <xdr:cNvPr id="2" name="image1.png">
          <a:extLst>
            <a:ext uri="{FF2B5EF4-FFF2-40B4-BE49-F238E27FC236}">
              <a16:creationId xmlns:a16="http://schemas.microsoft.com/office/drawing/2014/main" id="{5803131F-1773-4D4F-82D1-9B8BFB6A0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0"/>
          <a:ext cx="42672" cy="8534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9C06C-0374-46C5-B84C-76EC6397689C}" name="Table3" displayName="Table3" ref="A1:E38" totalsRowShown="0">
  <autoFilter ref="A1:E38" xr:uid="{32083B14-5EFC-44BF-AECD-52D1063F2D01}"/>
  <tableColumns count="5">
    <tableColumn id="1" xr3:uid="{81FACD4E-036E-47C0-9C25-D5296D48D61F}" name="ASSETS" dataDxfId="6"/>
    <tableColumn id="5" xr3:uid="{0BAA16ED-83B1-41EC-8AEB-F8884B676711}" name="Column1" dataDxfId="5"/>
    <tableColumn id="2" xr3:uid="{A89DDDC0-63E2-4320-8DBA-E5FD9F10E972}" name="31 December_x000a_2023_x000a_"/>
    <tableColumn id="3" xr3:uid="{43B529D4-000E-4E64-ACCE-65626AFABA7C}" name="31 December_x000a_2022_x000a_"/>
    <tableColumn id="4" xr3:uid="{6A86E452-FE2A-4504-AB1C-93391BECFC21}" name="31 December_x000a_2021_x000a_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D07E31-4D57-40FD-9F2D-9FD9070A94F9}" name="Table33" displayName="Table33" ref="A1:E32" totalsRowShown="0">
  <autoFilter ref="A1:E32" xr:uid="{3E64380C-0689-48F7-9613-A6F19040F7E3}"/>
  <tableColumns count="5">
    <tableColumn id="1" xr3:uid="{C1737495-DFF0-46C2-8E84-38CB6694F338}" name="ASSETS" dataDxfId="4"/>
    <tableColumn id="2" xr3:uid="{1C4E9D42-EE65-41AC-918F-BC6B141C2F35}" name="Column1" dataDxfId="3"/>
    <tableColumn id="3" xr3:uid="{08BBDF87-054F-41FA-AC93-46AF0E010221}" name="31 December_x000a_2023"/>
    <tableColumn id="4" xr3:uid="{1A89473C-0715-4165-B140-A8DE40B5B43E}" name="31 December_x000a_2022"/>
    <tableColumn id="5" xr3:uid="{CC0A8FCA-983E-4E1B-AC09-9858E4C5FA65}" name="31 December_x000a_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A598A-CDAA-4B1A-9F05-84B6C04B5797}" name="Table34" displayName="Table34" ref="A1:E30" totalsRowShown="0" headerRowDxfId="2" headerRowCellStyle="Comma">
  <autoFilter ref="A1:E30" xr:uid="{FC747B3E-0EC7-4282-BC01-7F1E8D7B9062}"/>
  <tableColumns count="5">
    <tableColumn id="1" xr3:uid="{FEFB1CF5-810B-4E5C-B201-E2BEFA67130F}" name="ASSETS" dataDxfId="1"/>
    <tableColumn id="5" xr3:uid="{567783C0-464F-4D1A-ACE1-88DD934B1D2E}" name="Column1" dataDxfId="0"/>
    <tableColumn id="2" xr3:uid="{CC6CE9CD-90AB-45D1-B54A-C0B6EDD049F1}" name="31 December_x000a_2023"/>
    <tableColumn id="3" xr3:uid="{1893E154-84DF-4413-8695-90798A37ADC6}" name="31 December_x000a_2022"/>
    <tableColumn id="4" xr3:uid="{03DD0C58-B140-489A-91C3-357CB5708D16}" name="31 December_x000a_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2"/>
  <sheetViews>
    <sheetView topLeftCell="A76" zoomScale="69" zoomScaleNormal="69" workbookViewId="0">
      <pane xSplit="1" topLeftCell="C1" activePane="topRight" state="frozen"/>
      <selection pane="topRight" activeCell="E115" sqref="E115"/>
    </sheetView>
  </sheetViews>
  <sheetFormatPr defaultRowHeight="18.75"/>
  <cols>
    <col min="1" max="1" width="78.83203125" style="2" customWidth="1"/>
    <col min="2" max="2" width="46" style="56" customWidth="1"/>
    <col min="3" max="3" width="23.6640625" style="2" customWidth="1"/>
    <col min="4" max="4" width="24" style="2" customWidth="1"/>
    <col min="5" max="5" width="21.5" style="2" customWidth="1"/>
    <col min="6" max="6" width="24.6640625" style="7" customWidth="1"/>
    <col min="7" max="7" width="23.1640625" style="7" customWidth="1"/>
    <col min="8" max="8" width="26.5" style="7" customWidth="1"/>
    <col min="9" max="9" width="27" style="7" customWidth="1"/>
    <col min="10" max="10" width="26.83203125" style="7" customWidth="1"/>
    <col min="11" max="11" width="26.1640625" style="7" customWidth="1"/>
    <col min="12" max="12" width="26.33203125" style="7" customWidth="1"/>
    <col min="13" max="13" width="22.6640625" style="7" customWidth="1"/>
    <col min="14" max="14" width="20.83203125" style="7" customWidth="1"/>
    <col min="15" max="15" width="24.5" style="7" customWidth="1"/>
    <col min="16" max="16384" width="9.33203125" style="2"/>
  </cols>
  <sheetData>
    <row r="1" spans="1:15" s="20" customFormat="1" ht="37.5">
      <c r="A1" s="21"/>
      <c r="B1" s="56"/>
      <c r="C1" s="226" t="s">
        <v>39</v>
      </c>
      <c r="D1" s="226" t="s">
        <v>40</v>
      </c>
      <c r="E1" s="226" t="s">
        <v>41</v>
      </c>
      <c r="F1" s="226" t="s">
        <v>42</v>
      </c>
      <c r="G1" s="226" t="s">
        <v>43</v>
      </c>
      <c r="H1" s="226" t="s">
        <v>44</v>
      </c>
      <c r="I1" s="226" t="s">
        <v>45</v>
      </c>
      <c r="J1" s="226" t="s">
        <v>46</v>
      </c>
      <c r="K1" s="226" t="s">
        <v>47</v>
      </c>
      <c r="L1" s="226" t="s">
        <v>48</v>
      </c>
      <c r="M1" s="226" t="s">
        <v>49</v>
      </c>
      <c r="N1" s="226" t="s">
        <v>50</v>
      </c>
      <c r="O1" s="226" t="s">
        <v>51</v>
      </c>
    </row>
    <row r="2" spans="1:15">
      <c r="A2" s="4" t="s">
        <v>0</v>
      </c>
      <c r="C2" s="3"/>
      <c r="D2" s="3"/>
      <c r="E2" s="1"/>
    </row>
    <row r="3" spans="1:15">
      <c r="A3" s="4"/>
      <c r="C3" s="1"/>
      <c r="D3" s="1"/>
      <c r="E3" s="1"/>
    </row>
    <row r="4" spans="1:15">
      <c r="A4" s="5" t="s">
        <v>1</v>
      </c>
      <c r="C4" s="10">
        <v>100392000</v>
      </c>
      <c r="D4" s="10">
        <v>99768079</v>
      </c>
      <c r="E4" s="10">
        <v>445242444</v>
      </c>
      <c r="F4" s="7">
        <v>365033199</v>
      </c>
      <c r="G4" s="7">
        <v>370750837</v>
      </c>
      <c r="H4" s="7">
        <v>432463902</v>
      </c>
      <c r="I4" s="7">
        <v>422677701</v>
      </c>
      <c r="J4" s="7">
        <v>54788610</v>
      </c>
      <c r="K4" s="7">
        <v>86169682</v>
      </c>
      <c r="L4" s="7">
        <v>108656762</v>
      </c>
      <c r="M4" s="7">
        <v>72360166</v>
      </c>
      <c r="N4" s="7">
        <v>52628566.880000003</v>
      </c>
      <c r="O4" s="7">
        <v>58178298</v>
      </c>
    </row>
    <row r="5" spans="1:15">
      <c r="A5" s="5" t="s">
        <v>2</v>
      </c>
      <c r="C5" s="11" t="s">
        <v>3</v>
      </c>
      <c r="D5" s="11" t="s">
        <v>3</v>
      </c>
      <c r="E5" s="12">
        <v>157548767</v>
      </c>
      <c r="F5" s="7">
        <v>159880744</v>
      </c>
      <c r="G5" s="7">
        <v>162054711</v>
      </c>
      <c r="H5" s="7">
        <v>178613813</v>
      </c>
      <c r="I5" s="7">
        <v>174830865</v>
      </c>
      <c r="J5" s="7">
        <v>200465921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5" t="s">
        <v>4</v>
      </c>
      <c r="C6" s="11" t="s">
        <v>3</v>
      </c>
      <c r="D6" s="11" t="s">
        <v>3</v>
      </c>
      <c r="E6" s="10">
        <v>45246</v>
      </c>
      <c r="F6" s="7">
        <v>57025</v>
      </c>
      <c r="G6" s="7">
        <v>417018</v>
      </c>
      <c r="H6" s="7">
        <v>710799</v>
      </c>
      <c r="I6" s="7">
        <v>2714954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5" t="s">
        <v>5</v>
      </c>
      <c r="C7" s="10">
        <v>418917512</v>
      </c>
      <c r="D7" s="10">
        <v>492204421</v>
      </c>
      <c r="E7" s="10">
        <v>3973593</v>
      </c>
      <c r="F7" s="7">
        <v>15581262</v>
      </c>
      <c r="G7" s="7">
        <v>23926584</v>
      </c>
      <c r="H7" s="7">
        <v>13871663</v>
      </c>
      <c r="I7" s="7">
        <v>19407019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5" t="s">
        <v>6</v>
      </c>
      <c r="C8" s="10">
        <v>1002656364</v>
      </c>
      <c r="D8" s="10">
        <v>896238481</v>
      </c>
      <c r="E8" s="10">
        <v>864523237</v>
      </c>
      <c r="F8" s="7">
        <v>835773891</v>
      </c>
      <c r="G8" s="7">
        <v>813574709</v>
      </c>
      <c r="K8" s="7">
        <v>346627178</v>
      </c>
      <c r="L8" s="7">
        <v>138545190</v>
      </c>
      <c r="M8" s="7">
        <v>100695190</v>
      </c>
    </row>
    <row r="9" spans="1:15" ht="23.25" customHeight="1">
      <c r="A9" s="5" t="s">
        <v>7</v>
      </c>
      <c r="C9" s="10">
        <v>103436179</v>
      </c>
      <c r="D9" s="10">
        <v>142500000</v>
      </c>
      <c r="E9" s="10">
        <v>142500000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1:15">
      <c r="A10" s="5" t="s">
        <v>35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7">
        <v>305095992</v>
      </c>
      <c r="I10" s="7">
        <v>318589474</v>
      </c>
      <c r="J10" s="7">
        <v>265213476</v>
      </c>
      <c r="K10" s="7">
        <v>196305013</v>
      </c>
      <c r="L10" s="7">
        <v>179672554</v>
      </c>
      <c r="M10" s="10">
        <v>0</v>
      </c>
      <c r="N10" s="10">
        <v>0</v>
      </c>
      <c r="O10" s="10">
        <v>0</v>
      </c>
    </row>
    <row r="11" spans="1:15">
      <c r="A11" s="5" t="s">
        <v>36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7">
        <v>711724495</v>
      </c>
      <c r="I11" s="7">
        <v>716193655</v>
      </c>
      <c r="J11" s="7">
        <v>725525695</v>
      </c>
      <c r="L11" s="10">
        <v>0</v>
      </c>
      <c r="M11" s="10">
        <v>0</v>
      </c>
      <c r="N11" s="10">
        <v>0</v>
      </c>
      <c r="O11" s="10">
        <v>0</v>
      </c>
    </row>
    <row r="12" spans="1:15">
      <c r="A12" s="5" t="s">
        <v>8</v>
      </c>
      <c r="C12" s="13">
        <v>2700000</v>
      </c>
      <c r="D12" s="10">
        <v>0</v>
      </c>
      <c r="E12" s="10">
        <v>0</v>
      </c>
      <c r="F12" s="10">
        <v>0</v>
      </c>
      <c r="G12" s="10">
        <v>0</v>
      </c>
      <c r="L12" s="10">
        <v>0</v>
      </c>
      <c r="M12" s="10">
        <v>0</v>
      </c>
      <c r="N12" s="10">
        <v>0</v>
      </c>
      <c r="O12" s="10">
        <v>0</v>
      </c>
    </row>
    <row r="13" spans="1:15">
      <c r="A13" s="1" t="s">
        <v>34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J13" s="7">
        <v>203965673</v>
      </c>
      <c r="K13" s="7">
        <v>556522406</v>
      </c>
      <c r="L13" s="7">
        <v>380816596</v>
      </c>
      <c r="M13" s="7">
        <v>112699205</v>
      </c>
      <c r="N13" s="7">
        <v>119190905.90000001</v>
      </c>
      <c r="O13" s="7">
        <v>35258351</v>
      </c>
    </row>
    <row r="14" spans="1:15">
      <c r="A14" s="1"/>
      <c r="C14" s="10"/>
      <c r="D14" s="12"/>
      <c r="E14" s="12"/>
    </row>
    <row r="15" spans="1:15">
      <c r="A15" s="58" t="s">
        <v>110</v>
      </c>
      <c r="C15" s="22">
        <f>SUM(C3:C14)</f>
        <v>1628102055</v>
      </c>
      <c r="D15" s="22">
        <f t="shared" ref="D15:L15" si="0">SUM(D3:D14)</f>
        <v>1630710981</v>
      </c>
      <c r="E15" s="22">
        <f t="shared" si="0"/>
        <v>1613833287</v>
      </c>
      <c r="F15" s="22">
        <f t="shared" si="0"/>
        <v>1376326121</v>
      </c>
      <c r="G15" s="22">
        <f t="shared" si="0"/>
        <v>1370723859</v>
      </c>
      <c r="H15" s="22">
        <f t="shared" si="0"/>
        <v>1642480664</v>
      </c>
      <c r="I15" s="22">
        <f t="shared" si="0"/>
        <v>1654413668</v>
      </c>
      <c r="J15" s="22">
        <f t="shared" si="0"/>
        <v>1449959375</v>
      </c>
      <c r="K15" s="22">
        <f t="shared" si="0"/>
        <v>1185624279</v>
      </c>
      <c r="L15" s="22">
        <f t="shared" si="0"/>
        <v>807691102</v>
      </c>
      <c r="M15" s="22">
        <f t="shared" ref="M15" si="1">SUM(M3:M14)</f>
        <v>285754561</v>
      </c>
      <c r="N15" s="22">
        <f>SUM(N4:N14)</f>
        <v>171819472.78</v>
      </c>
      <c r="O15" s="22">
        <f>SUM(O4:O14)</f>
        <v>93436649</v>
      </c>
    </row>
    <row r="16" spans="1:15" s="19" customFormat="1">
      <c r="A16" s="4"/>
      <c r="B16" s="56"/>
      <c r="C16" s="17"/>
      <c r="D16" s="17"/>
      <c r="E16" s="1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5" t="s">
        <v>9</v>
      </c>
      <c r="C17" s="10">
        <v>101009844</v>
      </c>
      <c r="D17" s="12">
        <v>118021578</v>
      </c>
      <c r="E17" s="10">
        <v>284694461</v>
      </c>
      <c r="F17" s="7">
        <v>145666240</v>
      </c>
      <c r="G17" s="7">
        <v>196424010</v>
      </c>
      <c r="L17" s="7">
        <v>0</v>
      </c>
      <c r="M17" s="7">
        <v>0</v>
      </c>
      <c r="N17" s="7">
        <v>0</v>
      </c>
      <c r="O17" s="7">
        <v>0</v>
      </c>
    </row>
    <row r="18" spans="1:15">
      <c r="A18" s="5" t="s">
        <v>10</v>
      </c>
      <c r="C18" s="11" t="s">
        <v>3</v>
      </c>
      <c r="D18" s="7">
        <v>0</v>
      </c>
      <c r="E18" s="10">
        <v>223882</v>
      </c>
      <c r="F18" s="7">
        <v>1990061</v>
      </c>
      <c r="G18" s="7">
        <v>1908131</v>
      </c>
      <c r="H18" s="7">
        <v>2327493</v>
      </c>
      <c r="I18" s="7">
        <v>1855585</v>
      </c>
      <c r="L18" s="7">
        <v>0</v>
      </c>
      <c r="M18" s="7">
        <v>0</v>
      </c>
      <c r="N18" s="7">
        <v>0</v>
      </c>
      <c r="O18" s="7">
        <v>0</v>
      </c>
    </row>
    <row r="19" spans="1:15">
      <c r="A19" s="5" t="s">
        <v>11</v>
      </c>
      <c r="C19" s="10">
        <v>300000</v>
      </c>
      <c r="D19" s="7">
        <v>0</v>
      </c>
      <c r="E19" s="11" t="s">
        <v>3</v>
      </c>
      <c r="F19" s="7">
        <v>0</v>
      </c>
      <c r="G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>
      <c r="A20" s="5" t="s">
        <v>12</v>
      </c>
      <c r="C20" s="10">
        <v>41851888</v>
      </c>
      <c r="D20" s="12">
        <v>30396027</v>
      </c>
      <c r="E20" s="10">
        <v>45642918</v>
      </c>
      <c r="F20" s="7">
        <v>17793628</v>
      </c>
      <c r="G20" s="7">
        <v>15433086</v>
      </c>
      <c r="H20" s="7">
        <v>9366372</v>
      </c>
      <c r="I20" s="7">
        <v>8531567</v>
      </c>
      <c r="J20" s="7">
        <v>1966905</v>
      </c>
      <c r="L20" s="7">
        <v>0</v>
      </c>
      <c r="M20" s="7">
        <v>0</v>
      </c>
      <c r="N20" s="7">
        <v>13160671.699999999</v>
      </c>
      <c r="O20" s="7">
        <v>6514204</v>
      </c>
    </row>
    <row r="21" spans="1:15">
      <c r="A21" s="5" t="s">
        <v>13</v>
      </c>
      <c r="C21" s="10">
        <v>22430291</v>
      </c>
      <c r="D21" s="12">
        <v>2562144</v>
      </c>
      <c r="E21" s="10">
        <v>17351926</v>
      </c>
      <c r="F21" s="7">
        <v>11673189</v>
      </c>
      <c r="G21" s="7">
        <v>13523264</v>
      </c>
      <c r="H21" s="7">
        <v>13018756</v>
      </c>
      <c r="I21" s="7">
        <v>10058176</v>
      </c>
      <c r="J21" s="7">
        <f>500000+2648309</f>
        <v>3148309</v>
      </c>
      <c r="K21" s="7">
        <f>4008026+2164808</f>
        <v>6172834</v>
      </c>
      <c r="L21" s="7">
        <f>1269530+178082433+328347</f>
        <v>179680310</v>
      </c>
      <c r="M21" s="7">
        <f>205657+286909836+113905</f>
        <v>287229398</v>
      </c>
      <c r="N21" s="7">
        <v>319560.92</v>
      </c>
      <c r="O21" s="7">
        <v>2254124</v>
      </c>
    </row>
    <row r="22" spans="1:15">
      <c r="A22" s="5" t="s">
        <v>14</v>
      </c>
      <c r="C22" s="16">
        <v>78031037</v>
      </c>
      <c r="D22" s="14">
        <v>94635993</v>
      </c>
      <c r="E22" s="16">
        <v>17828899</v>
      </c>
      <c r="F22" s="23">
        <v>18528831</v>
      </c>
      <c r="G22" s="7">
        <v>47882726</v>
      </c>
      <c r="H22" s="7">
        <v>54440450</v>
      </c>
      <c r="I22" s="7">
        <v>51398393</v>
      </c>
      <c r="J22" s="7">
        <v>70963141</v>
      </c>
      <c r="K22" s="7">
        <v>7627821</v>
      </c>
      <c r="L22" s="7">
        <v>126621495</v>
      </c>
      <c r="M22" s="7">
        <v>108475573</v>
      </c>
      <c r="N22" s="7">
        <v>128735.87</v>
      </c>
      <c r="O22" s="7">
        <v>3486985</v>
      </c>
    </row>
    <row r="23" spans="1:15">
      <c r="A23" s="58" t="s">
        <v>111</v>
      </c>
      <c r="C23" s="24">
        <f>SUM(C17:C22)</f>
        <v>243623060</v>
      </c>
      <c r="D23" s="24">
        <f t="shared" ref="D23:L23" si="2">SUM(D17:D22)</f>
        <v>245615742</v>
      </c>
      <c r="E23" s="24">
        <f t="shared" si="2"/>
        <v>365742086</v>
      </c>
      <c r="F23" s="24">
        <f t="shared" si="2"/>
        <v>195651949</v>
      </c>
      <c r="G23" s="24">
        <f t="shared" si="2"/>
        <v>275171217</v>
      </c>
      <c r="H23" s="24">
        <f t="shared" si="2"/>
        <v>79153071</v>
      </c>
      <c r="I23" s="24">
        <f t="shared" si="2"/>
        <v>71843721</v>
      </c>
      <c r="J23" s="24">
        <f t="shared" si="2"/>
        <v>76078355</v>
      </c>
      <c r="K23" s="24">
        <f t="shared" si="2"/>
        <v>13800655</v>
      </c>
      <c r="L23" s="24">
        <f t="shared" si="2"/>
        <v>306301805</v>
      </c>
      <c r="M23" s="24">
        <f t="shared" ref="M23" si="3">SUM(M17:M22)</f>
        <v>395704971</v>
      </c>
      <c r="N23" s="24">
        <f t="shared" ref="N23" si="4">SUM(N17:N22)</f>
        <v>13608968.489999998</v>
      </c>
      <c r="O23" s="24">
        <f t="shared" ref="O23" si="5">SUM(O17:O22)</f>
        <v>12255313</v>
      </c>
    </row>
    <row r="24" spans="1:15">
      <c r="A24" s="58" t="s">
        <v>112</v>
      </c>
      <c r="C24" s="25">
        <f>C15+C23</f>
        <v>1871725115</v>
      </c>
      <c r="D24" s="25">
        <f>D15+D23</f>
        <v>1876326723</v>
      </c>
      <c r="E24" s="25">
        <f t="shared" ref="E24" si="6">E15+E23</f>
        <v>1979575373</v>
      </c>
      <c r="F24" s="25">
        <f t="shared" ref="F24" si="7">F15+F23</f>
        <v>1571978070</v>
      </c>
      <c r="G24" s="25">
        <f t="shared" ref="G24" si="8">G15+G23</f>
        <v>1645895076</v>
      </c>
      <c r="H24" s="25">
        <f t="shared" ref="H24" si="9">H15+H23</f>
        <v>1721633735</v>
      </c>
      <c r="I24" s="25">
        <f t="shared" ref="I24" si="10">I15+I23</f>
        <v>1726257389</v>
      </c>
      <c r="J24" s="25">
        <f t="shared" ref="J24" si="11">J15+J23</f>
        <v>1526037730</v>
      </c>
      <c r="K24" s="25">
        <f t="shared" ref="K24" si="12">K15+K23</f>
        <v>1199424934</v>
      </c>
      <c r="L24" s="25">
        <f t="shared" ref="L24" si="13">L15+L23</f>
        <v>1113992907</v>
      </c>
      <c r="M24" s="25">
        <f t="shared" ref="M24" si="14">M15+M23</f>
        <v>681459532</v>
      </c>
      <c r="N24" s="25">
        <f t="shared" ref="N24" si="15">N15+N23</f>
        <v>185428441.27000001</v>
      </c>
      <c r="O24" s="25">
        <f t="shared" ref="O24" si="16">O15+O23</f>
        <v>105691962</v>
      </c>
    </row>
    <row r="25" spans="1:15">
      <c r="A25" s="4"/>
      <c r="C25" s="26"/>
      <c r="D25" s="26"/>
      <c r="E25" s="26"/>
      <c r="F25" s="26"/>
      <c r="G25" s="26"/>
      <c r="H25" s="26"/>
      <c r="I25" s="26"/>
      <c r="J25" s="26"/>
      <c r="K25" s="26"/>
      <c r="L25" s="26"/>
      <c r="N25" s="27"/>
      <c r="O25" s="27"/>
    </row>
    <row r="26" spans="1:15">
      <c r="A26" s="6" t="s">
        <v>15</v>
      </c>
      <c r="C26" s="28"/>
      <c r="D26" s="28"/>
      <c r="E26" s="28"/>
    </row>
    <row r="27" spans="1:15">
      <c r="A27" s="4"/>
      <c r="C27" s="17"/>
      <c r="D27" s="17"/>
      <c r="E27" s="17"/>
    </row>
    <row r="28" spans="1:15">
      <c r="A28" s="5" t="s">
        <v>16</v>
      </c>
      <c r="C28" s="10">
        <v>5000000</v>
      </c>
      <c r="D28" s="10">
        <v>5000000</v>
      </c>
      <c r="E28" s="10">
        <v>5000000</v>
      </c>
      <c r="F28" s="7">
        <v>5000000</v>
      </c>
      <c r="G28" s="7">
        <v>5000000</v>
      </c>
      <c r="H28" s="7">
        <v>5000000</v>
      </c>
      <c r="I28" s="7">
        <v>5000000</v>
      </c>
      <c r="J28" s="7">
        <v>5000000</v>
      </c>
      <c r="K28" s="7">
        <v>5000000</v>
      </c>
      <c r="L28" s="7">
        <v>5000000</v>
      </c>
      <c r="M28" s="7">
        <v>5000000</v>
      </c>
      <c r="N28" s="7">
        <v>0</v>
      </c>
      <c r="O28" s="7">
        <v>0</v>
      </c>
    </row>
    <row r="29" spans="1:15">
      <c r="A29" s="2" t="s">
        <v>30</v>
      </c>
      <c r="C29" s="7">
        <v>0</v>
      </c>
      <c r="D29" s="7">
        <v>0</v>
      </c>
      <c r="E29" s="7">
        <v>0</v>
      </c>
      <c r="F29" s="7">
        <v>93001070</v>
      </c>
      <c r="G29" s="7">
        <v>93001070</v>
      </c>
      <c r="H29" s="7">
        <v>93001070</v>
      </c>
      <c r="I29" s="7">
        <v>93001070</v>
      </c>
      <c r="J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>
      <c r="A30" s="5" t="s">
        <v>17</v>
      </c>
      <c r="C30" s="10">
        <v>1000142329</v>
      </c>
      <c r="D30" s="12">
        <v>1000142329</v>
      </c>
      <c r="E30" s="10">
        <v>170381070</v>
      </c>
      <c r="F30" s="7">
        <v>0</v>
      </c>
      <c r="G30" s="7">
        <v>0</v>
      </c>
      <c r="J30" s="7">
        <v>957672562</v>
      </c>
      <c r="K30" s="7">
        <v>808122249</v>
      </c>
      <c r="L30" s="7">
        <v>833694755</v>
      </c>
      <c r="M30" s="7">
        <v>264266647</v>
      </c>
      <c r="N30" s="7">
        <v>0</v>
      </c>
      <c r="O30" s="7">
        <v>0</v>
      </c>
    </row>
    <row r="31" spans="1:15">
      <c r="A31" s="5" t="s">
        <v>18</v>
      </c>
      <c r="C31" s="10">
        <v>4147542</v>
      </c>
      <c r="D31" s="10">
        <v>4147542</v>
      </c>
      <c r="E31" s="10">
        <v>4147542</v>
      </c>
      <c r="F31" s="7">
        <v>4147542</v>
      </c>
      <c r="G31" s="7">
        <v>4147542</v>
      </c>
      <c r="H31" s="7">
        <v>4147542</v>
      </c>
      <c r="I31" s="7">
        <v>4147542</v>
      </c>
      <c r="J31" s="7">
        <v>4147542</v>
      </c>
      <c r="K31" s="7">
        <v>4147542</v>
      </c>
      <c r="L31" s="7">
        <v>4147542</v>
      </c>
      <c r="M31" s="7">
        <v>4147542</v>
      </c>
      <c r="N31" s="7">
        <v>0</v>
      </c>
      <c r="O31" s="7">
        <v>0</v>
      </c>
    </row>
    <row r="32" spans="1:15">
      <c r="A32" s="5" t="s">
        <v>19</v>
      </c>
      <c r="C32" s="11">
        <v>-1662706</v>
      </c>
      <c r="D32" s="15">
        <v>-1625150</v>
      </c>
      <c r="E32" s="10">
        <v>-1780411</v>
      </c>
      <c r="F32" s="7">
        <v>0</v>
      </c>
      <c r="G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>
      <c r="A33" s="5" t="s">
        <v>20</v>
      </c>
      <c r="C33" s="11">
        <v>-39063821</v>
      </c>
      <c r="D33" s="7">
        <v>0</v>
      </c>
      <c r="E33" s="7">
        <v>0</v>
      </c>
      <c r="F33" s="7">
        <v>0</v>
      </c>
      <c r="G33" s="7">
        <v>0</v>
      </c>
      <c r="J33" s="7">
        <v>-31502754</v>
      </c>
      <c r="K33" s="7">
        <v>-35783617</v>
      </c>
      <c r="L33" s="7">
        <v>-338536</v>
      </c>
      <c r="M33" s="7">
        <v>0</v>
      </c>
      <c r="N33" s="7">
        <v>0</v>
      </c>
      <c r="O33" s="7">
        <v>0</v>
      </c>
    </row>
    <row r="34" spans="1:15">
      <c r="A34" s="5" t="s">
        <v>21</v>
      </c>
      <c r="C34" s="13">
        <v>614875841</v>
      </c>
      <c r="D34" s="13">
        <v>644240453</v>
      </c>
      <c r="E34" s="13">
        <v>648425311</v>
      </c>
      <c r="F34" s="7">
        <v>551274649</v>
      </c>
      <c r="G34" s="7">
        <v>546044667</v>
      </c>
      <c r="H34" s="7">
        <v>601845670</v>
      </c>
      <c r="I34" s="7">
        <v>561306225</v>
      </c>
      <c r="J34" s="7">
        <v>584363374</v>
      </c>
      <c r="K34" s="7">
        <v>415911438</v>
      </c>
      <c r="L34" s="7">
        <v>269780194</v>
      </c>
      <c r="M34" s="7">
        <v>407064196</v>
      </c>
      <c r="N34" s="7">
        <v>-7808244.8700000001</v>
      </c>
      <c r="O34" s="7">
        <v>-5607049</v>
      </c>
    </row>
    <row r="35" spans="1:15">
      <c r="A35" s="58" t="s">
        <v>113</v>
      </c>
      <c r="C35" s="22">
        <f>SUM(C28:C34)</f>
        <v>1583439185</v>
      </c>
      <c r="D35" s="22">
        <f t="shared" ref="D35:E35" si="17">SUM(D28:D34)</f>
        <v>1651905174</v>
      </c>
      <c r="E35" s="22">
        <f t="shared" si="17"/>
        <v>826173512</v>
      </c>
      <c r="F35" s="22">
        <f>SUM(F28:F34)</f>
        <v>653423261</v>
      </c>
      <c r="G35" s="22">
        <f t="shared" ref="G35" si="18">SUM(G28:G34)</f>
        <v>648193279</v>
      </c>
      <c r="H35" s="22">
        <f t="shared" ref="H35" si="19">SUM(H28:H34)</f>
        <v>703994282</v>
      </c>
      <c r="I35" s="22">
        <f t="shared" ref="I35" si="20">SUM(I28:I34)</f>
        <v>663454837</v>
      </c>
      <c r="J35" s="22">
        <f t="shared" ref="J35" si="21">SUM(J28:J34)</f>
        <v>1519680724</v>
      </c>
      <c r="K35" s="22">
        <f t="shared" ref="K35" si="22">SUM(K28:K34)</f>
        <v>1197397612</v>
      </c>
      <c r="L35" s="22">
        <f>SUM(L28:L34)</f>
        <v>1112283955</v>
      </c>
      <c r="M35" s="22">
        <f t="shared" ref="M35" si="23">SUM(M28:M34)</f>
        <v>680478385</v>
      </c>
      <c r="N35" s="22">
        <f t="shared" ref="N35" si="24">SUM(N28:N34)</f>
        <v>-7808244.8700000001</v>
      </c>
      <c r="O35" s="22">
        <f t="shared" ref="O35" si="25">SUM(O28:O34)</f>
        <v>-5607049</v>
      </c>
    </row>
    <row r="36" spans="1:15" s="19" customFormat="1">
      <c r="A36" s="4"/>
      <c r="B36" s="56"/>
      <c r="C36" s="26"/>
      <c r="D36" s="26"/>
      <c r="E36" s="26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6" t="s">
        <v>22</v>
      </c>
      <c r="C37" s="28"/>
      <c r="D37" s="28"/>
      <c r="E37" s="28"/>
    </row>
    <row r="38" spans="1:15">
      <c r="A38" s="4"/>
      <c r="C38" s="17"/>
      <c r="D38" s="17"/>
      <c r="E38" s="17"/>
    </row>
    <row r="39" spans="1:15">
      <c r="A39" s="5" t="s">
        <v>23</v>
      </c>
      <c r="C39" s="10">
        <v>977877</v>
      </c>
      <c r="D39" s="12">
        <v>616571</v>
      </c>
      <c r="E39" s="10">
        <v>3247675</v>
      </c>
      <c r="F39" s="7">
        <v>2804884</v>
      </c>
      <c r="G39" s="7">
        <v>2708862</v>
      </c>
      <c r="H39" s="7">
        <v>3243533</v>
      </c>
      <c r="I39" s="7">
        <v>1620021</v>
      </c>
      <c r="J39" s="7">
        <v>1004054</v>
      </c>
      <c r="K39" s="7">
        <v>584530</v>
      </c>
      <c r="L39" s="7">
        <v>529248</v>
      </c>
      <c r="M39" s="7">
        <v>239229</v>
      </c>
      <c r="N39" s="10">
        <v>0</v>
      </c>
      <c r="O39" s="10">
        <v>0</v>
      </c>
    </row>
    <row r="40" spans="1:15">
      <c r="A40" s="5" t="s">
        <v>24</v>
      </c>
      <c r="C40" s="10">
        <v>133507594</v>
      </c>
      <c r="D40" s="12">
        <v>47500000</v>
      </c>
      <c r="E40" s="10">
        <v>187500000</v>
      </c>
      <c r="F40" s="10">
        <v>0</v>
      </c>
      <c r="G40" s="7">
        <v>25546522</v>
      </c>
      <c r="L40" s="10">
        <v>0</v>
      </c>
      <c r="M40" s="10">
        <v>0</v>
      </c>
      <c r="N40" s="7">
        <v>192331467.13999999</v>
      </c>
      <c r="O40" s="7">
        <v>110615316</v>
      </c>
    </row>
    <row r="41" spans="1:15">
      <c r="A41" s="5" t="s">
        <v>25</v>
      </c>
      <c r="C41" s="10">
        <v>12061423</v>
      </c>
      <c r="D41" s="12">
        <v>3719703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>
      <c r="A42" s="5" t="s">
        <v>38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>
      <c r="A43" s="5" t="s">
        <v>26</v>
      </c>
      <c r="C43" s="10">
        <v>0</v>
      </c>
      <c r="D43" s="14">
        <v>6310184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>
      <c r="A44" s="58" t="s">
        <v>114</v>
      </c>
      <c r="C44" s="22">
        <f>SUM(C39:C43)</f>
        <v>146546894</v>
      </c>
      <c r="D44" s="25">
        <f t="shared" ref="D44:E44" si="26">SUM(D39:D43)</f>
        <v>58146458</v>
      </c>
      <c r="E44" s="22">
        <f t="shared" si="26"/>
        <v>190747675</v>
      </c>
      <c r="F44" s="22">
        <f t="shared" ref="F44" si="27">SUM(F39:F43)</f>
        <v>2804884</v>
      </c>
      <c r="G44" s="22">
        <f t="shared" ref="G44" si="28">SUM(G39:G43)</f>
        <v>28255384</v>
      </c>
      <c r="H44" s="22">
        <f t="shared" ref="H44" si="29">SUM(H39:H43)</f>
        <v>3243533</v>
      </c>
      <c r="I44" s="22">
        <f t="shared" ref="I44" si="30">SUM(I39:I43)</f>
        <v>1620021</v>
      </c>
      <c r="J44" s="22">
        <f t="shared" ref="J44" si="31">SUM(J39:J43)</f>
        <v>1004054</v>
      </c>
      <c r="K44" s="22">
        <f t="shared" ref="K44" si="32">SUM(K39:K43)</f>
        <v>584530</v>
      </c>
      <c r="L44" s="22">
        <f t="shared" ref="L44" si="33">SUM(L39:L43)</f>
        <v>529248</v>
      </c>
      <c r="M44" s="22">
        <f t="shared" ref="M44" si="34">SUM(M39:M43)</f>
        <v>239229</v>
      </c>
      <c r="N44" s="22">
        <f t="shared" ref="N44" si="35">SUM(N39:N43)</f>
        <v>192331467.13999999</v>
      </c>
      <c r="O44" s="22">
        <f t="shared" ref="O44" si="36">SUM(O39:O43)</f>
        <v>110615316</v>
      </c>
    </row>
    <row r="45" spans="1:15">
      <c r="A45" s="9"/>
      <c r="C45" s="10"/>
      <c r="D45" s="12"/>
      <c r="E45" s="12"/>
    </row>
    <row r="46" spans="1:15">
      <c r="A46" s="1" t="s">
        <v>32</v>
      </c>
      <c r="C46" s="10">
        <v>0</v>
      </c>
      <c r="D46" s="10">
        <v>0</v>
      </c>
      <c r="E46" s="10">
        <v>0</v>
      </c>
      <c r="F46" s="10">
        <v>0</v>
      </c>
      <c r="G46" s="7">
        <v>261050</v>
      </c>
      <c r="L46" s="10">
        <v>0</v>
      </c>
      <c r="M46" s="10">
        <v>0</v>
      </c>
      <c r="N46" s="10">
        <v>0</v>
      </c>
      <c r="O46" s="10">
        <v>0</v>
      </c>
    </row>
    <row r="47" spans="1:15" ht="21" customHeight="1">
      <c r="A47" s="8" t="s">
        <v>31</v>
      </c>
      <c r="C47" s="29">
        <v>97579961</v>
      </c>
      <c r="D47" s="30">
        <v>100611458</v>
      </c>
      <c r="E47" s="29">
        <v>939156940</v>
      </c>
      <c r="F47" s="7">
        <v>899789587</v>
      </c>
      <c r="G47" s="7">
        <v>954555296</v>
      </c>
      <c r="H47" s="7">
        <v>992308706</v>
      </c>
      <c r="I47" s="7">
        <v>1044746399</v>
      </c>
      <c r="J47" s="7">
        <v>300000</v>
      </c>
      <c r="L47" s="10">
        <v>0</v>
      </c>
      <c r="M47" s="10">
        <v>0</v>
      </c>
      <c r="N47" s="10">
        <v>0</v>
      </c>
      <c r="O47" s="10">
        <v>0</v>
      </c>
    </row>
    <row r="48" spans="1:15">
      <c r="A48" s="5" t="s">
        <v>27</v>
      </c>
      <c r="C48" s="10">
        <v>3242548</v>
      </c>
      <c r="D48" s="12">
        <v>4529394</v>
      </c>
      <c r="E48" s="10">
        <v>15006604</v>
      </c>
      <c r="F48" s="7">
        <v>14406445</v>
      </c>
      <c r="G48" s="7">
        <v>13861309</v>
      </c>
      <c r="H48" s="7">
        <v>21056725</v>
      </c>
      <c r="I48" s="7">
        <v>14665805</v>
      </c>
      <c r="J48" s="7">
        <v>4140439</v>
      </c>
      <c r="K48" s="7">
        <v>1442792</v>
      </c>
      <c r="L48" s="7">
        <v>986380</v>
      </c>
      <c r="M48" s="7">
        <v>723490</v>
      </c>
      <c r="N48" s="7">
        <v>665990</v>
      </c>
      <c r="O48" s="7">
        <v>518587</v>
      </c>
    </row>
    <row r="49" spans="1:15">
      <c r="A49" s="5" t="s">
        <v>28</v>
      </c>
      <c r="C49" s="10">
        <v>8005969</v>
      </c>
      <c r="D49" s="12">
        <v>11259274</v>
      </c>
      <c r="E49" s="10">
        <v>8490642</v>
      </c>
      <c r="F49" s="7">
        <v>1553893</v>
      </c>
      <c r="G49" s="7">
        <v>768758</v>
      </c>
      <c r="H49" s="7">
        <v>65659</v>
      </c>
      <c r="I49" s="7">
        <v>203043</v>
      </c>
      <c r="J49" s="7">
        <v>203043</v>
      </c>
      <c r="L49" s="7">
        <v>193324</v>
      </c>
      <c r="M49" s="7">
        <v>18428</v>
      </c>
      <c r="N49" s="10">
        <v>0</v>
      </c>
      <c r="O49" s="10">
        <v>0</v>
      </c>
    </row>
    <row r="50" spans="1:15">
      <c r="A50" s="5" t="s">
        <v>29</v>
      </c>
      <c r="C50" s="10">
        <v>32910558</v>
      </c>
      <c r="D50" s="12">
        <v>49874965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</row>
    <row r="51" spans="1:15">
      <c r="A51" s="1" t="s">
        <v>33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7">
        <v>239229</v>
      </c>
      <c r="O51" s="7">
        <v>165108</v>
      </c>
    </row>
    <row r="52" spans="1:15">
      <c r="A52" s="1" t="s">
        <v>37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</row>
    <row r="53" spans="1:15">
      <c r="A53" s="58" t="s">
        <v>107</v>
      </c>
      <c r="C53" s="31">
        <f>SUM(C46:C52)</f>
        <v>141739036</v>
      </c>
      <c r="D53" s="31">
        <f>SUM(D46:D52)</f>
        <v>166275091</v>
      </c>
      <c r="E53" s="31">
        <f>SUM(E46:E52)</f>
        <v>962654186</v>
      </c>
      <c r="F53" s="32">
        <f t="shared" ref="F53:O53" si="37">SUM(F46:F52)</f>
        <v>915749925</v>
      </c>
      <c r="G53" s="32">
        <f t="shared" si="37"/>
        <v>969446413</v>
      </c>
      <c r="H53" s="32">
        <f t="shared" si="37"/>
        <v>1013431090</v>
      </c>
      <c r="I53" s="32">
        <f t="shared" si="37"/>
        <v>1059615247</v>
      </c>
      <c r="J53" s="32">
        <f t="shared" si="37"/>
        <v>4643482</v>
      </c>
      <c r="K53" s="32">
        <f t="shared" si="37"/>
        <v>1442792</v>
      </c>
      <c r="L53" s="32">
        <f t="shared" si="37"/>
        <v>1179704</v>
      </c>
      <c r="M53" s="32">
        <f t="shared" si="37"/>
        <v>741918</v>
      </c>
      <c r="N53" s="32">
        <f t="shared" si="37"/>
        <v>905219</v>
      </c>
      <c r="O53" s="32">
        <f t="shared" si="37"/>
        <v>683695</v>
      </c>
    </row>
    <row r="54" spans="1:15">
      <c r="A54" s="58" t="s">
        <v>108</v>
      </c>
      <c r="C54" s="31">
        <f>C44+C53</f>
        <v>288285930</v>
      </c>
      <c r="D54" s="31">
        <f t="shared" ref="D54:O54" si="38">D44+D53</f>
        <v>224421549</v>
      </c>
      <c r="E54" s="31">
        <f t="shared" si="38"/>
        <v>1153401861</v>
      </c>
      <c r="F54" s="31">
        <f t="shared" si="38"/>
        <v>918554809</v>
      </c>
      <c r="G54" s="31">
        <f t="shared" si="38"/>
        <v>997701797</v>
      </c>
      <c r="H54" s="31">
        <f t="shared" si="38"/>
        <v>1016674623</v>
      </c>
      <c r="I54" s="31">
        <f t="shared" si="38"/>
        <v>1061235268</v>
      </c>
      <c r="J54" s="31">
        <f t="shared" si="38"/>
        <v>5647536</v>
      </c>
      <c r="K54" s="31">
        <f t="shared" si="38"/>
        <v>2027322</v>
      </c>
      <c r="L54" s="31">
        <f t="shared" si="38"/>
        <v>1708952</v>
      </c>
      <c r="M54" s="31">
        <f t="shared" si="38"/>
        <v>981147</v>
      </c>
      <c r="N54" s="31">
        <f t="shared" si="38"/>
        <v>193236686.13999999</v>
      </c>
      <c r="O54" s="31">
        <f t="shared" si="38"/>
        <v>111299011</v>
      </c>
    </row>
    <row r="55" spans="1:15">
      <c r="A55" s="58" t="s">
        <v>109</v>
      </c>
      <c r="C55" s="22">
        <f>C35+C44+C53</f>
        <v>1871725115</v>
      </c>
      <c r="D55" s="22">
        <f>D35+D44+D53</f>
        <v>1876326723</v>
      </c>
      <c r="E55" s="22">
        <f>E35+E44+E53</f>
        <v>1979575373</v>
      </c>
      <c r="F55" s="33">
        <f t="shared" ref="F55:O55" si="39">F35+F44+F53</f>
        <v>1571978070</v>
      </c>
      <c r="G55" s="33">
        <f t="shared" si="39"/>
        <v>1645895076</v>
      </c>
      <c r="H55" s="33">
        <f t="shared" si="39"/>
        <v>1720668905</v>
      </c>
      <c r="I55" s="33">
        <f t="shared" si="39"/>
        <v>1724690105</v>
      </c>
      <c r="J55" s="33">
        <f t="shared" si="39"/>
        <v>1525328260</v>
      </c>
      <c r="K55" s="33">
        <f t="shared" si="39"/>
        <v>1199424934</v>
      </c>
      <c r="L55" s="33">
        <f t="shared" si="39"/>
        <v>1113992907</v>
      </c>
      <c r="M55" s="33">
        <f t="shared" si="39"/>
        <v>681459532</v>
      </c>
      <c r="N55" s="33">
        <f t="shared" si="39"/>
        <v>185428441.26999998</v>
      </c>
      <c r="O55" s="33">
        <f t="shared" si="39"/>
        <v>105691962</v>
      </c>
    </row>
    <row r="56" spans="1:15">
      <c r="C56" s="7"/>
      <c r="D56" s="7"/>
      <c r="E56" s="7"/>
    </row>
    <row r="57" spans="1:15" ht="19.5" thickBot="1">
      <c r="C57" s="34">
        <f t="shared" ref="C57:O57" si="40">C24-C55</f>
        <v>0</v>
      </c>
      <c r="D57" s="34">
        <f t="shared" si="40"/>
        <v>0</v>
      </c>
      <c r="E57" s="34">
        <f t="shared" si="40"/>
        <v>0</v>
      </c>
      <c r="F57" s="34">
        <f t="shared" si="40"/>
        <v>0</v>
      </c>
      <c r="G57" s="34">
        <f t="shared" si="40"/>
        <v>0</v>
      </c>
      <c r="H57" s="34">
        <f t="shared" si="40"/>
        <v>964830</v>
      </c>
      <c r="I57" s="34">
        <f t="shared" si="40"/>
        <v>1567284</v>
      </c>
      <c r="J57" s="34">
        <f t="shared" si="40"/>
        <v>709470</v>
      </c>
      <c r="K57" s="34">
        <f t="shared" si="40"/>
        <v>0</v>
      </c>
      <c r="L57" s="34">
        <f t="shared" si="40"/>
        <v>0</v>
      </c>
      <c r="M57" s="34">
        <f t="shared" si="40"/>
        <v>0</v>
      </c>
      <c r="N57" s="34">
        <f t="shared" si="40"/>
        <v>0</v>
      </c>
      <c r="O57" s="34">
        <f t="shared" si="40"/>
        <v>0</v>
      </c>
    </row>
    <row r="58" spans="1:15" ht="19.5" thickTop="1">
      <c r="C58" s="7"/>
      <c r="D58" s="7"/>
      <c r="E58" s="7"/>
    </row>
    <row r="60" spans="1:15" ht="37.5">
      <c r="A60" s="48"/>
      <c r="C60" s="35" t="s">
        <v>39</v>
      </c>
      <c r="D60" s="35" t="s">
        <v>40</v>
      </c>
      <c r="E60" s="35" t="s">
        <v>41</v>
      </c>
      <c r="F60" s="35" t="s">
        <v>42</v>
      </c>
      <c r="G60" s="35" t="s">
        <v>43</v>
      </c>
      <c r="H60" s="35" t="s">
        <v>44</v>
      </c>
      <c r="I60" s="35" t="s">
        <v>45</v>
      </c>
      <c r="J60" s="35" t="s">
        <v>46</v>
      </c>
      <c r="K60" s="35" t="s">
        <v>47</v>
      </c>
      <c r="L60" s="35" t="s">
        <v>48</v>
      </c>
      <c r="M60" s="35" t="s">
        <v>49</v>
      </c>
      <c r="N60" s="35" t="s">
        <v>50</v>
      </c>
      <c r="O60" s="35" t="s">
        <v>51</v>
      </c>
    </row>
    <row r="61" spans="1:15">
      <c r="A61" s="59" t="s">
        <v>52</v>
      </c>
      <c r="C61" s="7">
        <v>582253</v>
      </c>
      <c r="D61" s="7">
        <v>1525400</v>
      </c>
      <c r="E61" s="7">
        <v>46084049</v>
      </c>
      <c r="F61" s="7">
        <v>40048682</v>
      </c>
      <c r="G61" s="7">
        <v>90795289</v>
      </c>
      <c r="H61" s="7">
        <v>40420239</v>
      </c>
      <c r="I61" s="7">
        <v>23996768</v>
      </c>
      <c r="J61" s="7">
        <v>11900401</v>
      </c>
      <c r="K61" s="7">
        <v>4866273</v>
      </c>
      <c r="L61" s="7">
        <v>13521877</v>
      </c>
      <c r="M61" s="7">
        <v>3977714</v>
      </c>
      <c r="N61" s="7">
        <v>0</v>
      </c>
      <c r="O61" s="7">
        <v>0</v>
      </c>
    </row>
    <row r="62" spans="1:15">
      <c r="A62" s="60" t="s">
        <v>53</v>
      </c>
      <c r="C62" s="18">
        <v>-660104</v>
      </c>
      <c r="D62" s="36">
        <v>-1420644</v>
      </c>
      <c r="E62" s="7">
        <v>-42669105</v>
      </c>
      <c r="F62" s="7">
        <v>-36587180</v>
      </c>
      <c r="G62" s="7">
        <v>-67392010</v>
      </c>
      <c r="H62" s="7">
        <v>-43354180</v>
      </c>
      <c r="I62" s="7">
        <v>-28487888</v>
      </c>
      <c r="J62" s="7">
        <v>-669201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>
      <c r="A63" s="61" t="s">
        <v>54</v>
      </c>
      <c r="C63" s="37">
        <v>-77851</v>
      </c>
      <c r="D63" s="37">
        <v>104756</v>
      </c>
      <c r="E63" s="37">
        <v>3414944</v>
      </c>
      <c r="F63" s="37">
        <v>3461502</v>
      </c>
      <c r="G63" s="52">
        <v>23403279</v>
      </c>
      <c r="H63" s="37">
        <v>-2933941</v>
      </c>
      <c r="I63" s="37">
        <v>-4491120</v>
      </c>
      <c r="J63" s="37">
        <v>11231200</v>
      </c>
      <c r="K63" s="37">
        <v>4866273</v>
      </c>
      <c r="L63" s="37">
        <v>13521877</v>
      </c>
      <c r="M63" s="37">
        <v>3977714</v>
      </c>
      <c r="N63" s="37">
        <v>0</v>
      </c>
      <c r="O63" s="37">
        <v>0</v>
      </c>
    </row>
    <row r="64" spans="1:15">
      <c r="A64" s="49" t="s">
        <v>84</v>
      </c>
      <c r="C64" s="45">
        <v>0</v>
      </c>
      <c r="D64" s="45">
        <v>0</v>
      </c>
      <c r="E64" s="7">
        <v>-820557</v>
      </c>
      <c r="F64" s="7">
        <v>-965713</v>
      </c>
      <c r="G64" s="53">
        <v>-3575230</v>
      </c>
      <c r="H64" s="11">
        <v>-1697583</v>
      </c>
      <c r="I64" s="11">
        <v>-1172092</v>
      </c>
      <c r="J64" s="11">
        <v>-1118463</v>
      </c>
      <c r="K64" s="11">
        <v>-1714036</v>
      </c>
      <c r="L64" s="11">
        <v>-422214</v>
      </c>
      <c r="M64" s="11">
        <v>-669401</v>
      </c>
      <c r="N64" s="7">
        <v>0</v>
      </c>
      <c r="O64" s="7">
        <v>0</v>
      </c>
    </row>
    <row r="65" spans="1:15">
      <c r="A65" s="49" t="s">
        <v>55</v>
      </c>
      <c r="C65" s="18">
        <v>-11416811</v>
      </c>
      <c r="D65" s="36">
        <v>-16111742</v>
      </c>
      <c r="E65" s="7">
        <v>-41736925</v>
      </c>
      <c r="F65" s="7">
        <v>-18960873</v>
      </c>
      <c r="G65" s="7">
        <v>-36003499</v>
      </c>
      <c r="H65" s="7">
        <v>-29808810</v>
      </c>
      <c r="I65" s="7">
        <v>-19916777</v>
      </c>
      <c r="J65" s="7">
        <v>-4182934</v>
      </c>
      <c r="K65" s="7">
        <v>-4462357</v>
      </c>
      <c r="L65" s="7">
        <v>-5536238</v>
      </c>
      <c r="M65" s="7">
        <v>-3591957</v>
      </c>
      <c r="N65" s="43">
        <v>-2824112.05</v>
      </c>
      <c r="O65" s="44">
        <v>-3232364</v>
      </c>
    </row>
    <row r="66" spans="1:15">
      <c r="A66" s="61" t="s">
        <v>115</v>
      </c>
      <c r="C66" s="37">
        <v>-11494662</v>
      </c>
      <c r="D66" s="37">
        <v>-16006986</v>
      </c>
      <c r="E66" s="37">
        <v>-39142538</v>
      </c>
      <c r="F66" s="37">
        <v>-16465084</v>
      </c>
      <c r="G66" s="52">
        <v>-16175450</v>
      </c>
      <c r="H66" s="37">
        <v>-34440334</v>
      </c>
      <c r="I66" s="37">
        <v>-25579989</v>
      </c>
      <c r="J66" s="37">
        <v>5929803</v>
      </c>
      <c r="K66" s="37">
        <v>-1310120</v>
      </c>
      <c r="L66" s="37">
        <v>7563425</v>
      </c>
      <c r="M66" s="37">
        <v>-283644</v>
      </c>
      <c r="N66" s="37">
        <v>-2824112.05</v>
      </c>
      <c r="O66" s="37">
        <v>-3232364</v>
      </c>
    </row>
    <row r="67" spans="1:15">
      <c r="A67" s="49" t="s">
        <v>56</v>
      </c>
      <c r="C67" s="10">
        <v>118054238</v>
      </c>
      <c r="D67" s="12">
        <v>106961213</v>
      </c>
      <c r="E67" s="7">
        <v>73946667</v>
      </c>
      <c r="F67" s="7">
        <v>61159976</v>
      </c>
      <c r="G67" s="7">
        <v>70877094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>
      <c r="A68" s="49" t="s">
        <v>57</v>
      </c>
      <c r="C68" s="10">
        <v>12492430</v>
      </c>
      <c r="D68" s="12">
        <v>4198102</v>
      </c>
      <c r="E68" s="7">
        <v>5950059</v>
      </c>
      <c r="F68" s="7">
        <v>-3294942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>
      <c r="A69" s="47" t="s">
        <v>85</v>
      </c>
      <c r="C69" s="10">
        <v>2621544</v>
      </c>
      <c r="D69" s="12">
        <v>957472</v>
      </c>
      <c r="E69" s="7">
        <v>3023803</v>
      </c>
      <c r="F69" s="7">
        <v>3289780</v>
      </c>
      <c r="G69" s="7">
        <v>966437</v>
      </c>
      <c r="H69" s="7">
        <v>1256390</v>
      </c>
      <c r="I69" s="7">
        <v>701250</v>
      </c>
      <c r="J69" s="7">
        <v>915000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>
      <c r="A70" s="49" t="s">
        <v>78</v>
      </c>
      <c r="C70" s="10">
        <v>10145857</v>
      </c>
      <c r="D70" s="12">
        <v>7551104</v>
      </c>
      <c r="E70" s="7">
        <v>3124022</v>
      </c>
      <c r="F70" s="7">
        <v>1108501</v>
      </c>
      <c r="H70" s="7">
        <v>0</v>
      </c>
      <c r="I70" s="7">
        <v>-18125000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>
      <c r="A71" s="49" t="s">
        <v>83</v>
      </c>
      <c r="C71" s="10">
        <v>0</v>
      </c>
      <c r="D71" s="10">
        <v>0</v>
      </c>
      <c r="E71" s="10">
        <v>0</v>
      </c>
      <c r="F71" s="10">
        <v>0</v>
      </c>
      <c r="G71" s="7">
        <v>6859341</v>
      </c>
      <c r="H71" s="7">
        <v>-2028568</v>
      </c>
      <c r="I71" s="7">
        <v>-3893029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>
      <c r="A72" s="49" t="s">
        <v>82</v>
      </c>
      <c r="C72" s="10"/>
      <c r="D72" s="10"/>
      <c r="E72" s="10"/>
      <c r="F72" s="10"/>
      <c r="G72" s="7">
        <v>-22627202</v>
      </c>
    </row>
    <row r="73" spans="1:15">
      <c r="A73" s="49" t="s">
        <v>79</v>
      </c>
      <c r="C73" s="10">
        <v>0</v>
      </c>
      <c r="D73" s="10">
        <v>0</v>
      </c>
      <c r="E73" s="10">
        <v>0</v>
      </c>
      <c r="F73" s="10">
        <v>0</v>
      </c>
      <c r="H73" s="7">
        <v>0</v>
      </c>
      <c r="I73" s="7">
        <v>0</v>
      </c>
      <c r="J73" s="7">
        <v>-709470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>
      <c r="A74" s="49" t="s">
        <v>58</v>
      </c>
      <c r="C74" s="11">
        <v>-88598733</v>
      </c>
      <c r="D74" s="15">
        <v>-40162824</v>
      </c>
      <c r="E74" s="7">
        <v>73907</v>
      </c>
      <c r="F74" s="7">
        <v>-8445322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>
      <c r="A75" s="49" t="s">
        <v>59</v>
      </c>
      <c r="C75" s="11" t="s">
        <v>3</v>
      </c>
      <c r="D75" s="12">
        <v>958176</v>
      </c>
      <c r="E75" s="10">
        <v>0</v>
      </c>
      <c r="F75" s="10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>
      <c r="A76" s="49" t="s">
        <v>60</v>
      </c>
      <c r="C76" s="10">
        <v>3078577</v>
      </c>
      <c r="D76" s="11" t="s">
        <v>3</v>
      </c>
      <c r="E76" s="10">
        <v>0</v>
      </c>
      <c r="F76" s="7">
        <v>-832381</v>
      </c>
      <c r="H76" s="7">
        <v>166911736</v>
      </c>
      <c r="I76" s="7">
        <v>149315652</v>
      </c>
      <c r="J76" s="7">
        <v>185969020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>
      <c r="A77" s="49" t="s">
        <v>86</v>
      </c>
      <c r="C77" s="10">
        <v>0</v>
      </c>
      <c r="D77" s="11" t="s">
        <v>3</v>
      </c>
      <c r="E77" s="7">
        <v>4424599</v>
      </c>
      <c r="F77" s="10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>
      <c r="A78" s="49" t="s">
        <v>87</v>
      </c>
      <c r="C78" s="10">
        <v>0</v>
      </c>
      <c r="D78" s="11" t="s">
        <v>3</v>
      </c>
      <c r="E78" s="7">
        <v>-1179117</v>
      </c>
      <c r="F78" s="10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>
      <c r="A79" s="49" t="s">
        <v>88</v>
      </c>
      <c r="C79" s="10">
        <v>0</v>
      </c>
      <c r="D79" s="11" t="s">
        <v>3</v>
      </c>
      <c r="E79" s="7">
        <v>-1291042</v>
      </c>
      <c r="F79" s="10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>
      <c r="A80" s="49" t="s">
        <v>80</v>
      </c>
      <c r="C80" s="10">
        <v>0</v>
      </c>
      <c r="D80" s="11" t="s">
        <v>3</v>
      </c>
      <c r="E80" s="10">
        <v>0</v>
      </c>
      <c r="F80" s="10">
        <v>0</v>
      </c>
      <c r="H80" s="7">
        <v>0</v>
      </c>
      <c r="I80" s="7">
        <v>0</v>
      </c>
      <c r="J80" s="7">
        <v>0</v>
      </c>
      <c r="K80" s="7">
        <v>193791269</v>
      </c>
      <c r="L80" s="7">
        <v>262410093</v>
      </c>
      <c r="M80" s="7">
        <v>293512810</v>
      </c>
      <c r="N80" s="7">
        <v>0</v>
      </c>
      <c r="O80" s="7">
        <v>0</v>
      </c>
    </row>
    <row r="81" spans="1:15">
      <c r="A81" s="49" t="s">
        <v>89</v>
      </c>
      <c r="C81" s="10">
        <v>0</v>
      </c>
      <c r="D81" s="11" t="s">
        <v>3</v>
      </c>
      <c r="E81" s="7">
        <v>-1867740</v>
      </c>
      <c r="F81" s="10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>
      <c r="A82" s="49" t="s">
        <v>76</v>
      </c>
      <c r="C82" s="10">
        <v>0</v>
      </c>
      <c r="D82" s="11" t="s">
        <v>3</v>
      </c>
      <c r="E82" s="10">
        <v>0</v>
      </c>
      <c r="F82" s="10">
        <v>0</v>
      </c>
      <c r="G82" s="7">
        <v>-991452</v>
      </c>
      <c r="H82" s="7">
        <v>-528596</v>
      </c>
      <c r="I82" s="7">
        <v>-3015191</v>
      </c>
      <c r="J82" s="7">
        <v>-899995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>
      <c r="A83" s="49" t="s">
        <v>81</v>
      </c>
      <c r="C83" s="10"/>
      <c r="D83" s="11"/>
      <c r="E83" s="10"/>
      <c r="F83" s="10"/>
      <c r="G83" s="7">
        <v>-2897166</v>
      </c>
    </row>
    <row r="84" spans="1:15">
      <c r="A84" s="49" t="s">
        <v>61</v>
      </c>
      <c r="C84" s="10">
        <v>8764315</v>
      </c>
      <c r="D84" s="11" t="s">
        <v>3</v>
      </c>
      <c r="E84" s="10">
        <v>0</v>
      </c>
      <c r="F84" s="10">
        <v>0</v>
      </c>
      <c r="H84" s="7">
        <v>0</v>
      </c>
      <c r="I84" s="46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>
      <c r="A85" s="49" t="s">
        <v>62</v>
      </c>
      <c r="C85" s="11">
        <v>-17801335</v>
      </c>
      <c r="D85" s="11" t="s">
        <v>3</v>
      </c>
      <c r="E85" s="7">
        <v>-17763740</v>
      </c>
      <c r="F85" s="10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>
      <c r="A86" s="49" t="s">
        <v>77</v>
      </c>
      <c r="C86" s="10">
        <v>0</v>
      </c>
      <c r="D86" s="10">
        <v>0</v>
      </c>
      <c r="E86" s="10">
        <v>0</v>
      </c>
      <c r="F86" s="10">
        <v>0</v>
      </c>
      <c r="G86" s="7">
        <v>0</v>
      </c>
      <c r="H86" s="7">
        <v>0</v>
      </c>
      <c r="I86" s="7">
        <v>-468665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>
      <c r="A87" s="49" t="s">
        <v>63</v>
      </c>
      <c r="C87" s="11">
        <v>-7919753</v>
      </c>
      <c r="D87" s="15">
        <v>-5109906</v>
      </c>
      <c r="E87" s="7">
        <v>-2683792</v>
      </c>
      <c r="F87" s="7">
        <v>-688650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>
      <c r="A88" s="49" t="s">
        <v>64</v>
      </c>
      <c r="C88" s="10">
        <v>1672674</v>
      </c>
      <c r="D88" s="12">
        <v>1575804</v>
      </c>
      <c r="E88" s="10">
        <v>0</v>
      </c>
      <c r="F88" s="10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>
      <c r="A89" s="47" t="s">
        <v>90</v>
      </c>
      <c r="C89" s="10">
        <v>938811</v>
      </c>
      <c r="D89" s="11" t="s">
        <v>3</v>
      </c>
      <c r="E89" s="10">
        <v>0</v>
      </c>
      <c r="F89" s="10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>
      <c r="A90" s="49" t="s">
        <v>65</v>
      </c>
      <c r="C90" s="16">
        <v>831772</v>
      </c>
      <c r="D90" s="14">
        <v>103429</v>
      </c>
      <c r="E90" s="7">
        <v>1141557</v>
      </c>
      <c r="F90" s="7">
        <v>973589</v>
      </c>
      <c r="G90" s="7">
        <v>809770</v>
      </c>
      <c r="H90" s="7">
        <v>874672</v>
      </c>
      <c r="I90" s="7">
        <v>626768</v>
      </c>
      <c r="J90" s="7">
        <v>90000</v>
      </c>
      <c r="K90" s="7">
        <v>0</v>
      </c>
      <c r="L90" s="7">
        <v>0</v>
      </c>
      <c r="N90" s="41">
        <v>669984.34</v>
      </c>
      <c r="O90" s="42">
        <v>1887996</v>
      </c>
    </row>
    <row r="91" spans="1:15">
      <c r="A91" s="50" t="s">
        <v>66</v>
      </c>
      <c r="C91" s="38">
        <v>32785735</v>
      </c>
      <c r="D91" s="38">
        <v>61025584</v>
      </c>
      <c r="E91" s="38">
        <v>27756645</v>
      </c>
      <c r="F91" s="38">
        <v>36805467</v>
      </c>
      <c r="G91" s="38">
        <v>36821372</v>
      </c>
      <c r="H91" s="38">
        <v>132045300</v>
      </c>
      <c r="I91" s="38">
        <v>99561796</v>
      </c>
      <c r="J91" s="38">
        <v>191294358</v>
      </c>
      <c r="K91" s="38">
        <v>192481149</v>
      </c>
      <c r="L91" s="38">
        <v>269973518</v>
      </c>
      <c r="M91" s="38">
        <v>293229166</v>
      </c>
      <c r="N91" s="38">
        <v>-2154127.71</v>
      </c>
      <c r="O91" s="38">
        <v>-1344368</v>
      </c>
    </row>
    <row r="92" spans="1:15">
      <c r="A92" s="49" t="s">
        <v>67</v>
      </c>
      <c r="C92" s="18">
        <v>-1500000</v>
      </c>
      <c r="D92" s="36">
        <v>-5000000</v>
      </c>
      <c r="E92" s="7">
        <v>-7233324</v>
      </c>
      <c r="F92" s="7">
        <v>-1488234</v>
      </c>
      <c r="G92" s="7">
        <v>-1140745</v>
      </c>
      <c r="J92" s="7">
        <v>-203043</v>
      </c>
      <c r="K92" s="7">
        <v>0</v>
      </c>
      <c r="L92" s="7">
        <v>-193324</v>
      </c>
      <c r="M92" s="7">
        <v>-132481</v>
      </c>
    </row>
    <row r="93" spans="1:15">
      <c r="A93" s="50" t="s">
        <v>117</v>
      </c>
      <c r="C93" s="38">
        <v>31285735</v>
      </c>
      <c r="D93" s="38">
        <v>56025584</v>
      </c>
      <c r="E93" s="38">
        <v>20523321</v>
      </c>
      <c r="F93" s="38">
        <v>35317233</v>
      </c>
      <c r="G93" s="38">
        <v>35680627</v>
      </c>
      <c r="H93" s="38">
        <v>132045300</v>
      </c>
      <c r="I93" s="38">
        <v>99561796</v>
      </c>
      <c r="J93" s="38">
        <v>191091315</v>
      </c>
      <c r="K93" s="38">
        <v>192481149</v>
      </c>
      <c r="L93" s="38">
        <v>269780194</v>
      </c>
      <c r="M93" s="38">
        <v>293096685</v>
      </c>
      <c r="N93" s="38">
        <v>-2154127.71</v>
      </c>
      <c r="O93" s="38">
        <v>-1344368</v>
      </c>
    </row>
    <row r="94" spans="1:15">
      <c r="A94" s="50" t="s">
        <v>91</v>
      </c>
      <c r="C94" s="17"/>
      <c r="D94" s="17"/>
      <c r="E94" s="7"/>
    </row>
    <row r="95" spans="1:15" ht="19.5">
      <c r="A95" s="51" t="s">
        <v>68</v>
      </c>
      <c r="C95" s="17"/>
      <c r="D95" s="17"/>
      <c r="E95" s="7"/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</row>
    <row r="96" spans="1:15">
      <c r="A96" s="49" t="s">
        <v>69</v>
      </c>
      <c r="C96" s="11">
        <v>-769735</v>
      </c>
      <c r="D96" s="15">
        <v>-728942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</row>
    <row r="97" spans="1:15">
      <c r="A97" s="49" t="s">
        <v>70</v>
      </c>
      <c r="C97" s="10">
        <v>119388</v>
      </c>
      <c r="D97" s="12">
        <v>518500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</row>
    <row r="98" spans="1:15">
      <c r="A98" s="49" t="s">
        <v>71</v>
      </c>
      <c r="C98" s="11">
        <v>-37556</v>
      </c>
      <c r="D98" s="12">
        <v>155261</v>
      </c>
      <c r="E98" s="7">
        <v>-1693160</v>
      </c>
      <c r="F98" s="7">
        <v>-87251</v>
      </c>
      <c r="G98" s="7">
        <v>-69172</v>
      </c>
      <c r="H98" s="7">
        <v>-1505855</v>
      </c>
      <c r="I98" s="7">
        <v>-77721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</row>
    <row r="99" spans="1:15">
      <c r="A99" s="49" t="s">
        <v>72</v>
      </c>
      <c r="C99" s="11">
        <v>-39063821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</row>
    <row r="100" spans="1:15">
      <c r="A100" s="49" t="s">
        <v>75</v>
      </c>
      <c r="C100" s="11"/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7">
        <v>-47067.9</v>
      </c>
      <c r="O100" s="7">
        <v>0</v>
      </c>
    </row>
    <row r="101" spans="1:15">
      <c r="A101" s="49" t="s">
        <v>74</v>
      </c>
      <c r="C101" s="18"/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7">
        <v>-5607049.2599999998</v>
      </c>
      <c r="O101" s="7">
        <v>-4262681</v>
      </c>
    </row>
    <row r="102" spans="1:15">
      <c r="A102" s="50" t="s">
        <v>73</v>
      </c>
      <c r="C102" s="39">
        <v>-39751724</v>
      </c>
      <c r="D102" s="39">
        <v>-55181</v>
      </c>
      <c r="E102" s="39">
        <v>-1693160</v>
      </c>
      <c r="F102" s="39">
        <v>-87251</v>
      </c>
      <c r="G102" s="54">
        <v>-69172</v>
      </c>
      <c r="H102" s="39">
        <v>-1505855</v>
      </c>
      <c r="I102" s="39">
        <v>-77721</v>
      </c>
      <c r="J102" s="39">
        <v>0</v>
      </c>
      <c r="K102" s="39">
        <v>0</v>
      </c>
      <c r="L102" s="39">
        <v>0</v>
      </c>
      <c r="M102" s="39">
        <v>0</v>
      </c>
      <c r="N102" s="39">
        <v>-5654117.1600000001</v>
      </c>
      <c r="O102" s="39">
        <v>-4262681</v>
      </c>
    </row>
    <row r="103" spans="1:15">
      <c r="A103" s="62" t="s">
        <v>116</v>
      </c>
      <c r="C103" s="40">
        <v>-8465989</v>
      </c>
      <c r="D103" s="40">
        <v>55970403</v>
      </c>
      <c r="E103" s="40">
        <v>18830161</v>
      </c>
      <c r="F103" s="40">
        <v>35229982</v>
      </c>
      <c r="G103" s="55">
        <v>35611455</v>
      </c>
      <c r="H103" s="40">
        <v>130539445</v>
      </c>
      <c r="I103" s="40">
        <v>99484075</v>
      </c>
      <c r="J103" s="40">
        <v>191091315</v>
      </c>
      <c r="K103" s="40">
        <v>192481149</v>
      </c>
      <c r="L103" s="40">
        <v>269780194</v>
      </c>
      <c r="M103" s="40">
        <v>293096685</v>
      </c>
      <c r="N103" s="40">
        <v>-7808244.8700000001</v>
      </c>
      <c r="O103" s="40">
        <v>-5607049</v>
      </c>
    </row>
    <row r="105" spans="1:15">
      <c r="A105" s="56" t="s">
        <v>92</v>
      </c>
      <c r="B105" s="57" t="s">
        <v>93</v>
      </c>
      <c r="C105" s="63">
        <f>C63/C61</f>
        <v>-0.1337064815466816</v>
      </c>
      <c r="D105" s="63">
        <f t="shared" ref="D105:M105" si="41">D63/D61</f>
        <v>6.8674446046938509E-2</v>
      </c>
      <c r="E105" s="63">
        <f t="shared" si="41"/>
        <v>7.4102516469418733E-2</v>
      </c>
      <c r="F105" s="63">
        <f t="shared" si="41"/>
        <v>8.6432357499305473E-2</v>
      </c>
      <c r="G105" s="63">
        <f t="shared" si="41"/>
        <v>0.25775873679965927</v>
      </c>
      <c r="H105" s="63">
        <f t="shared" si="41"/>
        <v>-7.2585938940143327E-2</v>
      </c>
      <c r="I105" s="63">
        <f t="shared" si="41"/>
        <v>-0.18715520356741375</v>
      </c>
      <c r="J105" s="63">
        <f t="shared" si="41"/>
        <v>0.94376651677535905</v>
      </c>
      <c r="K105" s="63">
        <f t="shared" si="41"/>
        <v>1</v>
      </c>
      <c r="L105" s="63">
        <f t="shared" si="41"/>
        <v>1</v>
      </c>
      <c r="M105" s="63">
        <f t="shared" si="41"/>
        <v>1</v>
      </c>
      <c r="N105" s="63">
        <v>0</v>
      </c>
      <c r="O105" s="63">
        <v>0</v>
      </c>
    </row>
    <row r="106" spans="1:15">
      <c r="A106" s="56" t="s">
        <v>94</v>
      </c>
      <c r="B106" s="57" t="s">
        <v>95</v>
      </c>
      <c r="C106" s="63">
        <f>C103/C61</f>
        <v>-14.540052176631121</v>
      </c>
      <c r="D106" s="63">
        <f t="shared" ref="D106:M106" si="42">D103/D61</f>
        <v>36.692279402124036</v>
      </c>
      <c r="E106" s="63">
        <f t="shared" si="42"/>
        <v>0.40860474304243538</v>
      </c>
      <c r="F106" s="63">
        <f t="shared" si="42"/>
        <v>0.8796789367500284</v>
      </c>
      <c r="G106" s="63">
        <f t="shared" si="42"/>
        <v>0.39221699046522118</v>
      </c>
      <c r="H106" s="63">
        <f t="shared" si="42"/>
        <v>3.2295564853043053</v>
      </c>
      <c r="I106" s="63">
        <f t="shared" si="42"/>
        <v>4.1457280830485175</v>
      </c>
      <c r="J106" s="63">
        <f t="shared" si="42"/>
        <v>16.057552598437649</v>
      </c>
      <c r="K106" s="63">
        <f t="shared" si="42"/>
        <v>39.554120576465806</v>
      </c>
      <c r="L106" s="63">
        <f t="shared" si="42"/>
        <v>19.951386482808562</v>
      </c>
      <c r="M106" s="63">
        <f t="shared" si="42"/>
        <v>73.684705587178968</v>
      </c>
      <c r="N106" s="63">
        <v>0</v>
      </c>
      <c r="O106" s="63">
        <v>0</v>
      </c>
    </row>
    <row r="107" spans="1:15">
      <c r="A107" s="56" t="s">
        <v>96</v>
      </c>
      <c r="B107" s="57" t="s">
        <v>97</v>
      </c>
      <c r="C107" s="227">
        <f>C61/C24</f>
        <v>3.1107826428882428E-4</v>
      </c>
      <c r="D107" s="227">
        <f t="shared" ref="D107:O107" si="43">D61/D24</f>
        <v>8.1297141979680691E-4</v>
      </c>
      <c r="E107" s="227">
        <f t="shared" si="43"/>
        <v>2.3279764755893436E-2</v>
      </c>
      <c r="F107" s="227">
        <f t="shared" si="43"/>
        <v>2.5476616222769571E-2</v>
      </c>
      <c r="G107" s="227">
        <f t="shared" si="43"/>
        <v>5.5164688395969171E-2</v>
      </c>
      <c r="H107" s="227">
        <f t="shared" si="43"/>
        <v>2.347783862402069E-2</v>
      </c>
      <c r="I107" s="227">
        <f t="shared" si="43"/>
        <v>1.3901037094996035E-2</v>
      </c>
      <c r="J107" s="227">
        <f t="shared" si="43"/>
        <v>7.7982351065461536E-3</v>
      </c>
      <c r="K107" s="227">
        <f t="shared" si="43"/>
        <v>4.0571717846245806E-3</v>
      </c>
      <c r="L107" s="227">
        <f t="shared" si="43"/>
        <v>1.2138207447311871E-2</v>
      </c>
      <c r="M107" s="227">
        <f t="shared" si="43"/>
        <v>5.8370509373108304E-3</v>
      </c>
      <c r="N107" s="227">
        <f t="shared" si="43"/>
        <v>0</v>
      </c>
      <c r="O107" s="227">
        <f t="shared" si="43"/>
        <v>0</v>
      </c>
    </row>
    <row r="108" spans="1:15">
      <c r="A108" s="56" t="s">
        <v>98</v>
      </c>
      <c r="B108" s="57" t="s">
        <v>99</v>
      </c>
      <c r="C108" s="227">
        <f>C24/C35</f>
        <v>1.1820631526180148</v>
      </c>
      <c r="D108" s="227">
        <f t="shared" ref="D108:O108" si="44">D24/D35</f>
        <v>1.1358561935226434</v>
      </c>
      <c r="E108" s="227">
        <f t="shared" si="44"/>
        <v>2.3960770277031105</v>
      </c>
      <c r="F108" s="227">
        <f t="shared" si="44"/>
        <v>2.405757743601356</v>
      </c>
      <c r="G108" s="227">
        <f t="shared" si="44"/>
        <v>2.5392041684529714</v>
      </c>
      <c r="H108" s="227">
        <f t="shared" si="44"/>
        <v>2.4455223274100399</v>
      </c>
      <c r="I108" s="227">
        <f t="shared" si="44"/>
        <v>2.6019214763822727</v>
      </c>
      <c r="J108" s="227">
        <f t="shared" si="44"/>
        <v>1.004183119453715</v>
      </c>
      <c r="K108" s="227">
        <f t="shared" si="44"/>
        <v>1.0016931067672783</v>
      </c>
      <c r="L108" s="227">
        <f t="shared" si="44"/>
        <v>1.0015364350014382</v>
      </c>
      <c r="M108" s="227">
        <f t="shared" si="44"/>
        <v>1.0014418488840025</v>
      </c>
      <c r="N108" s="227">
        <f t="shared" si="44"/>
        <v>-23.7477748658259</v>
      </c>
      <c r="O108" s="227">
        <f t="shared" si="44"/>
        <v>-18.849837410017283</v>
      </c>
    </row>
    <row r="109" spans="1:15">
      <c r="A109" s="56" t="s">
        <v>100</v>
      </c>
      <c r="B109" s="57" t="s">
        <v>118</v>
      </c>
      <c r="C109" s="227">
        <f>C103/C35</f>
        <v>-5.3465829822823283E-3</v>
      </c>
      <c r="D109" s="227">
        <f t="shared" ref="D109:O109" si="45">D103/D35</f>
        <v>3.3882334095770558E-2</v>
      </c>
      <c r="E109" s="227">
        <f t="shared" si="45"/>
        <v>2.2792017326258698E-2</v>
      </c>
      <c r="F109" s="227">
        <f t="shared" si="45"/>
        <v>5.3916020599089141E-2</v>
      </c>
      <c r="G109" s="227">
        <f t="shared" si="45"/>
        <v>5.4939562247451196E-2</v>
      </c>
      <c r="H109" s="227">
        <f t="shared" si="45"/>
        <v>0.18542685407777218</v>
      </c>
      <c r="I109" s="227">
        <f t="shared" si="45"/>
        <v>0.14994852618732207</v>
      </c>
      <c r="J109" s="227">
        <f t="shared" si="45"/>
        <v>0.1257443830023865</v>
      </c>
      <c r="K109" s="227">
        <f t="shared" si="45"/>
        <v>0.16074956812257279</v>
      </c>
      <c r="L109" s="227">
        <f t="shared" si="45"/>
        <v>0.2425461527043245</v>
      </c>
      <c r="M109" s="227">
        <f t="shared" si="45"/>
        <v>0.43072152100760702</v>
      </c>
      <c r="N109" s="227">
        <f t="shared" si="45"/>
        <v>1</v>
      </c>
      <c r="O109" s="227">
        <f t="shared" si="45"/>
        <v>1</v>
      </c>
    </row>
    <row r="110" spans="1:15">
      <c r="A110" s="56" t="s">
        <v>101</v>
      </c>
      <c r="B110" s="57" t="s">
        <v>102</v>
      </c>
      <c r="C110" s="227">
        <f>C23/C53</f>
        <v>1.7188141451731054</v>
      </c>
      <c r="D110" s="227">
        <f t="shared" ref="D110:O110" si="46">D23/D53</f>
        <v>1.4771649831783884</v>
      </c>
      <c r="E110" s="227">
        <f t="shared" si="46"/>
        <v>0.37993091529547457</v>
      </c>
      <c r="F110" s="227">
        <f t="shared" si="46"/>
        <v>0.21365215945827132</v>
      </c>
      <c r="G110" s="227">
        <f t="shared" si="46"/>
        <v>0.28384365892743779</v>
      </c>
      <c r="H110" s="227">
        <f t="shared" si="46"/>
        <v>7.8104048495295328E-2</v>
      </c>
      <c r="I110" s="227">
        <f t="shared" si="46"/>
        <v>6.7801705575118054E-2</v>
      </c>
      <c r="J110" s="227">
        <f t="shared" si="46"/>
        <v>16.383902209591852</v>
      </c>
      <c r="K110" s="227">
        <f t="shared" si="46"/>
        <v>9.5652422525215002</v>
      </c>
      <c r="L110" s="227">
        <f t="shared" si="46"/>
        <v>259.64293161674453</v>
      </c>
      <c r="M110" s="227">
        <f t="shared" si="46"/>
        <v>533.35405125633827</v>
      </c>
      <c r="N110" s="227">
        <f t="shared" si="46"/>
        <v>15.033896206332388</v>
      </c>
      <c r="O110" s="227">
        <f t="shared" si="46"/>
        <v>17.925117194070456</v>
      </c>
    </row>
    <row r="111" spans="1:15">
      <c r="A111" s="56" t="s">
        <v>103</v>
      </c>
      <c r="B111" s="57" t="s">
        <v>104</v>
      </c>
      <c r="C111" s="227">
        <f>C54/C24</f>
        <v>0.1540215107921977</v>
      </c>
      <c r="D111" s="227">
        <f t="shared" ref="D111:O111" si="47">D54/D24</f>
        <v>0.11960686070770202</v>
      </c>
      <c r="E111" s="227">
        <f t="shared" si="47"/>
        <v>0.58265114667093809</v>
      </c>
      <c r="F111" s="227">
        <f t="shared" si="47"/>
        <v>0.58433054921688565</v>
      </c>
      <c r="G111" s="227">
        <f t="shared" si="47"/>
        <v>0.6061758198005569</v>
      </c>
      <c r="H111" s="227">
        <f t="shared" si="47"/>
        <v>0.59052898553942423</v>
      </c>
      <c r="I111" s="227">
        <f t="shared" si="47"/>
        <v>0.6147607389039248</v>
      </c>
      <c r="J111" s="227">
        <f t="shared" si="47"/>
        <v>3.7007839904456361E-3</v>
      </c>
      <c r="K111" s="227">
        <f t="shared" si="47"/>
        <v>1.6902450020269463E-3</v>
      </c>
      <c r="L111" s="227">
        <f t="shared" si="47"/>
        <v>1.5340779903188378E-3</v>
      </c>
      <c r="M111" s="227">
        <f t="shared" si="47"/>
        <v>1.4397729489826845E-3</v>
      </c>
      <c r="N111" s="227">
        <f t="shared" si="47"/>
        <v>1.0421092083637293</v>
      </c>
      <c r="O111" s="227">
        <f t="shared" si="47"/>
        <v>1.0530508554661895</v>
      </c>
    </row>
    <row r="112" spans="1:15">
      <c r="A112" s="56" t="s">
        <v>105</v>
      </c>
      <c r="B112" s="57" t="s">
        <v>106</v>
      </c>
      <c r="C112" s="227">
        <f>C54/C35</f>
        <v>0.18206315261801481</v>
      </c>
      <c r="D112" s="227">
        <f t="shared" ref="D112:O112" si="48">D54/D35</f>
        <v>0.13585619352264344</v>
      </c>
      <c r="E112" s="227">
        <f t="shared" si="48"/>
        <v>1.3960770277031105</v>
      </c>
      <c r="F112" s="227">
        <f t="shared" si="48"/>
        <v>1.4057577436013562</v>
      </c>
      <c r="G112" s="227">
        <f t="shared" si="48"/>
        <v>1.5392041684529716</v>
      </c>
      <c r="H112" s="227">
        <f t="shared" si="48"/>
        <v>1.4441518191194627</v>
      </c>
      <c r="I112" s="227">
        <f t="shared" si="48"/>
        <v>1.5995591693907569</v>
      </c>
      <c r="J112" s="227">
        <f t="shared" si="48"/>
        <v>3.7162648119500657E-3</v>
      </c>
      <c r="K112" s="227">
        <f t="shared" si="48"/>
        <v>1.6931067672782364E-3</v>
      </c>
      <c r="L112" s="227">
        <f t="shared" si="48"/>
        <v>1.5364350014380995E-3</v>
      </c>
      <c r="M112" s="227">
        <f t="shared" si="48"/>
        <v>1.441848884002392E-3</v>
      </c>
      <c r="N112" s="227">
        <f t="shared" si="48"/>
        <v>-24.747774865825896</v>
      </c>
      <c r="O112" s="227">
        <f t="shared" si="48"/>
        <v>-19.849837410017283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93C3-8363-4CA9-AF90-632F81108FAD}">
  <dimension ref="A1:M65"/>
  <sheetViews>
    <sheetView zoomScale="78" zoomScaleNormal="78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RowHeight="18"/>
  <cols>
    <col min="1" max="1" width="60" style="71" customWidth="1"/>
    <col min="2" max="2" width="34.5" style="71" customWidth="1"/>
    <col min="3" max="3" width="42.33203125" style="73" customWidth="1"/>
    <col min="4" max="6" width="28.6640625" style="73" customWidth="1"/>
    <col min="7" max="7" width="25" style="73" customWidth="1"/>
    <col min="8" max="8" width="24.33203125" style="73" customWidth="1"/>
    <col min="9" max="9" width="25" style="73" customWidth="1"/>
    <col min="10" max="10" width="26" style="73" customWidth="1"/>
    <col min="11" max="11" width="28.33203125" style="73" customWidth="1"/>
    <col min="12" max="12" width="30.5" style="73" customWidth="1"/>
    <col min="13" max="16384" width="9.33203125" style="71"/>
  </cols>
  <sheetData>
    <row r="1" spans="1:12" s="67" customFormat="1" ht="54">
      <c r="A1" s="67" t="s">
        <v>0</v>
      </c>
      <c r="C1" s="172" t="s">
        <v>120</v>
      </c>
      <c r="D1" s="172" t="s">
        <v>121</v>
      </c>
      <c r="E1" s="172" t="s">
        <v>122</v>
      </c>
      <c r="F1" s="172" t="s">
        <v>123</v>
      </c>
      <c r="G1" s="172" t="s">
        <v>124</v>
      </c>
      <c r="H1" s="172" t="s">
        <v>125</v>
      </c>
      <c r="I1" s="172" t="s">
        <v>126</v>
      </c>
      <c r="J1" s="172" t="s">
        <v>127</v>
      </c>
      <c r="K1" s="172" t="s">
        <v>128</v>
      </c>
      <c r="L1" s="172" t="s">
        <v>129</v>
      </c>
    </row>
    <row r="2" spans="1:12" s="68" customFormat="1">
      <c r="C2" s="73"/>
      <c r="D2" s="70"/>
      <c r="E2" s="70"/>
      <c r="F2" s="70"/>
      <c r="G2" s="70"/>
      <c r="H2" s="70"/>
      <c r="I2" s="70"/>
      <c r="J2" s="70"/>
      <c r="K2" s="70"/>
      <c r="L2" s="70"/>
    </row>
    <row r="3" spans="1:12">
      <c r="A3" s="71" t="s">
        <v>1</v>
      </c>
      <c r="C3" s="73">
        <v>177573630</v>
      </c>
      <c r="D3" s="73">
        <v>136589972</v>
      </c>
      <c r="E3" s="73">
        <v>122815727</v>
      </c>
      <c r="F3" s="73">
        <v>129316950</v>
      </c>
      <c r="G3" s="73">
        <v>134431550</v>
      </c>
      <c r="H3" s="73">
        <v>153314845</v>
      </c>
      <c r="I3" s="73">
        <v>121767391</v>
      </c>
      <c r="J3" s="73">
        <v>140562073</v>
      </c>
      <c r="K3" s="73">
        <v>172726525</v>
      </c>
      <c r="L3" s="73">
        <v>202856960</v>
      </c>
    </row>
    <row r="4" spans="1:12" ht="18" customHeight="1">
      <c r="A4" s="71" t="s">
        <v>137</v>
      </c>
      <c r="C4" s="73">
        <v>438085</v>
      </c>
      <c r="D4" s="73">
        <v>1757843</v>
      </c>
      <c r="E4" s="73">
        <v>3065997</v>
      </c>
      <c r="F4" s="73">
        <v>4376689</v>
      </c>
      <c r="G4" s="73">
        <v>5687381</v>
      </c>
    </row>
    <row r="5" spans="1:12">
      <c r="A5" s="71" t="s">
        <v>367</v>
      </c>
      <c r="E5" s="73">
        <v>787430</v>
      </c>
    </row>
    <row r="6" spans="1:12" s="68" customFormat="1">
      <c r="A6" s="74" t="s">
        <v>110</v>
      </c>
      <c r="B6" s="74"/>
      <c r="C6" s="76">
        <f t="shared" ref="C6:L6" si="0">SUM(C3:C5)</f>
        <v>178011715</v>
      </c>
      <c r="D6" s="76">
        <f t="shared" si="0"/>
        <v>138347815</v>
      </c>
      <c r="E6" s="76">
        <f t="shared" si="0"/>
        <v>126669154</v>
      </c>
      <c r="F6" s="76">
        <f t="shared" si="0"/>
        <v>133693639</v>
      </c>
      <c r="G6" s="76">
        <f t="shared" si="0"/>
        <v>140118931</v>
      </c>
      <c r="H6" s="76">
        <f t="shared" si="0"/>
        <v>153314845</v>
      </c>
      <c r="I6" s="76">
        <f t="shared" si="0"/>
        <v>121767391</v>
      </c>
      <c r="J6" s="76">
        <f t="shared" si="0"/>
        <v>140562073</v>
      </c>
      <c r="K6" s="76">
        <f t="shared" si="0"/>
        <v>172726525</v>
      </c>
      <c r="L6" s="76">
        <f t="shared" si="0"/>
        <v>202856960</v>
      </c>
    </row>
    <row r="7" spans="1:12" s="68" customFormat="1"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>
      <c r="A8" s="73" t="s">
        <v>368</v>
      </c>
      <c r="B8" s="73"/>
      <c r="C8" s="73">
        <v>28091450</v>
      </c>
      <c r="D8" s="73">
        <v>29496651</v>
      </c>
      <c r="E8" s="179">
        <v>26897247</v>
      </c>
      <c r="F8" s="179">
        <v>40473271</v>
      </c>
      <c r="G8" s="73">
        <v>27659870</v>
      </c>
      <c r="H8" s="73">
        <v>29019691</v>
      </c>
      <c r="I8" s="73">
        <v>29935309</v>
      </c>
      <c r="J8" s="73">
        <f>17204311+11315870</f>
        <v>28520181</v>
      </c>
      <c r="K8" s="73">
        <f>21018348+12689930</f>
        <v>33708278</v>
      </c>
      <c r="L8" s="73">
        <f>29726162+15208532</f>
        <v>44934694</v>
      </c>
    </row>
    <row r="9" spans="1:12">
      <c r="A9" s="73" t="s">
        <v>369</v>
      </c>
      <c r="B9" s="73"/>
      <c r="C9" s="73">
        <v>144141463</v>
      </c>
      <c r="D9" s="73">
        <v>267520317</v>
      </c>
      <c r="E9" s="179">
        <v>317611148</v>
      </c>
      <c r="F9" s="179">
        <v>309083474</v>
      </c>
      <c r="G9" s="73">
        <v>277144762</v>
      </c>
      <c r="H9" s="73">
        <v>352535620</v>
      </c>
      <c r="I9" s="73">
        <v>338848847</v>
      </c>
      <c r="J9" s="73">
        <f>279934064+2921296+50000</f>
        <v>282905360</v>
      </c>
      <c r="K9" s="73">
        <f>330027647+3050880+15000</f>
        <v>333093527</v>
      </c>
      <c r="L9" s="73">
        <f>193620050+3962656+95288835+15000</f>
        <v>292886541</v>
      </c>
    </row>
    <row r="10" spans="1:12">
      <c r="A10" s="73" t="s">
        <v>370</v>
      </c>
      <c r="B10" s="73"/>
      <c r="C10" s="73">
        <v>249645602</v>
      </c>
      <c r="D10" s="73">
        <v>79642052</v>
      </c>
      <c r="E10" s="179">
        <v>82744664</v>
      </c>
      <c r="F10" s="179">
        <v>135275038</v>
      </c>
      <c r="G10" s="73">
        <v>66619445</v>
      </c>
      <c r="H10" s="73">
        <v>105710394</v>
      </c>
      <c r="I10" s="73">
        <v>117635347</v>
      </c>
    </row>
    <row r="11" spans="1:12">
      <c r="A11" s="73" t="s">
        <v>371</v>
      </c>
      <c r="B11" s="73"/>
      <c r="C11" s="73">
        <v>52991399</v>
      </c>
      <c r="D11" s="73">
        <v>1016947</v>
      </c>
      <c r="E11" s="179">
        <v>1790757</v>
      </c>
      <c r="F11" s="179">
        <v>10485635</v>
      </c>
      <c r="G11" s="73">
        <v>30128418</v>
      </c>
      <c r="H11" s="73">
        <v>6700044</v>
      </c>
      <c r="I11" s="73">
        <v>86070224</v>
      </c>
    </row>
    <row r="12" spans="1:12">
      <c r="A12" s="73" t="s">
        <v>372</v>
      </c>
      <c r="B12" s="73"/>
      <c r="C12" s="73">
        <v>32202875</v>
      </c>
      <c r="D12" s="73">
        <v>37634256</v>
      </c>
      <c r="E12" s="179">
        <v>12777029</v>
      </c>
      <c r="F12" s="180">
        <v>31117705</v>
      </c>
      <c r="G12" s="73">
        <v>43653740</v>
      </c>
      <c r="H12" s="73">
        <v>32015555</v>
      </c>
      <c r="I12" s="73">
        <v>12002143</v>
      </c>
      <c r="J12" s="73">
        <v>58257925</v>
      </c>
      <c r="K12" s="73">
        <v>12445861</v>
      </c>
      <c r="L12" s="73">
        <v>7917691</v>
      </c>
    </row>
    <row r="13" spans="1:12">
      <c r="A13" s="71" t="s">
        <v>373</v>
      </c>
      <c r="J13" s="73">
        <v>59886121</v>
      </c>
      <c r="K13" s="73">
        <v>56206665</v>
      </c>
      <c r="L13" s="73">
        <v>150819048</v>
      </c>
    </row>
    <row r="14" spans="1:12" s="68" customFormat="1">
      <c r="A14" s="74" t="s">
        <v>111</v>
      </c>
      <c r="B14" s="74"/>
      <c r="C14" s="77">
        <f>SUM(C8:C13)</f>
        <v>507072789</v>
      </c>
      <c r="D14" s="77">
        <f>SUM(D8:D13)</f>
        <v>415310223</v>
      </c>
      <c r="E14" s="77">
        <f t="shared" ref="E14:L14" si="1">SUM(E8:E13)</f>
        <v>441820845</v>
      </c>
      <c r="F14" s="77">
        <f>SUM(F8:F13)</f>
        <v>526435123</v>
      </c>
      <c r="G14" s="77">
        <f>SUM(G8:G13)</f>
        <v>445206235</v>
      </c>
      <c r="H14" s="77">
        <f>SUM(H8:H13)</f>
        <v>525981304</v>
      </c>
      <c r="I14" s="77">
        <f>SUM(I8:I13)</f>
        <v>584491870</v>
      </c>
      <c r="J14" s="77">
        <f t="shared" si="1"/>
        <v>429569587</v>
      </c>
      <c r="K14" s="77">
        <f t="shared" si="1"/>
        <v>435454331</v>
      </c>
      <c r="L14" s="77">
        <f t="shared" si="1"/>
        <v>496557974</v>
      </c>
    </row>
    <row r="15" spans="1:12" s="68" customFormat="1">
      <c r="A15" s="74" t="s">
        <v>112</v>
      </c>
      <c r="B15" s="74"/>
      <c r="C15" s="78">
        <f>C6+C14</f>
        <v>685084504</v>
      </c>
      <c r="D15" s="78">
        <f>D6+D14</f>
        <v>553658038</v>
      </c>
      <c r="E15" s="78">
        <f t="shared" ref="E15:L15" si="2">E6+E14</f>
        <v>568489999</v>
      </c>
      <c r="F15" s="78">
        <f t="shared" si="2"/>
        <v>660128762</v>
      </c>
      <c r="G15" s="78">
        <f t="shared" si="2"/>
        <v>585325166</v>
      </c>
      <c r="H15" s="78">
        <f t="shared" si="2"/>
        <v>679296149</v>
      </c>
      <c r="I15" s="78">
        <f t="shared" si="2"/>
        <v>706259261</v>
      </c>
      <c r="J15" s="78">
        <f t="shared" si="2"/>
        <v>570131660</v>
      </c>
      <c r="K15" s="78">
        <f t="shared" si="2"/>
        <v>608180856</v>
      </c>
      <c r="L15" s="78">
        <f t="shared" si="2"/>
        <v>699414934</v>
      </c>
    </row>
    <row r="16" spans="1:12" s="68" customFormat="1">
      <c r="A16" s="74" t="s">
        <v>222</v>
      </c>
      <c r="B16" s="74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1:12">
      <c r="A17" s="71" t="s">
        <v>143</v>
      </c>
    </row>
    <row r="18" spans="1:12">
      <c r="A18" s="71" t="s">
        <v>144</v>
      </c>
      <c r="C18" s="179">
        <v>50000000</v>
      </c>
      <c r="D18" s="179">
        <v>50000000</v>
      </c>
      <c r="E18" s="179">
        <v>50000000</v>
      </c>
      <c r="F18" s="179">
        <v>50000000</v>
      </c>
      <c r="G18" s="73">
        <v>50000000</v>
      </c>
      <c r="H18" s="73">
        <v>50000000</v>
      </c>
      <c r="I18" s="73">
        <v>12600000</v>
      </c>
      <c r="J18" s="73">
        <v>12600000</v>
      </c>
      <c r="K18" s="73">
        <v>12600000</v>
      </c>
      <c r="L18" s="73">
        <v>12600000</v>
      </c>
    </row>
    <row r="19" spans="1:12">
      <c r="A19" s="71" t="s">
        <v>18</v>
      </c>
      <c r="C19" s="179">
        <v>15000000</v>
      </c>
      <c r="D19" s="179">
        <v>15000000</v>
      </c>
      <c r="E19" s="179">
        <v>15000000</v>
      </c>
      <c r="F19" s="179">
        <v>15000000</v>
      </c>
      <c r="G19" s="73">
        <v>15000000</v>
      </c>
      <c r="H19" s="73">
        <v>15000000</v>
      </c>
      <c r="I19" s="73">
        <v>6300000</v>
      </c>
      <c r="J19" s="73">
        <v>6300000</v>
      </c>
      <c r="K19" s="73">
        <v>6300000</v>
      </c>
      <c r="L19" s="73">
        <v>6300000</v>
      </c>
    </row>
    <row r="20" spans="1:12">
      <c r="A20" s="71" t="s">
        <v>21</v>
      </c>
      <c r="C20" s="179">
        <v>162742652</v>
      </c>
      <c r="D20" s="73">
        <v>91489314</v>
      </c>
      <c r="E20" s="179">
        <v>72279136</v>
      </c>
      <c r="F20" s="73">
        <v>112001556</v>
      </c>
      <c r="G20" s="73">
        <v>113649981</v>
      </c>
      <c r="H20" s="73">
        <v>143665589</v>
      </c>
      <c r="I20" s="73">
        <v>195890934</v>
      </c>
      <c r="J20" s="73">
        <v>246135467</v>
      </c>
      <c r="K20" s="73">
        <v>246468841</v>
      </c>
      <c r="L20" s="73">
        <v>256123760</v>
      </c>
    </row>
    <row r="22" spans="1:12" s="68" customFormat="1">
      <c r="A22" s="74" t="s">
        <v>113</v>
      </c>
      <c r="B22" s="74"/>
      <c r="C22" s="76">
        <f t="shared" ref="C22:L22" si="3">SUM(C18:C21)</f>
        <v>227742652</v>
      </c>
      <c r="D22" s="76">
        <f t="shared" si="3"/>
        <v>156489314</v>
      </c>
      <c r="E22" s="76">
        <f t="shared" si="3"/>
        <v>137279136</v>
      </c>
      <c r="F22" s="76">
        <f t="shared" si="3"/>
        <v>177001556</v>
      </c>
      <c r="G22" s="76">
        <f>SUM(G18:G21)</f>
        <v>178649981</v>
      </c>
      <c r="H22" s="76">
        <f>SUM(H18:H21)</f>
        <v>208665589</v>
      </c>
      <c r="I22" s="76">
        <f>SUM(I18:I21)</f>
        <v>214790934</v>
      </c>
      <c r="J22" s="76">
        <f t="shared" si="3"/>
        <v>265035467</v>
      </c>
      <c r="K22" s="76">
        <f t="shared" si="3"/>
        <v>265368841</v>
      </c>
      <c r="L22" s="76">
        <f t="shared" si="3"/>
        <v>275023760</v>
      </c>
    </row>
    <row r="23" spans="1:12" s="68" customFormat="1"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spans="1:12">
      <c r="A24" s="71" t="s">
        <v>374</v>
      </c>
      <c r="C24" s="73">
        <v>69010123</v>
      </c>
      <c r="D24" s="73">
        <v>63020696</v>
      </c>
      <c r="E24" s="181">
        <v>58748218</v>
      </c>
      <c r="F24" s="181">
        <v>64166555</v>
      </c>
      <c r="G24" s="73">
        <v>56120325</v>
      </c>
      <c r="H24" s="73">
        <v>58867954</v>
      </c>
      <c r="I24" s="73">
        <v>59037257</v>
      </c>
      <c r="J24" s="73">
        <v>45558325</v>
      </c>
      <c r="K24" s="73">
        <v>42879978</v>
      </c>
      <c r="L24" s="73">
        <v>44786826</v>
      </c>
    </row>
    <row r="25" spans="1:12">
      <c r="A25" s="71" t="s">
        <v>375</v>
      </c>
      <c r="C25" s="73">
        <v>1049382</v>
      </c>
      <c r="D25" s="73">
        <v>1008998</v>
      </c>
      <c r="E25" s="181">
        <v>969072</v>
      </c>
      <c r="F25" s="181">
        <v>930785</v>
      </c>
      <c r="G25" s="73">
        <v>894070</v>
      </c>
      <c r="H25" s="73">
        <v>1273248</v>
      </c>
      <c r="I25" s="73">
        <v>1239485</v>
      </c>
    </row>
    <row r="26" spans="1:12">
      <c r="A26" s="71" t="s">
        <v>376</v>
      </c>
      <c r="C26" s="73">
        <v>0</v>
      </c>
      <c r="D26" s="73">
        <v>1180226</v>
      </c>
      <c r="E26" s="181">
        <v>2333082</v>
      </c>
      <c r="F26" s="181">
        <v>3430677</v>
      </c>
      <c r="G26" s="73">
        <v>4515935</v>
      </c>
    </row>
    <row r="28" spans="1:12" s="68" customFormat="1">
      <c r="A28" s="74" t="s">
        <v>114</v>
      </c>
      <c r="B28" s="74"/>
      <c r="C28" s="76">
        <f t="shared" ref="C28:L28" si="4">SUM(C24:C27)</f>
        <v>70059505</v>
      </c>
      <c r="D28" s="76">
        <f t="shared" si="4"/>
        <v>65209920</v>
      </c>
      <c r="E28" s="76">
        <f t="shared" si="4"/>
        <v>62050372</v>
      </c>
      <c r="F28" s="76">
        <f t="shared" si="4"/>
        <v>68528017</v>
      </c>
      <c r="G28" s="76">
        <f t="shared" si="4"/>
        <v>61530330</v>
      </c>
      <c r="H28" s="76">
        <f t="shared" si="4"/>
        <v>60141202</v>
      </c>
      <c r="I28" s="76">
        <f t="shared" si="4"/>
        <v>60276742</v>
      </c>
      <c r="J28" s="76">
        <f t="shared" si="4"/>
        <v>45558325</v>
      </c>
      <c r="K28" s="76">
        <f t="shared" si="4"/>
        <v>42879978</v>
      </c>
      <c r="L28" s="76">
        <f t="shared" si="4"/>
        <v>44786826</v>
      </c>
    </row>
    <row r="29" spans="1:12" s="68" customFormat="1">
      <c r="C29" s="70"/>
      <c r="D29" s="70"/>
      <c r="E29" s="70"/>
      <c r="F29" s="70"/>
      <c r="G29" s="73"/>
      <c r="H29" s="73"/>
      <c r="I29" s="70"/>
      <c r="J29" s="70"/>
      <c r="K29" s="70"/>
      <c r="L29" s="70"/>
    </row>
    <row r="30" spans="1:12">
      <c r="A30" s="181" t="s">
        <v>377</v>
      </c>
      <c r="B30" s="181"/>
      <c r="C30" s="73">
        <v>25000000</v>
      </c>
      <c r="D30" s="181"/>
      <c r="E30" s="181">
        <v>66000000</v>
      </c>
      <c r="F30" s="181">
        <v>50000000</v>
      </c>
      <c r="G30" s="73">
        <v>125000000</v>
      </c>
      <c r="H30" s="73">
        <v>139891133</v>
      </c>
      <c r="I30" s="73">
        <v>115148033</v>
      </c>
    </row>
    <row r="31" spans="1:12">
      <c r="A31" s="181" t="s">
        <v>378</v>
      </c>
      <c r="B31" s="181"/>
      <c r="D31" s="181"/>
      <c r="E31" s="181">
        <v>112171852</v>
      </c>
      <c r="F31" s="181">
        <v>46228535</v>
      </c>
      <c r="G31" s="73">
        <v>38345138</v>
      </c>
      <c r="H31" s="73">
        <v>44614243</v>
      </c>
      <c r="K31" s="73">
        <v>46584318</v>
      </c>
      <c r="L31" s="73">
        <v>56887089</v>
      </c>
    </row>
    <row r="32" spans="1:12">
      <c r="A32" s="181" t="s">
        <v>379</v>
      </c>
      <c r="B32" s="181"/>
      <c r="C32" s="73">
        <v>1180231</v>
      </c>
      <c r="D32" s="181">
        <v>1152218</v>
      </c>
      <c r="E32" s="181">
        <v>1113112</v>
      </c>
      <c r="F32" s="181">
        <v>1102357</v>
      </c>
      <c r="G32" s="73">
        <v>1061187</v>
      </c>
    </row>
    <row r="33" spans="1:13">
      <c r="A33" s="181" t="s">
        <v>380</v>
      </c>
      <c r="B33" s="181"/>
      <c r="C33" s="73">
        <v>321837181</v>
      </c>
      <c r="D33" s="181">
        <v>280723316</v>
      </c>
      <c r="E33" s="181">
        <v>157082207</v>
      </c>
      <c r="F33" s="181">
        <v>249220918</v>
      </c>
      <c r="G33" s="73">
        <v>134110125</v>
      </c>
      <c r="H33" s="73">
        <v>159749946</v>
      </c>
      <c r="I33" s="73">
        <v>239952212</v>
      </c>
      <c r="J33" s="73">
        <f>106178763+131231045+17635083</f>
        <v>255044891</v>
      </c>
      <c r="K33" s="73">
        <f>103797446+122486795+23704151</f>
        <v>249988392</v>
      </c>
      <c r="L33" s="73">
        <f>93074848+199656330+26835567-299</f>
        <v>319566446</v>
      </c>
    </row>
    <row r="34" spans="1:13">
      <c r="A34" s="181" t="s">
        <v>381</v>
      </c>
      <c r="B34" s="181"/>
      <c r="C34" s="73">
        <v>35471123</v>
      </c>
      <c r="D34" s="181">
        <v>45817361</v>
      </c>
      <c r="E34" s="181">
        <v>27751698</v>
      </c>
      <c r="F34" s="181">
        <v>63034169</v>
      </c>
      <c r="G34" s="73">
        <v>42191662</v>
      </c>
      <c r="H34" s="73">
        <v>61027746</v>
      </c>
      <c r="I34" s="73">
        <v>71257704</v>
      </c>
    </row>
    <row r="35" spans="1:13">
      <c r="A35" s="181" t="s">
        <v>382</v>
      </c>
      <c r="B35" s="181"/>
      <c r="C35" s="73">
        <v>3793812</v>
      </c>
      <c r="D35" s="181">
        <v>4265909</v>
      </c>
      <c r="E35" s="181">
        <v>5041622</v>
      </c>
      <c r="F35" s="181">
        <v>5013210</v>
      </c>
      <c r="G35" s="73">
        <v>4436743</v>
      </c>
      <c r="H35" s="73">
        <v>5206290</v>
      </c>
      <c r="I35" s="73">
        <v>4833636</v>
      </c>
      <c r="J35" s="73">
        <v>4492977</v>
      </c>
      <c r="K35" s="73">
        <v>3359327</v>
      </c>
      <c r="L35" s="73">
        <v>3150813</v>
      </c>
    </row>
    <row r="37" spans="1:13" s="68" customFormat="1">
      <c r="A37" s="74" t="s">
        <v>107</v>
      </c>
      <c r="B37" s="74"/>
      <c r="C37" s="77">
        <f>SUM(C30:C36)</f>
        <v>387282347</v>
      </c>
      <c r="D37" s="77">
        <f t="shared" ref="D37:F37" si="5">SUM(D30:D36)</f>
        <v>331958804</v>
      </c>
      <c r="E37" s="77">
        <f t="shared" si="5"/>
        <v>369160491</v>
      </c>
      <c r="F37" s="77">
        <f t="shared" si="5"/>
        <v>414599189</v>
      </c>
      <c r="G37" s="77">
        <f>SUM(G30:G36)</f>
        <v>345144855</v>
      </c>
      <c r="H37" s="77">
        <f>SUM(H30:H36)</f>
        <v>410489358</v>
      </c>
      <c r="I37" s="77">
        <f>SUM(I30:I36)</f>
        <v>431191585</v>
      </c>
      <c r="J37" s="77">
        <f t="shared" ref="J37:L37" si="6">SUM(J30:J36)</f>
        <v>259537868</v>
      </c>
      <c r="K37" s="77">
        <f t="shared" si="6"/>
        <v>299932037</v>
      </c>
      <c r="L37" s="77">
        <f t="shared" si="6"/>
        <v>379604348</v>
      </c>
    </row>
    <row r="38" spans="1:13" s="68" customFormat="1">
      <c r="A38" s="74" t="s">
        <v>108</v>
      </c>
      <c r="B38" s="74"/>
      <c r="C38" s="76">
        <f>C28+C37</f>
        <v>457341852</v>
      </c>
      <c r="D38" s="76">
        <f>D28+D37</f>
        <v>397168724</v>
      </c>
      <c r="E38" s="76">
        <f t="shared" ref="E38:L38" si="7">E28+E37</f>
        <v>431210863</v>
      </c>
      <c r="F38" s="76">
        <f t="shared" si="7"/>
        <v>483127206</v>
      </c>
      <c r="G38" s="76">
        <f t="shared" si="7"/>
        <v>406675185</v>
      </c>
      <c r="H38" s="76">
        <f t="shared" si="7"/>
        <v>470630560</v>
      </c>
      <c r="I38" s="76">
        <f t="shared" si="7"/>
        <v>491468327</v>
      </c>
      <c r="J38" s="76">
        <f t="shared" si="7"/>
        <v>305096193</v>
      </c>
      <c r="K38" s="76">
        <f t="shared" si="7"/>
        <v>342812015</v>
      </c>
      <c r="L38" s="76">
        <f t="shared" si="7"/>
        <v>424391174</v>
      </c>
    </row>
    <row r="39" spans="1:13" s="68" customFormat="1">
      <c r="A39" s="74" t="s">
        <v>109</v>
      </c>
      <c r="B39" s="74"/>
      <c r="C39" s="79">
        <f t="shared" ref="C39:L39" si="8">C38+C22</f>
        <v>685084504</v>
      </c>
      <c r="D39" s="79">
        <f t="shared" si="8"/>
        <v>553658038</v>
      </c>
      <c r="E39" s="79">
        <f t="shared" si="8"/>
        <v>568489999</v>
      </c>
      <c r="F39" s="79">
        <f t="shared" si="8"/>
        <v>660128762</v>
      </c>
      <c r="G39" s="79">
        <f t="shared" si="8"/>
        <v>585325166</v>
      </c>
      <c r="H39" s="79">
        <f t="shared" si="8"/>
        <v>679296149</v>
      </c>
      <c r="I39" s="79">
        <f t="shared" si="8"/>
        <v>706259261</v>
      </c>
      <c r="J39" s="79">
        <f t="shared" si="8"/>
        <v>570131660</v>
      </c>
      <c r="K39" s="79">
        <f t="shared" si="8"/>
        <v>608180856</v>
      </c>
      <c r="L39" s="79">
        <f t="shared" si="8"/>
        <v>699414934</v>
      </c>
    </row>
    <row r="41" spans="1:13">
      <c r="C41" s="80">
        <f t="shared" ref="C41:L41" si="9">C15-C39</f>
        <v>0</v>
      </c>
      <c r="D41" s="80">
        <f t="shared" si="9"/>
        <v>0</v>
      </c>
      <c r="E41" s="78">
        <f t="shared" si="9"/>
        <v>0</v>
      </c>
      <c r="F41" s="78">
        <f t="shared" si="9"/>
        <v>0</v>
      </c>
      <c r="G41" s="78">
        <f t="shared" si="9"/>
        <v>0</v>
      </c>
      <c r="H41" s="78">
        <f t="shared" si="9"/>
        <v>0</v>
      </c>
      <c r="I41" s="78">
        <f t="shared" si="9"/>
        <v>0</v>
      </c>
      <c r="J41" s="78">
        <f t="shared" si="9"/>
        <v>0</v>
      </c>
      <c r="K41" s="78">
        <f t="shared" si="9"/>
        <v>0</v>
      </c>
      <c r="L41" s="78">
        <f t="shared" si="9"/>
        <v>0</v>
      </c>
    </row>
    <row r="42" spans="1:13" s="173" customFormat="1" ht="18.75">
      <c r="A42" s="81" t="s">
        <v>52</v>
      </c>
      <c r="B42" s="81"/>
      <c r="C42" s="122">
        <v>725966000</v>
      </c>
      <c r="D42" s="90">
        <v>520150000</v>
      </c>
      <c r="E42" s="122">
        <v>551723000</v>
      </c>
      <c r="F42" s="122">
        <v>677115999</v>
      </c>
      <c r="G42" s="122">
        <v>534714000</v>
      </c>
      <c r="H42" s="122">
        <v>729644000</v>
      </c>
      <c r="I42" s="84">
        <v>789969000</v>
      </c>
      <c r="J42" s="84">
        <v>517990000</v>
      </c>
      <c r="K42" s="84">
        <v>707277000</v>
      </c>
      <c r="L42" s="84">
        <v>820923000</v>
      </c>
      <c r="M42" s="84"/>
    </row>
    <row r="43" spans="1:13" s="173" customFormat="1" ht="18.75">
      <c r="A43" s="85" t="s">
        <v>53</v>
      </c>
      <c r="B43" s="85"/>
      <c r="C43" s="122">
        <v>-594758085</v>
      </c>
      <c r="D43" s="90">
        <v>-441266503</v>
      </c>
      <c r="E43" s="122">
        <v>-513533655</v>
      </c>
      <c r="F43" s="122">
        <v>-593395046</v>
      </c>
      <c r="G43" s="122">
        <v>-443666391</v>
      </c>
      <c r="H43" s="122">
        <v>-590795500</v>
      </c>
      <c r="I43" s="84">
        <v>-598931464</v>
      </c>
      <c r="J43" s="84">
        <v>-419561921</v>
      </c>
      <c r="K43" s="84">
        <v>-581744159</v>
      </c>
      <c r="L43" s="84">
        <v>-676139306</v>
      </c>
      <c r="M43" s="84"/>
    </row>
    <row r="44" spans="1:13" s="173" customFormat="1" ht="18.75">
      <c r="A44" s="87" t="s">
        <v>54</v>
      </c>
      <c r="B44" s="87"/>
      <c r="C44" s="89">
        <v>131207915</v>
      </c>
      <c r="D44" s="89">
        <v>78883497</v>
      </c>
      <c r="E44" s="89">
        <v>38189345</v>
      </c>
      <c r="F44" s="89">
        <v>83720953</v>
      </c>
      <c r="G44" s="89">
        <v>91047609</v>
      </c>
      <c r="H44" s="89">
        <v>138848500</v>
      </c>
      <c r="I44" s="89">
        <v>191037536</v>
      </c>
      <c r="J44" s="89">
        <v>98428079</v>
      </c>
      <c r="K44" s="89">
        <v>125532841</v>
      </c>
      <c r="L44" s="89">
        <v>144783694</v>
      </c>
      <c r="M44" s="84"/>
    </row>
    <row r="45" spans="1:13" s="173" customFormat="1" ht="18.75">
      <c r="A45" s="90" t="s">
        <v>55</v>
      </c>
      <c r="B45" s="90"/>
      <c r="C45" s="83">
        <v>-13999576</v>
      </c>
      <c r="D45" s="83">
        <v>-11293271</v>
      </c>
      <c r="E45" s="122">
        <v>-13550536</v>
      </c>
      <c r="F45" s="122">
        <v>-14606867</v>
      </c>
      <c r="G45" s="122">
        <v>-14431381</v>
      </c>
      <c r="H45" s="122">
        <v>-16252895</v>
      </c>
      <c r="I45" s="84">
        <v>-44405709</v>
      </c>
      <c r="J45" s="92">
        <v>-16307523</v>
      </c>
      <c r="K45" s="92">
        <v>-16450924</v>
      </c>
      <c r="L45" s="92">
        <v>-25041685</v>
      </c>
      <c r="M45" s="84"/>
    </row>
    <row r="46" spans="1:13" s="173" customFormat="1" ht="18.75">
      <c r="A46" s="90" t="s">
        <v>65</v>
      </c>
      <c r="B46" s="90"/>
      <c r="C46" s="83">
        <v>10511634</v>
      </c>
      <c r="D46" s="83">
        <v>6554434</v>
      </c>
      <c r="E46" s="122">
        <v>7143905</v>
      </c>
      <c r="F46" s="122">
        <v>6599167</v>
      </c>
      <c r="G46" s="122">
        <v>4977884</v>
      </c>
      <c r="H46" s="122">
        <v>5753350</v>
      </c>
      <c r="I46" s="84">
        <v>6750289</v>
      </c>
      <c r="J46" s="84">
        <v>3949376</v>
      </c>
      <c r="K46" s="84">
        <v>6643633</v>
      </c>
      <c r="L46" s="84">
        <v>6290515</v>
      </c>
      <c r="M46" s="84"/>
    </row>
    <row r="47" spans="1:13" s="173" customFormat="1" ht="18.75">
      <c r="A47" s="90" t="s">
        <v>160</v>
      </c>
      <c r="B47" s="90"/>
      <c r="C47" s="122"/>
      <c r="D47" s="83">
        <v>-50000</v>
      </c>
      <c r="E47" s="122">
        <v>-6420893</v>
      </c>
      <c r="F47" s="122">
        <v>-13907435</v>
      </c>
      <c r="G47" s="122">
        <v>-50509080</v>
      </c>
      <c r="H47" s="122">
        <v>-26114661</v>
      </c>
      <c r="I47" s="84"/>
      <c r="J47" s="84"/>
      <c r="K47" s="84"/>
      <c r="L47" s="84"/>
      <c r="M47" s="84"/>
    </row>
    <row r="48" spans="1:13" s="173" customFormat="1" ht="18.75">
      <c r="A48" s="87" t="s">
        <v>115</v>
      </c>
      <c r="B48" s="87"/>
      <c r="C48" s="93">
        <v>127719973</v>
      </c>
      <c r="D48" s="93">
        <v>74094660</v>
      </c>
      <c r="E48" s="93">
        <v>25361821</v>
      </c>
      <c r="F48" s="89">
        <v>61805818</v>
      </c>
      <c r="G48" s="94">
        <v>31085032</v>
      </c>
      <c r="H48" s="94">
        <v>102234294</v>
      </c>
      <c r="I48" s="89">
        <v>153382116</v>
      </c>
      <c r="J48" s="94">
        <v>86069932</v>
      </c>
      <c r="K48" s="94">
        <v>115725550</v>
      </c>
      <c r="L48" s="94">
        <v>126032524</v>
      </c>
      <c r="M48" s="84"/>
    </row>
    <row r="49" spans="1:13" s="173" customFormat="1" ht="18.75">
      <c r="A49" s="90" t="s">
        <v>161</v>
      </c>
      <c r="B49" s="90"/>
      <c r="C49" s="83">
        <v>-4110019</v>
      </c>
      <c r="D49" s="83">
        <v>-9914923</v>
      </c>
      <c r="E49" s="122">
        <v>-9133603</v>
      </c>
      <c r="F49" s="122">
        <v>-3269209</v>
      </c>
      <c r="G49" s="122">
        <v>-7480861</v>
      </c>
      <c r="H49" s="122">
        <v>-6983879</v>
      </c>
      <c r="I49" s="84">
        <v>-2814710</v>
      </c>
      <c r="J49" s="84">
        <v>-2913383</v>
      </c>
      <c r="K49" s="84">
        <v>-2455747</v>
      </c>
      <c r="L49" s="84"/>
      <c r="M49" s="84"/>
    </row>
    <row r="50" spans="1:13" s="173" customFormat="1" ht="18.75">
      <c r="A50" s="95" t="s">
        <v>165</v>
      </c>
      <c r="B50" s="95"/>
      <c r="C50" s="89">
        <v>123609954</v>
      </c>
      <c r="D50" s="89">
        <v>64179737</v>
      </c>
      <c r="E50" s="89">
        <v>16228218</v>
      </c>
      <c r="F50" s="89">
        <v>58536609</v>
      </c>
      <c r="G50" s="89">
        <v>23604171</v>
      </c>
      <c r="H50" s="89">
        <v>95250415</v>
      </c>
      <c r="I50" s="89">
        <v>150567406</v>
      </c>
      <c r="J50" s="89">
        <v>83156549</v>
      </c>
      <c r="K50" s="89">
        <v>113269803</v>
      </c>
      <c r="L50" s="89">
        <v>126032524</v>
      </c>
      <c r="M50" s="84"/>
    </row>
    <row r="51" spans="1:13" s="173" customFormat="1" ht="18.75">
      <c r="A51" s="90" t="s">
        <v>67</v>
      </c>
      <c r="B51" s="90"/>
      <c r="C51" s="83">
        <v>-3210091</v>
      </c>
      <c r="D51" s="97">
        <v>-4401196</v>
      </c>
      <c r="E51" s="122">
        <v>-5041622</v>
      </c>
      <c r="F51" s="122">
        <v>-5013210</v>
      </c>
      <c r="G51" s="122">
        <v>-4436743</v>
      </c>
      <c r="H51" s="122">
        <v>-5206290</v>
      </c>
      <c r="I51" s="84">
        <v>-4833636</v>
      </c>
      <c r="J51" s="84">
        <v>-3489923</v>
      </c>
      <c r="K51" s="84">
        <v>-2924722</v>
      </c>
      <c r="L51" s="84">
        <v>-3150813</v>
      </c>
      <c r="M51" s="84"/>
    </row>
    <row r="52" spans="1:13" s="173" customFormat="1" ht="18.75">
      <c r="A52" s="95" t="s">
        <v>166</v>
      </c>
      <c r="B52" s="95"/>
      <c r="C52" s="98">
        <v>120399863</v>
      </c>
      <c r="D52" s="98">
        <v>59778541</v>
      </c>
      <c r="E52" s="98">
        <v>11186596</v>
      </c>
      <c r="F52" s="98">
        <v>53523399</v>
      </c>
      <c r="G52" s="98">
        <v>19167428</v>
      </c>
      <c r="H52" s="98">
        <v>90044125</v>
      </c>
      <c r="I52" s="98">
        <v>145733770</v>
      </c>
      <c r="J52" s="98">
        <v>79666626</v>
      </c>
      <c r="K52" s="98">
        <v>110345081</v>
      </c>
      <c r="L52" s="98">
        <v>122881711</v>
      </c>
      <c r="M52" s="84"/>
    </row>
    <row r="53" spans="1:13" s="173" customFormat="1" ht="18.75">
      <c r="A53" s="95" t="s">
        <v>167</v>
      </c>
      <c r="B53" s="95"/>
      <c r="C53" s="160"/>
      <c r="D53" s="99"/>
      <c r="E53" s="99"/>
      <c r="F53" s="84"/>
      <c r="G53" s="84"/>
      <c r="H53" s="84"/>
      <c r="I53" s="84"/>
      <c r="J53" s="84"/>
      <c r="K53" s="84"/>
      <c r="L53" s="84"/>
      <c r="M53" s="84"/>
    </row>
    <row r="54" spans="1:13" s="173" customFormat="1" ht="18.75">
      <c r="A54" s="90" t="s">
        <v>170</v>
      </c>
      <c r="B54" s="90"/>
      <c r="C54" s="83">
        <v>853475</v>
      </c>
      <c r="D54" s="97">
        <v>-568363</v>
      </c>
      <c r="E54" s="122">
        <v>-909016</v>
      </c>
      <c r="F54" s="122">
        <v>-2461114</v>
      </c>
      <c r="G54" s="122">
        <v>816964</v>
      </c>
      <c r="H54" s="122">
        <v>-1616248</v>
      </c>
      <c r="I54" s="84"/>
      <c r="J54" s="84"/>
      <c r="K54" s="84"/>
      <c r="L54" s="84"/>
      <c r="M54" s="84"/>
    </row>
    <row r="55" spans="1:13" s="173" customFormat="1" ht="18.75">
      <c r="A55" s="101" t="s">
        <v>116</v>
      </c>
      <c r="B55" s="101"/>
      <c r="C55" s="129">
        <v>121253338</v>
      </c>
      <c r="D55" s="129">
        <v>59210178</v>
      </c>
      <c r="E55" s="129">
        <v>10277580</v>
      </c>
      <c r="F55" s="129">
        <v>51062285</v>
      </c>
      <c r="G55" s="129">
        <v>19984392</v>
      </c>
      <c r="H55" s="129">
        <v>88427877</v>
      </c>
      <c r="I55" s="129">
        <v>145733770</v>
      </c>
      <c r="J55" s="129">
        <v>79666626</v>
      </c>
      <c r="K55" s="129">
        <v>110345081</v>
      </c>
      <c r="L55" s="129">
        <v>122881711</v>
      </c>
      <c r="M55" s="84"/>
    </row>
    <row r="57" spans="1:13">
      <c r="A57" s="71" t="s">
        <v>343</v>
      </c>
      <c r="B57" s="72" t="s">
        <v>93</v>
      </c>
      <c r="C57" s="104">
        <f>C44/C42</f>
        <v>0.18073561984996542</v>
      </c>
      <c r="D57" s="104">
        <f t="shared" ref="D57:L57" si="10">D44/D42</f>
        <v>0.15165528597519945</v>
      </c>
      <c r="E57" s="104">
        <f t="shared" si="10"/>
        <v>6.9218330575306811E-2</v>
      </c>
      <c r="F57" s="104">
        <f t="shared" si="10"/>
        <v>0.12364344236976152</v>
      </c>
      <c r="G57" s="104">
        <f t="shared" si="10"/>
        <v>0.17027347142584634</v>
      </c>
      <c r="H57" s="104">
        <f t="shared" si="10"/>
        <v>0.19029622665299789</v>
      </c>
      <c r="I57" s="104">
        <f t="shared" si="10"/>
        <v>0.24182915532128477</v>
      </c>
      <c r="J57" s="104">
        <f t="shared" si="10"/>
        <v>0.1900192648506728</v>
      </c>
      <c r="K57" s="104">
        <f t="shared" si="10"/>
        <v>0.17748752044814126</v>
      </c>
      <c r="L57" s="104">
        <f t="shared" si="10"/>
        <v>0.17636696011684408</v>
      </c>
    </row>
    <row r="58" spans="1:13">
      <c r="A58" s="71" t="s">
        <v>94</v>
      </c>
      <c r="B58" s="72" t="s">
        <v>95</v>
      </c>
      <c r="C58" s="104">
        <f>C55/C42</f>
        <v>0.16702343911422848</v>
      </c>
      <c r="D58" s="104">
        <f t="shared" ref="D58:L58" si="11">D55/D42</f>
        <v>0.11383289051235221</v>
      </c>
      <c r="E58" s="104">
        <f t="shared" si="11"/>
        <v>1.8628152170563853E-2</v>
      </c>
      <c r="F58" s="104">
        <f t="shared" si="11"/>
        <v>7.5411428876900596E-2</v>
      </c>
      <c r="G58" s="104">
        <f t="shared" si="11"/>
        <v>3.7373983101246649E-2</v>
      </c>
      <c r="H58" s="104">
        <f t="shared" si="11"/>
        <v>0.12119318050994732</v>
      </c>
      <c r="I58" s="104">
        <f t="shared" si="11"/>
        <v>0.18448036568523574</v>
      </c>
      <c r="J58" s="104">
        <f t="shared" si="11"/>
        <v>0.1537995443927489</v>
      </c>
      <c r="K58" s="104">
        <f t="shared" si="11"/>
        <v>0.1560139535146767</v>
      </c>
      <c r="L58" s="104">
        <f t="shared" si="11"/>
        <v>0.14968725568658692</v>
      </c>
    </row>
    <row r="59" spans="1:13">
      <c r="A59" s="71" t="s">
        <v>344</v>
      </c>
      <c r="B59" s="72" t="s">
        <v>97</v>
      </c>
      <c r="C59" s="105">
        <f>C42/C15</f>
        <v>1.0596736545072987</v>
      </c>
      <c r="D59" s="105">
        <f t="shared" ref="D59:L59" si="12">D42/D15</f>
        <v>0.93947881959586033</v>
      </c>
      <c r="E59" s="105">
        <f t="shared" si="12"/>
        <v>0.97050607921072685</v>
      </c>
      <c r="F59" s="105">
        <f t="shared" si="12"/>
        <v>1.0257332174840157</v>
      </c>
      <c r="G59" s="105">
        <f t="shared" si="12"/>
        <v>0.91353324794512591</v>
      </c>
      <c r="H59" s="105">
        <f t="shared" si="12"/>
        <v>1.0741176747050865</v>
      </c>
      <c r="I59" s="105">
        <f t="shared" si="12"/>
        <v>1.1185255098552258</v>
      </c>
      <c r="J59" s="105">
        <f t="shared" si="12"/>
        <v>0.90854452811829467</v>
      </c>
      <c r="K59" s="105">
        <f t="shared" si="12"/>
        <v>1.1629386111423408</v>
      </c>
      <c r="L59" s="105">
        <f t="shared" si="12"/>
        <v>1.1737281549095433</v>
      </c>
    </row>
    <row r="60" spans="1:13">
      <c r="A60" s="71" t="s">
        <v>345</v>
      </c>
      <c r="B60" s="72" t="s">
        <v>99</v>
      </c>
      <c r="C60" s="105">
        <f>C15/C22</f>
        <v>3.0081519556556318</v>
      </c>
      <c r="D60" s="105">
        <f t="shared" ref="D60:L60" si="13">D15/D22</f>
        <v>3.5379926197388789</v>
      </c>
      <c r="E60" s="105">
        <f t="shared" si="13"/>
        <v>4.1411245405856869</v>
      </c>
      <c r="F60" s="105">
        <f t="shared" si="13"/>
        <v>3.7295082422891244</v>
      </c>
      <c r="G60" s="105">
        <f t="shared" si="13"/>
        <v>3.2763796711514903</v>
      </c>
      <c r="H60" s="105">
        <f t="shared" si="13"/>
        <v>3.2554296674187135</v>
      </c>
      <c r="I60" s="105">
        <f t="shared" si="13"/>
        <v>3.2881241672891091</v>
      </c>
      <c r="J60" s="105">
        <f t="shared" si="13"/>
        <v>2.1511523210589774</v>
      </c>
      <c r="K60" s="105">
        <f t="shared" si="13"/>
        <v>2.2918322049723994</v>
      </c>
      <c r="L60" s="105">
        <f t="shared" si="13"/>
        <v>2.5431073082558395</v>
      </c>
    </row>
    <row r="61" spans="1:13">
      <c r="A61" s="71" t="s">
        <v>346</v>
      </c>
      <c r="B61" s="72" t="s">
        <v>118</v>
      </c>
      <c r="C61" s="105">
        <f>C55/C22</f>
        <v>0.53241383173144041</v>
      </c>
      <c r="D61" s="105">
        <f t="shared" ref="D61:L61" si="14">D55/D22</f>
        <v>0.37836563076760626</v>
      </c>
      <c r="E61" s="105">
        <f t="shared" si="14"/>
        <v>7.4866292864780262E-2</v>
      </c>
      <c r="F61" s="105">
        <f t="shared" si="14"/>
        <v>0.28848494981592138</v>
      </c>
      <c r="G61" s="105">
        <f t="shared" si="14"/>
        <v>0.11186338721189117</v>
      </c>
      <c r="H61" s="105">
        <f t="shared" si="14"/>
        <v>0.42377795698743603</v>
      </c>
      <c r="I61" s="105">
        <f t="shared" si="14"/>
        <v>0.67849125326676962</v>
      </c>
      <c r="J61" s="105">
        <f t="shared" si="14"/>
        <v>0.30058854726790207</v>
      </c>
      <c r="K61" s="105">
        <f t="shared" si="14"/>
        <v>0.41581777492859456</v>
      </c>
      <c r="L61" s="105">
        <f t="shared" si="14"/>
        <v>0.44680398159053603</v>
      </c>
    </row>
    <row r="62" spans="1:13">
      <c r="A62" s="71" t="s">
        <v>347</v>
      </c>
      <c r="B62" s="72" t="s">
        <v>102</v>
      </c>
      <c r="C62" s="105">
        <f>C14/C37</f>
        <v>1.3093103595553246</v>
      </c>
      <c r="D62" s="105">
        <f t="shared" ref="D62:L62" si="15">D14/D37</f>
        <v>1.2510896472563504</v>
      </c>
      <c r="E62" s="105">
        <f t="shared" si="15"/>
        <v>1.1968259219809088</v>
      </c>
      <c r="F62" s="105">
        <f t="shared" si="15"/>
        <v>1.269744700344795</v>
      </c>
      <c r="G62" s="105">
        <f t="shared" si="15"/>
        <v>1.2899112605923098</v>
      </c>
      <c r="H62" s="105">
        <f t="shared" si="15"/>
        <v>1.2813518639379684</v>
      </c>
      <c r="I62" s="105">
        <f t="shared" si="15"/>
        <v>1.3555270796854721</v>
      </c>
      <c r="J62" s="105">
        <f t="shared" si="15"/>
        <v>1.6551326028462252</v>
      </c>
      <c r="K62" s="105">
        <f t="shared" si="15"/>
        <v>1.4518433420968631</v>
      </c>
      <c r="L62" s="105">
        <f t="shared" si="15"/>
        <v>1.308093483692131</v>
      </c>
    </row>
    <row r="63" spans="1:13">
      <c r="A63" s="71" t="s">
        <v>348</v>
      </c>
      <c r="B63" s="72" t="s">
        <v>104</v>
      </c>
      <c r="C63" s="105">
        <f>C38/C15</f>
        <v>0.6675699849138611</v>
      </c>
      <c r="D63" s="105">
        <f t="shared" ref="D63:L63" si="16">D38/D15</f>
        <v>0.71735384793600698</v>
      </c>
      <c r="E63" s="105">
        <f t="shared" si="16"/>
        <v>0.75851969913018646</v>
      </c>
      <c r="F63" s="105">
        <f t="shared" si="16"/>
        <v>0.731868135144216</v>
      </c>
      <c r="G63" s="105">
        <f t="shared" si="16"/>
        <v>0.69478506755337421</v>
      </c>
      <c r="H63" s="105">
        <f t="shared" si="16"/>
        <v>0.69282088628475358</v>
      </c>
      <c r="I63" s="105">
        <f t="shared" si="16"/>
        <v>0.69587523185766764</v>
      </c>
      <c r="J63" s="105">
        <f t="shared" si="16"/>
        <v>0.53513287264208409</v>
      </c>
      <c r="K63" s="105">
        <f t="shared" si="16"/>
        <v>0.56366788204198259</v>
      </c>
      <c r="L63" s="105">
        <f t="shared" si="16"/>
        <v>0.60678025785477441</v>
      </c>
    </row>
    <row r="64" spans="1:13">
      <c r="A64" s="71" t="s">
        <v>349</v>
      </c>
      <c r="B64" s="72" t="s">
        <v>106</v>
      </c>
      <c r="C64" s="105">
        <f>C38/C22</f>
        <v>2.0081519556556318</v>
      </c>
      <c r="D64" s="105">
        <f t="shared" ref="D64:L64" si="17">D38/D22</f>
        <v>2.5379926197388789</v>
      </c>
      <c r="E64" s="105">
        <f t="shared" si="17"/>
        <v>3.1411245405856865</v>
      </c>
      <c r="F64" s="105">
        <f t="shared" si="17"/>
        <v>2.7295082422891244</v>
      </c>
      <c r="G64" s="105">
        <f t="shared" si="17"/>
        <v>2.2763796711514903</v>
      </c>
      <c r="H64" s="105">
        <f t="shared" si="17"/>
        <v>2.2554296674187135</v>
      </c>
      <c r="I64" s="105">
        <f t="shared" si="17"/>
        <v>2.2881241672891091</v>
      </c>
      <c r="J64" s="105">
        <f t="shared" si="17"/>
        <v>1.1511523210589774</v>
      </c>
      <c r="K64" s="105">
        <f t="shared" si="17"/>
        <v>1.2918322049723991</v>
      </c>
      <c r="L64" s="105">
        <f t="shared" si="17"/>
        <v>1.5431073082558395</v>
      </c>
    </row>
    <row r="65" spans="1:12">
      <c r="A65" s="71" t="s">
        <v>350</v>
      </c>
      <c r="B65" s="71" t="s">
        <v>351</v>
      </c>
      <c r="C65" s="73">
        <f>C55*25%</f>
        <v>30313334.5</v>
      </c>
      <c r="D65" s="73">
        <f t="shared" ref="D65:L65" si="18">D55*25%</f>
        <v>14802544.5</v>
      </c>
      <c r="E65" s="73">
        <f t="shared" si="18"/>
        <v>2569395</v>
      </c>
      <c r="F65" s="73">
        <f t="shared" si="18"/>
        <v>12765571.25</v>
      </c>
      <c r="G65" s="73">
        <f t="shared" si="18"/>
        <v>4996098</v>
      </c>
      <c r="H65" s="73">
        <f t="shared" si="18"/>
        <v>22106969.25</v>
      </c>
      <c r="I65" s="73">
        <f t="shared" si="18"/>
        <v>36433442.5</v>
      </c>
      <c r="J65" s="73">
        <f t="shared" si="18"/>
        <v>19916656.5</v>
      </c>
      <c r="K65" s="73">
        <f t="shared" si="18"/>
        <v>27586270.25</v>
      </c>
      <c r="L65" s="73">
        <f t="shared" si="18"/>
        <v>30720427.75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EE93-4FBC-4F8F-8ED5-DEF4A6B0AB09}">
  <dimension ref="A1:E67"/>
  <sheetViews>
    <sheetView zoomScale="89" zoomScaleNormal="89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C67" sqref="C67"/>
    </sheetView>
  </sheetViews>
  <sheetFormatPr defaultRowHeight="18"/>
  <cols>
    <col min="1" max="1" width="67" style="71" customWidth="1"/>
    <col min="2" max="2" width="30.1640625" style="71" customWidth="1"/>
    <col min="3" max="3" width="27.83203125" style="117" customWidth="1"/>
    <col min="4" max="4" width="28.6640625" style="117" customWidth="1"/>
    <col min="5" max="5" width="28.6640625" style="73" customWidth="1"/>
    <col min="6" max="16384" width="9.33203125" style="71"/>
  </cols>
  <sheetData>
    <row r="1" spans="1:5" s="67" customFormat="1" ht="54">
      <c r="A1" s="67" t="s">
        <v>0</v>
      </c>
      <c r="B1" s="67" t="s">
        <v>383</v>
      </c>
      <c r="C1" s="171" t="s">
        <v>121</v>
      </c>
      <c r="D1" s="171" t="s">
        <v>122</v>
      </c>
      <c r="E1" s="172" t="s">
        <v>123</v>
      </c>
    </row>
    <row r="2" spans="1:5" ht="20.25">
      <c r="A2" s="108" t="s">
        <v>207</v>
      </c>
      <c r="B2" s="108"/>
      <c r="C2" s="111">
        <v>2467651</v>
      </c>
      <c r="D2" s="111">
        <v>3430640</v>
      </c>
      <c r="E2" s="111">
        <v>1348768</v>
      </c>
    </row>
    <row r="3" spans="1:5" ht="20.25">
      <c r="A3" s="108" t="s">
        <v>384</v>
      </c>
      <c r="B3" s="108"/>
      <c r="C3" s="111">
        <v>184347</v>
      </c>
      <c r="D3" s="111">
        <v>368693</v>
      </c>
      <c r="E3" s="108">
        <v>553039</v>
      </c>
    </row>
    <row r="4" spans="1:5" ht="20.25">
      <c r="A4" s="108" t="s">
        <v>352</v>
      </c>
      <c r="B4" s="108"/>
      <c r="C4" s="111"/>
      <c r="D4" s="111"/>
      <c r="E4" s="108"/>
    </row>
    <row r="5" spans="1:5" ht="20.25">
      <c r="A5" s="108" t="s">
        <v>211</v>
      </c>
      <c r="B5" s="108"/>
      <c r="C5" s="111">
        <v>154587</v>
      </c>
      <c r="D5" s="111">
        <v>208102</v>
      </c>
      <c r="E5" s="108">
        <v>118027</v>
      </c>
    </row>
    <row r="6" spans="1:5" ht="20.25">
      <c r="A6" s="108" t="s">
        <v>174</v>
      </c>
      <c r="B6" s="108"/>
      <c r="C6" s="109"/>
      <c r="D6" s="109"/>
      <c r="E6" s="111"/>
    </row>
    <row r="7" spans="1:5" s="68" customFormat="1" ht="20.25">
      <c r="A7" s="74" t="s">
        <v>110</v>
      </c>
      <c r="B7" s="74"/>
      <c r="C7" s="112">
        <f t="shared" ref="C7:E7" si="0">SUM(C2:C6)</f>
        <v>2806585</v>
      </c>
      <c r="D7" s="112">
        <f t="shared" si="0"/>
        <v>4007435</v>
      </c>
      <c r="E7" s="76">
        <f t="shared" si="0"/>
        <v>2019834</v>
      </c>
    </row>
    <row r="8" spans="1:5" s="68" customFormat="1" ht="20.25">
      <c r="A8" s="113"/>
      <c r="B8" s="113"/>
      <c r="C8" s="109"/>
      <c r="D8" s="109"/>
      <c r="E8" s="70"/>
    </row>
    <row r="9" spans="1:5" ht="20.25">
      <c r="A9" s="108" t="s">
        <v>356</v>
      </c>
      <c r="B9" s="108"/>
      <c r="C9" s="111">
        <v>2723314</v>
      </c>
      <c r="D9" s="111">
        <v>2451103</v>
      </c>
      <c r="E9" s="111">
        <v>4633354</v>
      </c>
    </row>
    <row r="10" spans="1:5" ht="20.25">
      <c r="A10" s="108" t="s">
        <v>385</v>
      </c>
      <c r="B10" s="108"/>
      <c r="C10" s="111">
        <v>11336048</v>
      </c>
      <c r="D10" s="111">
        <v>14525581</v>
      </c>
      <c r="E10" s="111">
        <v>11736660</v>
      </c>
    </row>
    <row r="11" spans="1:5" ht="20.25">
      <c r="A11" s="108" t="s">
        <v>357</v>
      </c>
      <c r="B11" s="108"/>
      <c r="C11" s="111">
        <v>769189</v>
      </c>
      <c r="D11" s="111">
        <v>1512950</v>
      </c>
      <c r="E11" s="111">
        <v>866091</v>
      </c>
    </row>
    <row r="12" spans="1:5" ht="20.25">
      <c r="A12" s="108" t="s">
        <v>273</v>
      </c>
      <c r="B12" s="108"/>
      <c r="C12" s="111">
        <v>292942</v>
      </c>
      <c r="D12" s="111">
        <v>353301</v>
      </c>
      <c r="E12" s="111">
        <v>388474</v>
      </c>
    </row>
    <row r="13" spans="1:5" ht="20.25">
      <c r="A13" s="108" t="s">
        <v>175</v>
      </c>
      <c r="B13" s="108"/>
      <c r="C13" s="111">
        <v>1785517</v>
      </c>
      <c r="D13" s="111">
        <v>308781</v>
      </c>
      <c r="E13" s="111">
        <v>7736936</v>
      </c>
    </row>
    <row r="14" spans="1:5" s="68" customFormat="1">
      <c r="A14" s="74" t="s">
        <v>111</v>
      </c>
      <c r="B14" s="74"/>
      <c r="C14" s="77">
        <f>SUM(C9:C13)</f>
        <v>16907010</v>
      </c>
      <c r="D14" s="77">
        <f>SUM(D9:D13)</f>
        <v>19151716</v>
      </c>
      <c r="E14" s="77">
        <f>SUM(E9:E13)</f>
        <v>25361515</v>
      </c>
    </row>
    <row r="15" spans="1:5" s="68" customFormat="1">
      <c r="A15" s="74" t="s">
        <v>112</v>
      </c>
      <c r="B15" s="74"/>
      <c r="C15" s="78">
        <f>C7+C14</f>
        <v>19713595</v>
      </c>
      <c r="D15" s="78">
        <f>D7+D14</f>
        <v>23159151</v>
      </c>
      <c r="E15" s="78">
        <f>E7+E14</f>
        <v>27381349</v>
      </c>
    </row>
    <row r="16" spans="1:5" s="68" customFormat="1" ht="20.25">
      <c r="A16" s="113"/>
      <c r="B16" s="113"/>
      <c r="C16" s="109"/>
      <c r="D16" s="109"/>
      <c r="E16" s="70"/>
    </row>
    <row r="17" spans="1:5" ht="20.25">
      <c r="A17" s="113"/>
      <c r="B17" s="113"/>
      <c r="C17" s="109"/>
      <c r="D17" s="109"/>
    </row>
    <row r="18" spans="1:5" ht="20.25">
      <c r="A18" s="111" t="s">
        <v>180</v>
      </c>
      <c r="B18" s="111"/>
      <c r="C18" s="111">
        <v>16000000</v>
      </c>
      <c r="D18" s="111">
        <v>6000000</v>
      </c>
      <c r="E18" s="111">
        <v>6000000</v>
      </c>
    </row>
    <row r="19" spans="1:5" ht="20.25">
      <c r="A19" s="111" t="s">
        <v>181</v>
      </c>
      <c r="B19" s="111"/>
      <c r="C19" s="111">
        <v>527525</v>
      </c>
      <c r="D19" s="111">
        <v>527525</v>
      </c>
      <c r="E19" s="111">
        <v>527525</v>
      </c>
    </row>
    <row r="20" spans="1:5" ht="20.25">
      <c r="A20" s="111" t="s">
        <v>386</v>
      </c>
      <c r="B20" s="111"/>
      <c r="C20" s="111">
        <v>12000000</v>
      </c>
      <c r="D20" s="111"/>
      <c r="E20" s="111"/>
    </row>
    <row r="21" spans="1:5" ht="20.25">
      <c r="A21" s="111" t="s">
        <v>182</v>
      </c>
      <c r="B21" s="111"/>
      <c r="C21" s="111">
        <v>-35167236</v>
      </c>
      <c r="D21" s="111">
        <v>-23123144</v>
      </c>
      <c r="E21" s="111">
        <v>-3270734</v>
      </c>
    </row>
    <row r="22" spans="1:5" s="68" customFormat="1">
      <c r="A22" s="74" t="s">
        <v>113</v>
      </c>
      <c r="B22" s="74"/>
      <c r="C22" s="76">
        <f>SUM(C18:C21)</f>
        <v>-6639711</v>
      </c>
      <c r="D22" s="76">
        <f>SUM(D18:D21)</f>
        <v>-16595619</v>
      </c>
      <c r="E22" s="76">
        <f>SUM(E18:E21)</f>
        <v>3256791</v>
      </c>
    </row>
    <row r="23" spans="1:5" s="68" customFormat="1" ht="20.25">
      <c r="A23" s="113"/>
      <c r="B23" s="113"/>
      <c r="C23" s="109"/>
      <c r="D23" s="109"/>
      <c r="E23" s="70"/>
    </row>
    <row r="24" spans="1:5" ht="20.25">
      <c r="A24" s="182" t="s">
        <v>387</v>
      </c>
      <c r="B24" s="182"/>
      <c r="C24" s="111">
        <v>0</v>
      </c>
      <c r="D24" s="111">
        <v>5000000</v>
      </c>
      <c r="E24" s="111">
        <v>10000000</v>
      </c>
    </row>
    <row r="25" spans="1:5" ht="20.25">
      <c r="A25" s="108" t="s">
        <v>388</v>
      </c>
      <c r="B25" s="108"/>
      <c r="C25" s="111">
        <v>0</v>
      </c>
      <c r="D25" s="111">
        <v>196690</v>
      </c>
      <c r="E25" s="111">
        <v>384911</v>
      </c>
    </row>
    <row r="26" spans="1:5" ht="20.25">
      <c r="A26" s="108" t="s">
        <v>359</v>
      </c>
      <c r="B26" s="108"/>
      <c r="C26" s="111">
        <v>366069</v>
      </c>
      <c r="D26" s="111">
        <v>418345</v>
      </c>
      <c r="E26" s="111">
        <v>324220</v>
      </c>
    </row>
    <row r="27" spans="1:5" s="68" customFormat="1">
      <c r="A27" s="74" t="s">
        <v>114</v>
      </c>
      <c r="B27" s="74"/>
      <c r="C27" s="76">
        <f>SUM(C24:C26)</f>
        <v>366069</v>
      </c>
      <c r="D27" s="76">
        <f>SUM(D24:D26)</f>
        <v>5615035</v>
      </c>
      <c r="E27" s="76">
        <f>SUM(E24:E26)</f>
        <v>10709131</v>
      </c>
    </row>
    <row r="28" spans="1:5" s="68" customFormat="1" ht="20.25">
      <c r="A28" s="113"/>
      <c r="B28" s="113"/>
      <c r="C28" s="109"/>
      <c r="D28" s="109"/>
      <c r="E28" s="70"/>
    </row>
    <row r="29" spans="1:5" ht="20.25">
      <c r="A29" s="108" t="s">
        <v>389</v>
      </c>
      <c r="B29" s="108"/>
      <c r="C29" s="111">
        <v>0</v>
      </c>
      <c r="D29" s="111">
        <v>6475562</v>
      </c>
      <c r="E29" s="111">
        <v>1000000</v>
      </c>
    </row>
    <row r="30" spans="1:5" ht="20.25">
      <c r="A30" s="108" t="s">
        <v>192</v>
      </c>
      <c r="B30" s="108"/>
      <c r="C30" s="111">
        <v>9382417</v>
      </c>
      <c r="D30" s="111">
        <v>8738277</v>
      </c>
      <c r="E30" s="111">
        <v>2859233</v>
      </c>
    </row>
    <row r="31" spans="1:5" ht="20.25">
      <c r="A31" s="108" t="s">
        <v>390</v>
      </c>
      <c r="B31" s="108"/>
      <c r="C31" s="111">
        <v>196690</v>
      </c>
      <c r="D31" s="111">
        <v>188221</v>
      </c>
      <c r="E31" s="111">
        <v>180115</v>
      </c>
    </row>
    <row r="32" spans="1:5" ht="20.25">
      <c r="A32" s="108" t="s">
        <v>360</v>
      </c>
      <c r="B32" s="108"/>
      <c r="C32" s="111">
        <v>636340</v>
      </c>
      <c r="D32" s="111">
        <v>3374635</v>
      </c>
      <c r="E32" s="111">
        <v>2109128</v>
      </c>
    </row>
    <row r="33" spans="1:5" ht="20.25">
      <c r="A33" s="108" t="s">
        <v>200</v>
      </c>
      <c r="B33" s="108"/>
      <c r="C33" s="111">
        <v>9890737</v>
      </c>
      <c r="D33" s="111">
        <v>13242310</v>
      </c>
      <c r="E33" s="111">
        <v>6062346</v>
      </c>
    </row>
    <row r="34" spans="1:5" ht="20.25">
      <c r="A34" s="108" t="s">
        <v>361</v>
      </c>
      <c r="B34" s="108"/>
      <c r="C34" s="111">
        <v>5647418</v>
      </c>
      <c r="D34" s="111">
        <v>1936216</v>
      </c>
      <c r="E34" s="111">
        <v>1038157</v>
      </c>
    </row>
    <row r="35" spans="1:5" ht="20.25">
      <c r="A35" s="111" t="s">
        <v>340</v>
      </c>
      <c r="B35" s="111"/>
      <c r="C35" s="111">
        <v>233635</v>
      </c>
      <c r="D35" s="111">
        <v>184514</v>
      </c>
      <c r="E35" s="111">
        <v>166448</v>
      </c>
    </row>
    <row r="36" spans="1:5" s="68" customFormat="1">
      <c r="A36" s="74" t="s">
        <v>107</v>
      </c>
      <c r="B36" s="74"/>
      <c r="C36" s="77">
        <f>SUM(C29:C35)</f>
        <v>25987237</v>
      </c>
      <c r="D36" s="77">
        <f>SUM(D29:D35)</f>
        <v>34139735</v>
      </c>
      <c r="E36" s="77">
        <f>SUM(E29:E35)</f>
        <v>13415427</v>
      </c>
    </row>
    <row r="37" spans="1:5" s="68" customFormat="1">
      <c r="A37" s="74" t="s">
        <v>108</v>
      </c>
      <c r="B37" s="74"/>
      <c r="C37" s="118">
        <f>C27+C36</f>
        <v>26353306</v>
      </c>
      <c r="D37" s="118">
        <f>D27+D36</f>
        <v>39754770</v>
      </c>
      <c r="E37" s="76">
        <f>E27+E36</f>
        <v>24124558</v>
      </c>
    </row>
    <row r="38" spans="1:5" s="68" customFormat="1">
      <c r="A38" s="74" t="s">
        <v>109</v>
      </c>
      <c r="B38" s="74"/>
      <c r="C38" s="119">
        <f>C37+C22</f>
        <v>19713595</v>
      </c>
      <c r="D38" s="119">
        <f>D37+D22</f>
        <v>23159151</v>
      </c>
      <c r="E38" s="79">
        <f>E37+E22</f>
        <v>27381349</v>
      </c>
    </row>
    <row r="40" spans="1:5">
      <c r="C40" s="119">
        <f>C15-C38</f>
        <v>0</v>
      </c>
      <c r="D40" s="119">
        <f>D15-D38</f>
        <v>0</v>
      </c>
      <c r="E40" s="78">
        <f>E15-E38</f>
        <v>0</v>
      </c>
    </row>
    <row r="41" spans="1:5" ht="18.75">
      <c r="A41" s="81" t="s">
        <v>52</v>
      </c>
      <c r="B41" s="81"/>
      <c r="C41" s="122">
        <v>23979495</v>
      </c>
      <c r="D41" s="122">
        <v>26571552</v>
      </c>
    </row>
    <row r="42" spans="1:5" ht="18.75">
      <c r="A42" s="85" t="s">
        <v>53</v>
      </c>
      <c r="B42" s="85"/>
      <c r="C42" s="156">
        <v>-25143096</v>
      </c>
      <c r="D42" s="156">
        <v>-26142422</v>
      </c>
    </row>
    <row r="43" spans="1:5" ht="18.75">
      <c r="A43" s="87" t="s">
        <v>54</v>
      </c>
      <c r="B43" s="87"/>
      <c r="C43" s="125">
        <v>-1163601</v>
      </c>
      <c r="D43" s="125">
        <v>429130</v>
      </c>
    </row>
    <row r="44" spans="1:5" ht="18.75">
      <c r="A44" s="90" t="s">
        <v>55</v>
      </c>
      <c r="B44" s="90"/>
      <c r="C44" s="122">
        <v>-5525707</v>
      </c>
      <c r="D44" s="122">
        <v>-4854948</v>
      </c>
    </row>
    <row r="45" spans="1:5" ht="18.75">
      <c r="A45" s="90" t="s">
        <v>203</v>
      </c>
      <c r="B45" s="90"/>
      <c r="C45" s="122">
        <v>-6018760</v>
      </c>
      <c r="D45" s="122">
        <v>-6830243</v>
      </c>
    </row>
    <row r="46" spans="1:5" ht="18.75">
      <c r="A46" s="90" t="s">
        <v>160</v>
      </c>
      <c r="B46" s="90"/>
      <c r="C46" s="122">
        <v>827153</v>
      </c>
      <c r="D46" s="122">
        <v>-3417736</v>
      </c>
    </row>
    <row r="47" spans="1:5" ht="18.75">
      <c r="A47" s="90" t="s">
        <v>65</v>
      </c>
      <c r="B47" s="90"/>
      <c r="C47" s="122">
        <v>1015562</v>
      </c>
      <c r="D47" s="121">
        <v>1080448</v>
      </c>
    </row>
    <row r="48" spans="1:5" ht="18.75">
      <c r="A48" s="90" t="s">
        <v>205</v>
      </c>
      <c r="B48" s="90"/>
      <c r="C48" s="183"/>
      <c r="D48" s="156">
        <v>-4968740</v>
      </c>
    </row>
    <row r="49" spans="1:5" ht="18.75">
      <c r="A49" s="87" t="s">
        <v>115</v>
      </c>
      <c r="B49" s="87"/>
      <c r="C49" s="128">
        <v>-10865353</v>
      </c>
      <c r="D49" s="128">
        <v>-18562089</v>
      </c>
    </row>
    <row r="50" spans="1:5" ht="18.75">
      <c r="A50" s="122" t="s">
        <v>161</v>
      </c>
      <c r="B50" s="122"/>
      <c r="C50" s="122">
        <v>-946126</v>
      </c>
      <c r="D50" s="122">
        <v>-1381817</v>
      </c>
    </row>
    <row r="51" spans="1:5" ht="18.75">
      <c r="A51" s="122" t="s">
        <v>162</v>
      </c>
      <c r="B51" s="122"/>
      <c r="C51" s="122"/>
      <c r="D51" s="122"/>
    </row>
    <row r="52" spans="1:5" ht="18.75">
      <c r="A52" s="95" t="s">
        <v>165</v>
      </c>
      <c r="B52" s="95"/>
      <c r="C52" s="89">
        <v>-11811479</v>
      </c>
      <c r="D52" s="89">
        <v>-19943906</v>
      </c>
    </row>
    <row r="53" spans="1:5" ht="18.75">
      <c r="A53" s="90" t="s">
        <v>67</v>
      </c>
      <c r="B53" s="90"/>
      <c r="C53" s="121">
        <v>-180000</v>
      </c>
      <c r="D53" s="121">
        <v>-50786</v>
      </c>
    </row>
    <row r="54" spans="1:5" ht="18.75">
      <c r="A54" s="95" t="s">
        <v>166</v>
      </c>
      <c r="B54" s="95"/>
      <c r="C54" s="98">
        <v>-11991479</v>
      </c>
      <c r="D54" s="98">
        <v>-19994692</v>
      </c>
    </row>
    <row r="55" spans="1:5" ht="18.75">
      <c r="A55" s="95" t="s">
        <v>167</v>
      </c>
      <c r="B55" s="95"/>
      <c r="C55" s="160"/>
      <c r="D55" s="99"/>
    </row>
    <row r="56" spans="1:5" ht="18.75">
      <c r="A56" s="95" t="s">
        <v>168</v>
      </c>
      <c r="B56" s="95"/>
      <c r="C56" s="160"/>
      <c r="D56" s="100"/>
    </row>
    <row r="57" spans="1:5" ht="18.75">
      <c r="A57" s="90" t="s">
        <v>170</v>
      </c>
      <c r="B57" s="90"/>
      <c r="C57" s="122">
        <v>-52613</v>
      </c>
      <c r="D57" s="122">
        <v>142282</v>
      </c>
    </row>
    <row r="58" spans="1:5" ht="18.75">
      <c r="A58" s="101" t="s">
        <v>116</v>
      </c>
      <c r="B58" s="101"/>
      <c r="C58" s="129">
        <v>-12044092</v>
      </c>
      <c r="D58" s="129">
        <v>-19852410</v>
      </c>
    </row>
    <row r="60" spans="1:5">
      <c r="A60" s="71" t="s">
        <v>92</v>
      </c>
      <c r="B60" s="72" t="s">
        <v>93</v>
      </c>
      <c r="C60" s="167">
        <f>C43/C41</f>
        <v>-4.8524833404540002E-2</v>
      </c>
      <c r="D60" s="167">
        <f t="shared" ref="D60:E60" si="1">D43/D41</f>
        <v>1.6149978744184758E-2</v>
      </c>
      <c r="E60" s="167">
        <v>0</v>
      </c>
    </row>
    <row r="61" spans="1:5">
      <c r="A61" s="71" t="s">
        <v>94</v>
      </c>
      <c r="B61" s="72" t="s">
        <v>95</v>
      </c>
      <c r="C61" s="167">
        <f>C58/C41</f>
        <v>-0.50226629042855153</v>
      </c>
      <c r="D61" s="167">
        <f t="shared" ref="D61:E61" si="2">D58/D41</f>
        <v>-0.74713023913695364</v>
      </c>
      <c r="E61" s="167">
        <v>0</v>
      </c>
    </row>
    <row r="62" spans="1:5">
      <c r="A62" s="71" t="s">
        <v>96</v>
      </c>
      <c r="B62" s="72" t="s">
        <v>97</v>
      </c>
      <c r="C62" s="168">
        <f>C41/C15</f>
        <v>1.2163938135078862</v>
      </c>
      <c r="D62" s="168">
        <f t="shared" ref="D62:E62" si="3">D41/D15</f>
        <v>1.1473456863768452</v>
      </c>
      <c r="E62" s="168">
        <f t="shared" si="3"/>
        <v>0</v>
      </c>
    </row>
    <row r="63" spans="1:5">
      <c r="A63" s="71" t="s">
        <v>98</v>
      </c>
      <c r="B63" s="72" t="s">
        <v>99</v>
      </c>
      <c r="C63" s="168">
        <f>C15/C22</f>
        <v>-2.9690441346016416</v>
      </c>
      <c r="D63" s="168">
        <f t="shared" ref="D63:E63" si="4">D15/D22</f>
        <v>-1.3954978720588849</v>
      </c>
      <c r="E63" s="168">
        <f t="shared" si="4"/>
        <v>8.4074627447693135</v>
      </c>
    </row>
    <row r="64" spans="1:5">
      <c r="A64" s="71" t="s">
        <v>100</v>
      </c>
      <c r="B64" s="72" t="s">
        <v>118</v>
      </c>
      <c r="C64" s="168">
        <f>-(C58/C22)</f>
        <v>-1.8139482275659287</v>
      </c>
      <c r="D64" s="168">
        <f t="shared" ref="D64:E64" si="5">-(D58/D22)</f>
        <v>-1.1962440207864498</v>
      </c>
      <c r="E64" s="168">
        <f t="shared" si="5"/>
        <v>0</v>
      </c>
    </row>
    <row r="65" spans="1:5">
      <c r="A65" s="71" t="s">
        <v>101</v>
      </c>
      <c r="B65" s="72" t="s">
        <v>102</v>
      </c>
      <c r="C65" s="168">
        <f>C14/C36</f>
        <v>0.65058897950559347</v>
      </c>
      <c r="D65" s="168">
        <f t="shared" ref="D65:E65" si="6">D14/D36</f>
        <v>0.56098021850491808</v>
      </c>
      <c r="E65" s="168">
        <f t="shared" si="6"/>
        <v>1.8904739297526647</v>
      </c>
    </row>
    <row r="66" spans="1:5">
      <c r="A66" s="71" t="s">
        <v>103</v>
      </c>
      <c r="B66" s="72" t="s">
        <v>104</v>
      </c>
      <c r="C66" s="168">
        <f>C37/C15</f>
        <v>1.336808735291559</v>
      </c>
      <c r="D66" s="168">
        <f t="shared" ref="D66:E66" si="7">D37/D15</f>
        <v>1.716590128886849</v>
      </c>
      <c r="E66" s="168">
        <f t="shared" si="7"/>
        <v>0.88105805159563177</v>
      </c>
    </row>
    <row r="67" spans="1:5">
      <c r="A67" s="71" t="s">
        <v>105</v>
      </c>
      <c r="B67" s="72" t="s">
        <v>106</v>
      </c>
      <c r="C67" s="168">
        <f>C37/C22</f>
        <v>-3.9690441346016416</v>
      </c>
      <c r="D67" s="168">
        <f t="shared" ref="D67:E67" si="8">D37/D22</f>
        <v>-2.3954978720588849</v>
      </c>
      <c r="E67" s="168">
        <f t="shared" si="8"/>
        <v>7.4074627447693144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2B30-F505-47B8-878F-44C8EF28CFCB}">
  <dimension ref="A1:E60"/>
  <sheetViews>
    <sheetView zoomScale="75" zoomScaleNormal="7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8"/>
  <cols>
    <col min="1" max="2" width="67" style="71" customWidth="1"/>
    <col min="3" max="3" width="25.5" style="155" customWidth="1"/>
    <col min="4" max="4" width="27.83203125" style="117" customWidth="1"/>
    <col min="5" max="5" width="28.6640625" style="117" customWidth="1"/>
    <col min="6" max="16384" width="9.33203125" style="71"/>
  </cols>
  <sheetData>
    <row r="1" spans="1:5" s="67" customFormat="1" ht="36">
      <c r="A1" s="67" t="s">
        <v>0</v>
      </c>
      <c r="B1" s="67" t="s">
        <v>383</v>
      </c>
      <c r="C1" s="184" t="s">
        <v>391</v>
      </c>
      <c r="D1" s="171" t="s">
        <v>392</v>
      </c>
      <c r="E1" s="171" t="s">
        <v>393</v>
      </c>
    </row>
    <row r="2" spans="1:5" ht="20.25">
      <c r="A2" s="108" t="s">
        <v>207</v>
      </c>
      <c r="B2" s="108"/>
      <c r="C2" s="145">
        <v>4032392</v>
      </c>
      <c r="D2" s="111">
        <v>14960453</v>
      </c>
      <c r="E2" s="111"/>
    </row>
    <row r="3" spans="1:5" ht="20.25">
      <c r="A3" s="108" t="s">
        <v>394</v>
      </c>
      <c r="B3" s="108"/>
      <c r="C3" s="145">
        <v>11910</v>
      </c>
      <c r="D3" s="111">
        <v>638810</v>
      </c>
      <c r="E3" s="111"/>
    </row>
    <row r="4" spans="1:5" ht="20.25">
      <c r="A4" s="108" t="s">
        <v>384</v>
      </c>
      <c r="B4" s="108"/>
      <c r="C4" s="145">
        <v>4451237</v>
      </c>
      <c r="D4" s="117">
        <v>12395740</v>
      </c>
    </row>
    <row r="5" spans="1:5" s="68" customFormat="1" ht="20.25">
      <c r="A5" s="74" t="s">
        <v>110</v>
      </c>
      <c r="B5" s="108"/>
      <c r="C5" s="185">
        <f>SUM(C2:C4)</f>
        <v>8495539</v>
      </c>
      <c r="D5" s="112">
        <f>SUM(D2:D4)</f>
        <v>27995003</v>
      </c>
      <c r="E5" s="112">
        <f>SUM(E2:E4)</f>
        <v>0</v>
      </c>
    </row>
    <row r="6" spans="1:5" s="68" customFormat="1" ht="20.25">
      <c r="A6" s="113"/>
      <c r="B6" s="108"/>
      <c r="C6" s="186"/>
      <c r="D6" s="109"/>
      <c r="E6" s="109"/>
    </row>
    <row r="7" spans="1:5" ht="20.25">
      <c r="A7" s="108" t="s">
        <v>356</v>
      </c>
      <c r="B7" s="108"/>
      <c r="C7" s="145">
        <v>0</v>
      </c>
      <c r="D7" s="111">
        <v>236348</v>
      </c>
      <c r="E7" s="111"/>
    </row>
    <row r="8" spans="1:5" ht="20.25">
      <c r="A8" s="108" t="s">
        <v>273</v>
      </c>
      <c r="B8" s="108"/>
      <c r="C8" s="145">
        <v>1331</v>
      </c>
      <c r="D8" s="111">
        <v>0</v>
      </c>
      <c r="E8" s="111"/>
    </row>
    <row r="9" spans="1:5" ht="20.25">
      <c r="A9" s="108" t="s">
        <v>385</v>
      </c>
      <c r="B9" s="108"/>
      <c r="C9" s="145">
        <v>338666</v>
      </c>
      <c r="D9" s="111">
        <v>605441</v>
      </c>
      <c r="E9" s="111"/>
    </row>
    <row r="10" spans="1:5" ht="20.25">
      <c r="A10" s="108" t="s">
        <v>357</v>
      </c>
      <c r="B10" s="108"/>
      <c r="C10" s="145">
        <v>1615531</v>
      </c>
      <c r="D10" s="111">
        <v>2212200</v>
      </c>
      <c r="E10" s="111"/>
    </row>
    <row r="11" spans="1:5" ht="20.25">
      <c r="A11" s="108" t="s">
        <v>175</v>
      </c>
      <c r="B11" s="108"/>
      <c r="C11" s="145">
        <v>657864</v>
      </c>
      <c r="D11" s="111">
        <v>2018932</v>
      </c>
      <c r="E11" s="111">
        <v>100000</v>
      </c>
    </row>
    <row r="12" spans="1:5" s="68" customFormat="1" ht="20.25">
      <c r="A12" s="74" t="s">
        <v>111</v>
      </c>
      <c r="B12" s="108"/>
      <c r="C12" s="150">
        <f>SUM(C7:C11)</f>
        <v>2613392</v>
      </c>
      <c r="D12" s="77">
        <f>SUM(D7:D11)</f>
        <v>5072921</v>
      </c>
      <c r="E12" s="77">
        <f>SUM(E7:E11)</f>
        <v>100000</v>
      </c>
    </row>
    <row r="13" spans="1:5" s="68" customFormat="1" ht="20.25">
      <c r="A13" s="74" t="s">
        <v>112</v>
      </c>
      <c r="B13" s="108"/>
      <c r="C13" s="151">
        <f>C5+C12</f>
        <v>11108931</v>
      </c>
      <c r="D13" s="78">
        <f>D5+D12</f>
        <v>33067924</v>
      </c>
      <c r="E13" s="78">
        <f>E5+E12</f>
        <v>100000</v>
      </c>
    </row>
    <row r="14" spans="1:5" s="68" customFormat="1" ht="20.25">
      <c r="A14" s="113"/>
      <c r="B14" s="108"/>
      <c r="C14" s="186"/>
      <c r="D14" s="109"/>
      <c r="E14" s="109"/>
    </row>
    <row r="15" spans="1:5" ht="20.25">
      <c r="A15" s="113"/>
      <c r="B15" s="108"/>
      <c r="C15" s="186"/>
      <c r="D15" s="109"/>
      <c r="E15" s="109"/>
    </row>
    <row r="16" spans="1:5" ht="20.25">
      <c r="A16" s="111" t="s">
        <v>180</v>
      </c>
      <c r="B16" s="108"/>
      <c r="C16" s="145">
        <v>100000</v>
      </c>
      <c r="D16" s="111">
        <v>100000</v>
      </c>
      <c r="E16" s="111">
        <v>100000</v>
      </c>
    </row>
    <row r="17" spans="1:5" ht="20.25">
      <c r="A17" s="111" t="s">
        <v>386</v>
      </c>
      <c r="B17" s="108"/>
      <c r="C17" s="145">
        <v>24339314</v>
      </c>
      <c r="D17" s="111">
        <v>23339314</v>
      </c>
      <c r="E17" s="111"/>
    </row>
    <row r="18" spans="1:5" ht="20.25">
      <c r="A18" s="111" t="s">
        <v>395</v>
      </c>
      <c r="B18" s="108"/>
      <c r="C18" s="145">
        <v>534654</v>
      </c>
      <c r="D18" s="111">
        <v>485172</v>
      </c>
      <c r="E18" s="111"/>
    </row>
    <row r="19" spans="1:5" ht="20.25">
      <c r="A19" s="111" t="s">
        <v>182</v>
      </c>
      <c r="B19" s="108"/>
      <c r="C19" s="145">
        <v>-31327079</v>
      </c>
      <c r="D19" s="111">
        <v>-8534190</v>
      </c>
      <c r="E19" s="111">
        <v>-16118</v>
      </c>
    </row>
    <row r="20" spans="1:5" s="68" customFormat="1" ht="20.25">
      <c r="A20" s="74" t="s">
        <v>113</v>
      </c>
      <c r="B20" s="108"/>
      <c r="C20" s="147">
        <f>SUM(C16:C19)</f>
        <v>-6353111</v>
      </c>
      <c r="D20" s="76">
        <f>SUM(D16:D19)</f>
        <v>15390296</v>
      </c>
      <c r="E20" s="76">
        <f>SUM(E16:E19)</f>
        <v>83882</v>
      </c>
    </row>
    <row r="21" spans="1:5" s="68" customFormat="1" ht="20.25">
      <c r="A21" s="113"/>
      <c r="B21" s="108"/>
      <c r="C21" s="186"/>
      <c r="D21" s="109"/>
      <c r="E21" s="109"/>
    </row>
    <row r="22" spans="1:5" ht="20.25">
      <c r="A22" s="108" t="s">
        <v>388</v>
      </c>
      <c r="B22" s="108"/>
      <c r="C22" s="145">
        <v>2226301</v>
      </c>
      <c r="D22" s="111">
        <v>6290989</v>
      </c>
      <c r="E22" s="111"/>
    </row>
    <row r="23" spans="1:5" ht="20.25">
      <c r="A23" s="108" t="s">
        <v>359</v>
      </c>
      <c r="B23" s="108"/>
      <c r="C23" s="145">
        <v>735812</v>
      </c>
      <c r="D23" s="111">
        <v>576699</v>
      </c>
      <c r="E23" s="111"/>
    </row>
    <row r="24" spans="1:5" s="68" customFormat="1" ht="20.25">
      <c r="A24" s="74" t="s">
        <v>114</v>
      </c>
      <c r="B24" s="108"/>
      <c r="C24" s="147">
        <f>SUM(C22:C23)</f>
        <v>2962113</v>
      </c>
      <c r="D24" s="76">
        <f>SUM(D22:D23)</f>
        <v>6867688</v>
      </c>
      <c r="E24" s="76">
        <f>SUM(E22:E23)</f>
        <v>0</v>
      </c>
    </row>
    <row r="25" spans="1:5" s="68" customFormat="1" ht="20.25">
      <c r="A25" s="113"/>
      <c r="B25" s="108"/>
      <c r="C25" s="186"/>
      <c r="D25" s="109"/>
      <c r="E25" s="109"/>
    </row>
    <row r="26" spans="1:5" ht="20.25">
      <c r="A26" s="108" t="s">
        <v>390</v>
      </c>
      <c r="B26" s="108"/>
      <c r="C26" s="145">
        <v>2183183</v>
      </c>
      <c r="D26" s="111">
        <v>4539687</v>
      </c>
      <c r="E26" s="111"/>
    </row>
    <row r="27" spans="1:5" ht="20.25">
      <c r="A27" s="182" t="s">
        <v>396</v>
      </c>
      <c r="B27" s="108"/>
      <c r="C27" s="187">
        <v>2471002</v>
      </c>
      <c r="D27" s="111">
        <v>3352518</v>
      </c>
      <c r="E27" s="111">
        <v>13800</v>
      </c>
    </row>
    <row r="28" spans="1:5" ht="20.25">
      <c r="A28" s="108" t="s">
        <v>361</v>
      </c>
      <c r="B28" s="108"/>
      <c r="C28" s="145">
        <v>9845744</v>
      </c>
      <c r="D28" s="111">
        <v>2917735</v>
      </c>
      <c r="E28" s="111"/>
    </row>
    <row r="29" spans="1:5" ht="20.25">
      <c r="A29" s="111" t="s">
        <v>340</v>
      </c>
      <c r="B29" s="108"/>
      <c r="C29" s="145">
        <v>0</v>
      </c>
      <c r="D29" s="111"/>
      <c r="E29" s="111">
        <v>2318</v>
      </c>
    </row>
    <row r="30" spans="1:5" s="68" customFormat="1" ht="20.25">
      <c r="A30" s="74" t="s">
        <v>107</v>
      </c>
      <c r="B30" s="108"/>
      <c r="C30" s="150">
        <f>SUM(C26:C29)</f>
        <v>14499929</v>
      </c>
      <c r="D30" s="77">
        <f>SUM(D26:D29)</f>
        <v>10809940</v>
      </c>
      <c r="E30" s="77">
        <f>SUM(E26:E29)</f>
        <v>16118</v>
      </c>
    </row>
    <row r="31" spans="1:5" s="68" customFormat="1" ht="20.25">
      <c r="A31" s="74" t="s">
        <v>108</v>
      </c>
      <c r="B31" s="108"/>
      <c r="C31" s="188">
        <f>C24+C30</f>
        <v>17462042</v>
      </c>
      <c r="D31" s="118">
        <f>D24+D30</f>
        <v>17677628</v>
      </c>
      <c r="E31" s="118">
        <f>E24+E30</f>
        <v>16118</v>
      </c>
    </row>
    <row r="32" spans="1:5" s="68" customFormat="1" ht="20.25">
      <c r="A32" s="74" t="s">
        <v>109</v>
      </c>
      <c r="B32" s="108"/>
      <c r="C32" s="189">
        <f>C31+C20</f>
        <v>11108931</v>
      </c>
      <c r="D32" s="119">
        <f>D31+D20</f>
        <v>33067924</v>
      </c>
      <c r="E32" s="119">
        <f>E31+E20</f>
        <v>100000</v>
      </c>
    </row>
    <row r="34" spans="1:5" ht="18.75">
      <c r="A34" s="190" t="s">
        <v>52</v>
      </c>
      <c r="B34" s="191"/>
      <c r="C34" s="192">
        <v>10271812</v>
      </c>
      <c r="D34" s="192">
        <v>13348019</v>
      </c>
      <c r="E34" s="193"/>
    </row>
    <row r="35" spans="1:5" ht="18.75">
      <c r="A35" s="194" t="s">
        <v>53</v>
      </c>
      <c r="B35" s="191"/>
      <c r="C35" s="195">
        <v>-19016074</v>
      </c>
      <c r="D35" s="195">
        <v>-16522632</v>
      </c>
      <c r="E35" s="196"/>
    </row>
    <row r="36" spans="1:5" ht="18.75">
      <c r="A36" s="197" t="s">
        <v>54</v>
      </c>
      <c r="B36" s="191"/>
      <c r="C36" s="198">
        <v>-8744262</v>
      </c>
      <c r="D36" s="198">
        <v>-3174613</v>
      </c>
      <c r="E36" s="199">
        <v>0</v>
      </c>
    </row>
    <row r="37" spans="1:5" ht="18.75">
      <c r="A37" s="200" t="s">
        <v>55</v>
      </c>
      <c r="B37" s="191"/>
      <c r="C37" s="201">
        <v>-3543284</v>
      </c>
      <c r="D37" s="201">
        <v>-4348057</v>
      </c>
      <c r="E37" s="202">
        <v>-13800</v>
      </c>
    </row>
    <row r="38" spans="1:5" ht="18.75">
      <c r="A38" s="203" t="s">
        <v>203</v>
      </c>
      <c r="B38" s="191"/>
      <c r="C38" s="192">
        <v>-304581</v>
      </c>
      <c r="D38" s="192">
        <v>-328400</v>
      </c>
      <c r="E38" s="193"/>
    </row>
    <row r="39" spans="1:5" ht="18.75">
      <c r="A39" s="200" t="s">
        <v>397</v>
      </c>
      <c r="B39" s="191"/>
      <c r="C39" s="201">
        <v>-8860664</v>
      </c>
      <c r="D39" s="201"/>
      <c r="E39" s="202"/>
    </row>
    <row r="40" spans="1:5" ht="18.75">
      <c r="A40" s="203" t="s">
        <v>65</v>
      </c>
      <c r="B40" s="191"/>
      <c r="C40" s="192">
        <v>57359</v>
      </c>
      <c r="D40" s="192">
        <v>1900</v>
      </c>
      <c r="E40" s="204"/>
    </row>
    <row r="41" spans="1:5" ht="18.75">
      <c r="A41" s="200" t="s">
        <v>398</v>
      </c>
      <c r="B41" s="191"/>
      <c r="C41" s="201">
        <v>288825</v>
      </c>
      <c r="D41" s="201"/>
      <c r="E41" s="205"/>
    </row>
    <row r="42" spans="1:5" ht="18.75">
      <c r="A42" s="203" t="s">
        <v>399</v>
      </c>
      <c r="B42" s="191"/>
      <c r="C42" s="192">
        <v>-1006381</v>
      </c>
      <c r="D42" s="192"/>
      <c r="E42" s="204"/>
    </row>
    <row r="43" spans="1:5" ht="18.75">
      <c r="A43" s="197" t="s">
        <v>115</v>
      </c>
      <c r="B43" s="191"/>
      <c r="C43" s="206">
        <v>-22112988</v>
      </c>
      <c r="D43" s="206">
        <v>-7849170</v>
      </c>
      <c r="E43" s="207">
        <v>-13800</v>
      </c>
    </row>
    <row r="44" spans="1:5" ht="18.75">
      <c r="A44" s="208" t="s">
        <v>161</v>
      </c>
      <c r="B44" s="191"/>
      <c r="C44" s="192">
        <v>-679901</v>
      </c>
      <c r="D44" s="192">
        <v>-668902</v>
      </c>
      <c r="E44" s="193"/>
    </row>
    <row r="45" spans="1:5" ht="18.75">
      <c r="A45" s="209" t="s">
        <v>165</v>
      </c>
      <c r="B45" s="191"/>
      <c r="C45" s="210">
        <v>-22792889</v>
      </c>
      <c r="D45" s="210">
        <v>-8518072</v>
      </c>
      <c r="E45" s="211">
        <v>-13800</v>
      </c>
    </row>
    <row r="46" spans="1:5" ht="18.75">
      <c r="A46" s="203" t="s">
        <v>67</v>
      </c>
      <c r="B46" s="191"/>
      <c r="C46" s="192">
        <v>0</v>
      </c>
      <c r="D46" s="212">
        <v>0</v>
      </c>
      <c r="E46" s="204">
        <v>-2318</v>
      </c>
    </row>
    <row r="47" spans="1:5" ht="18.75">
      <c r="A47" s="209" t="s">
        <v>166</v>
      </c>
      <c r="B47" s="191"/>
      <c r="C47" s="213">
        <v>-22792889</v>
      </c>
      <c r="D47" s="213">
        <v>-8518072</v>
      </c>
      <c r="E47" s="214">
        <v>-16118</v>
      </c>
    </row>
    <row r="48" spans="1:5" ht="18.75">
      <c r="A48" s="215" t="s">
        <v>167</v>
      </c>
      <c r="B48" s="191"/>
      <c r="C48" s="216"/>
      <c r="D48" s="216"/>
      <c r="E48" s="217"/>
    </row>
    <row r="49" spans="1:5" ht="18.75">
      <c r="A49" s="209" t="s">
        <v>168</v>
      </c>
      <c r="B49" s="191"/>
      <c r="C49" s="218"/>
      <c r="D49" s="218"/>
      <c r="E49" s="219"/>
    </row>
    <row r="50" spans="1:5" ht="18.75">
      <c r="A50" s="203" t="s">
        <v>170</v>
      </c>
      <c r="B50" s="191"/>
      <c r="C50" s="192">
        <v>49482</v>
      </c>
      <c r="D50" s="192">
        <v>485172</v>
      </c>
      <c r="E50" s="193"/>
    </row>
    <row r="51" spans="1:5" ht="18.75">
      <c r="A51" s="220" t="s">
        <v>116</v>
      </c>
      <c r="B51" s="191"/>
      <c r="C51" s="221">
        <v>-22743407</v>
      </c>
      <c r="D51" s="221">
        <v>-8032900</v>
      </c>
      <c r="E51" s="222">
        <v>-16118</v>
      </c>
    </row>
    <row r="53" spans="1:5">
      <c r="A53" s="71" t="s">
        <v>92</v>
      </c>
      <c r="B53" s="72" t="s">
        <v>93</v>
      </c>
      <c r="C53" s="223">
        <f>C36/C34</f>
        <v>-0.85128719256154606</v>
      </c>
      <c r="D53" s="223">
        <f t="shared" ref="D53:E53" si="0">D36/D34</f>
        <v>-0.2378340186659908</v>
      </c>
      <c r="E53" s="223">
        <v>0</v>
      </c>
    </row>
    <row r="54" spans="1:5">
      <c r="A54" s="71" t="s">
        <v>94</v>
      </c>
      <c r="B54" s="72" t="s">
        <v>95</v>
      </c>
      <c r="C54" s="223">
        <f>C51/C34</f>
        <v>-2.2141572489839185</v>
      </c>
      <c r="D54" s="223">
        <f t="shared" ref="D54:E54" si="1">D51/D34</f>
        <v>-0.60180465730532751</v>
      </c>
      <c r="E54" s="223">
        <v>0</v>
      </c>
    </row>
    <row r="55" spans="1:5">
      <c r="A55" s="71" t="s">
        <v>96</v>
      </c>
      <c r="B55" s="72" t="s">
        <v>97</v>
      </c>
      <c r="C55" s="224">
        <f>C34/C13</f>
        <v>0.92464450449822755</v>
      </c>
      <c r="D55" s="224">
        <f t="shared" ref="D55:E55" si="2">D34/D13</f>
        <v>0.40365458079557703</v>
      </c>
      <c r="E55" s="224">
        <f t="shared" si="2"/>
        <v>0</v>
      </c>
    </row>
    <row r="56" spans="1:5">
      <c r="A56" s="71" t="s">
        <v>98</v>
      </c>
      <c r="B56" s="72" t="s">
        <v>99</v>
      </c>
      <c r="C56" s="224">
        <f>C13/C20</f>
        <v>-1.7485812856095226</v>
      </c>
      <c r="D56" s="224">
        <f>D13/D20</f>
        <v>2.1486217029224131</v>
      </c>
      <c r="E56" s="224">
        <f t="shared" ref="D56:E56" si="3">E13/E20</f>
        <v>1.1921508786151975</v>
      </c>
    </row>
    <row r="57" spans="1:5">
      <c r="A57" s="71" t="s">
        <v>100</v>
      </c>
      <c r="B57" s="72" t="s">
        <v>118</v>
      </c>
      <c r="C57" s="224">
        <f>-(C51/C20)</f>
        <v>-3.57988503585094</v>
      </c>
      <c r="D57" s="224">
        <f>(D51/D20)</f>
        <v>-0.52194577674139597</v>
      </c>
      <c r="E57" s="224">
        <f>(E51/E20)</f>
        <v>-0.19215087861519753</v>
      </c>
    </row>
    <row r="58" spans="1:5">
      <c r="A58" s="71" t="s">
        <v>101</v>
      </c>
      <c r="B58" s="72" t="s">
        <v>102</v>
      </c>
      <c r="C58" s="224">
        <f>C12/C30</f>
        <v>0.18023481356356985</v>
      </c>
      <c r="D58" s="224">
        <f t="shared" ref="D58:E58" si="4">D12/D30</f>
        <v>0.46928299324510592</v>
      </c>
      <c r="E58" s="224">
        <f t="shared" si="4"/>
        <v>6.2042437026926418</v>
      </c>
    </row>
    <row r="59" spans="1:5">
      <c r="A59" s="71" t="s">
        <v>103</v>
      </c>
      <c r="B59" s="72" t="s">
        <v>104</v>
      </c>
      <c r="C59" s="224">
        <f>C31/C13</f>
        <v>1.5718922009687522</v>
      </c>
      <c r="D59" s="224">
        <f t="shared" ref="D59:E59" si="5">D31/D13</f>
        <v>0.53458535830673859</v>
      </c>
      <c r="E59" s="224">
        <f t="shared" si="5"/>
        <v>0.16117999999999999</v>
      </c>
    </row>
    <row r="60" spans="1:5">
      <c r="A60" s="71" t="s">
        <v>105</v>
      </c>
      <c r="B60" s="72" t="s">
        <v>106</v>
      </c>
      <c r="C60" s="224">
        <f>C31/C20</f>
        <v>-2.7485812856095229</v>
      </c>
      <c r="D60" s="224">
        <f t="shared" ref="D60:E60" si="6">D31/D20</f>
        <v>1.1486217029224128</v>
      </c>
      <c r="E60" s="224">
        <f t="shared" si="6"/>
        <v>0.19215087861519753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3A68-4383-4094-BB9F-5A7D59A54D72}">
  <dimension ref="A1:E60"/>
  <sheetViews>
    <sheetView zoomScale="95" zoomScaleNormal="9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8"/>
  <cols>
    <col min="1" max="2" width="67" style="71" customWidth="1"/>
    <col min="3" max="3" width="25.5" style="73" customWidth="1"/>
    <col min="4" max="4" width="27.83203125" style="117" customWidth="1"/>
    <col min="5" max="5" width="28.6640625" style="117" customWidth="1"/>
    <col min="6" max="16384" width="9.33203125" style="71"/>
  </cols>
  <sheetData>
    <row r="1" spans="1:5" s="67" customFormat="1" ht="36">
      <c r="A1" s="67" t="s">
        <v>0</v>
      </c>
      <c r="B1" s="67" t="s">
        <v>383</v>
      </c>
      <c r="C1" s="171" t="s">
        <v>391</v>
      </c>
      <c r="D1" s="171" t="s">
        <v>392</v>
      </c>
      <c r="E1" s="171" t="s">
        <v>393</v>
      </c>
    </row>
    <row r="2" spans="1:5" ht="20.25">
      <c r="A2" s="108" t="s">
        <v>207</v>
      </c>
      <c r="B2" s="108"/>
      <c r="C2" s="111">
        <v>258885127</v>
      </c>
      <c r="D2" s="111">
        <v>276846743</v>
      </c>
      <c r="E2" s="111"/>
    </row>
    <row r="3" spans="1:5" ht="20.25">
      <c r="A3" s="108" t="s">
        <v>400</v>
      </c>
      <c r="B3" s="108"/>
      <c r="C3" s="111">
        <v>153716817</v>
      </c>
      <c r="D3" s="111">
        <v>192794405</v>
      </c>
      <c r="E3" s="111"/>
    </row>
    <row r="4" spans="1:5" s="68" customFormat="1" ht="20.25">
      <c r="A4" s="182" t="s">
        <v>401</v>
      </c>
      <c r="B4" s="182"/>
      <c r="C4" s="111">
        <v>27578</v>
      </c>
      <c r="D4" s="117">
        <v>35385</v>
      </c>
      <c r="E4" s="117"/>
    </row>
    <row r="5" spans="1:5" s="68" customFormat="1" ht="20.25">
      <c r="A5" s="74" t="s">
        <v>110</v>
      </c>
      <c r="B5" s="74"/>
      <c r="C5" s="112">
        <f>SUM(C2:C4)</f>
        <v>412629522</v>
      </c>
      <c r="D5" s="112">
        <f>SUM(D2:D4)</f>
        <v>469676533</v>
      </c>
      <c r="E5" s="112">
        <f>SUM(E2:E4)</f>
        <v>0</v>
      </c>
    </row>
    <row r="6" spans="1:5" ht="20.25">
      <c r="A6" s="113"/>
      <c r="B6" s="113"/>
      <c r="C6" s="148"/>
      <c r="D6" s="109"/>
      <c r="E6" s="109"/>
    </row>
    <row r="7" spans="1:5" ht="20.25">
      <c r="A7" s="108" t="s">
        <v>356</v>
      </c>
      <c r="B7" s="108"/>
      <c r="C7" s="111">
        <v>5053783</v>
      </c>
      <c r="D7" s="111">
        <v>5825139</v>
      </c>
      <c r="E7" s="111"/>
    </row>
    <row r="8" spans="1:5" ht="20.25">
      <c r="A8" s="108" t="s">
        <v>385</v>
      </c>
      <c r="B8" s="108"/>
      <c r="C8" s="111">
        <v>339230</v>
      </c>
      <c r="D8" s="111">
        <v>429905</v>
      </c>
      <c r="E8" s="111"/>
    </row>
    <row r="9" spans="1:5" ht="20.25">
      <c r="A9" s="108" t="s">
        <v>357</v>
      </c>
      <c r="B9" s="108"/>
      <c r="C9" s="111">
        <v>784603</v>
      </c>
      <c r="D9" s="111">
        <v>2298513</v>
      </c>
      <c r="E9" s="111"/>
    </row>
    <row r="10" spans="1:5" ht="20.25">
      <c r="A10" s="108" t="s">
        <v>273</v>
      </c>
      <c r="B10" s="108"/>
      <c r="C10" s="111">
        <v>1288930</v>
      </c>
      <c r="D10" s="111">
        <v>1487969</v>
      </c>
      <c r="E10" s="111"/>
    </row>
    <row r="11" spans="1:5" s="68" customFormat="1" ht="20.25">
      <c r="A11" s="108" t="s">
        <v>175</v>
      </c>
      <c r="B11" s="108"/>
      <c r="C11" s="111">
        <v>7546167</v>
      </c>
      <c r="D11" s="111">
        <v>6151125</v>
      </c>
      <c r="E11" s="111">
        <v>100000</v>
      </c>
    </row>
    <row r="12" spans="1:5" s="68" customFormat="1">
      <c r="A12" s="74" t="s">
        <v>111</v>
      </c>
      <c r="B12" s="74"/>
      <c r="C12" s="77">
        <f>SUM(C7:C11)</f>
        <v>15012713</v>
      </c>
      <c r="D12" s="77">
        <f>SUM(D7:D11)</f>
        <v>16192651</v>
      </c>
      <c r="E12" s="77">
        <f>SUM(E7:E11)</f>
        <v>100000</v>
      </c>
    </row>
    <row r="13" spans="1:5" s="68" customFormat="1">
      <c r="A13" s="74" t="s">
        <v>112</v>
      </c>
      <c r="B13" s="74"/>
      <c r="C13" s="78">
        <f>C5+C12</f>
        <v>427642235</v>
      </c>
      <c r="D13" s="78">
        <f>D5+D12</f>
        <v>485869184</v>
      </c>
      <c r="E13" s="78">
        <f>E5+E12</f>
        <v>100000</v>
      </c>
    </row>
    <row r="14" spans="1:5" ht="20.25">
      <c r="A14" s="113"/>
      <c r="B14" s="113"/>
      <c r="C14" s="148"/>
      <c r="D14" s="109"/>
      <c r="E14" s="109"/>
    </row>
    <row r="15" spans="1:5" ht="20.25">
      <c r="A15" s="113"/>
      <c r="B15" s="113"/>
      <c r="C15" s="148"/>
      <c r="D15" s="109"/>
      <c r="E15" s="109"/>
    </row>
    <row r="16" spans="1:5" ht="20.25">
      <c r="A16" s="111" t="s">
        <v>180</v>
      </c>
      <c r="B16" s="111"/>
      <c r="C16" s="111">
        <v>100000</v>
      </c>
      <c r="D16" s="111">
        <v>100000</v>
      </c>
      <c r="E16" s="111">
        <v>100000</v>
      </c>
    </row>
    <row r="17" spans="1:5" ht="20.25">
      <c r="A17" s="111" t="s">
        <v>386</v>
      </c>
      <c r="B17" s="111"/>
      <c r="C17" s="111">
        <v>418259048</v>
      </c>
      <c r="D17" s="111">
        <v>500766135</v>
      </c>
      <c r="E17" s="111">
        <v>0</v>
      </c>
    </row>
    <row r="18" spans="1:5" ht="20.25">
      <c r="A18" s="111" t="s">
        <v>395</v>
      </c>
      <c r="B18" s="111"/>
      <c r="C18" s="111">
        <v>100324</v>
      </c>
      <c r="D18" s="111">
        <v>19440</v>
      </c>
      <c r="E18" s="111"/>
    </row>
    <row r="19" spans="1:5" s="68" customFormat="1" ht="20.25">
      <c r="A19" s="111" t="s">
        <v>182</v>
      </c>
      <c r="B19" s="111"/>
      <c r="C19" s="111"/>
      <c r="D19" s="111">
        <v>-24071450</v>
      </c>
      <c r="E19" s="111">
        <v>-55090</v>
      </c>
    </row>
    <row r="20" spans="1:5" s="68" customFormat="1">
      <c r="A20" s="74" t="s">
        <v>113</v>
      </c>
      <c r="B20" s="74"/>
      <c r="C20" s="76">
        <f>SUM(C16:C19)</f>
        <v>418459372</v>
      </c>
      <c r="D20" s="76">
        <f>SUM(D16:D19)</f>
        <v>476814125</v>
      </c>
      <c r="E20" s="76">
        <f>SUM(E16:E19)</f>
        <v>44910</v>
      </c>
    </row>
    <row r="21" spans="1:5" ht="20.25">
      <c r="A21" s="113"/>
      <c r="B21" s="113"/>
      <c r="C21" s="148"/>
      <c r="D21" s="109"/>
      <c r="E21" s="109"/>
    </row>
    <row r="22" spans="1:5" s="68" customFormat="1" ht="20.25">
      <c r="A22" s="108" t="s">
        <v>359</v>
      </c>
      <c r="B22" s="108"/>
      <c r="C22" s="111">
        <v>1868283</v>
      </c>
      <c r="D22" s="111">
        <v>1883058</v>
      </c>
      <c r="E22" s="111"/>
    </row>
    <row r="23" spans="1:5" s="68" customFormat="1">
      <c r="A23" s="74" t="s">
        <v>114</v>
      </c>
      <c r="B23" s="74"/>
      <c r="C23" s="76">
        <f>SUM(C22:C22)</f>
        <v>1868283</v>
      </c>
      <c r="D23" s="76">
        <f>SUM(D22:D22)</f>
        <v>1883058</v>
      </c>
      <c r="E23" s="76">
        <f>SUM(E22:E22)</f>
        <v>0</v>
      </c>
    </row>
    <row r="24" spans="1:5" ht="20.25">
      <c r="A24" s="113"/>
      <c r="B24" s="113"/>
      <c r="C24" s="148"/>
      <c r="D24" s="109"/>
      <c r="E24" s="109"/>
    </row>
    <row r="25" spans="1:5" ht="20.25">
      <c r="A25" s="182" t="s">
        <v>396</v>
      </c>
      <c r="B25" s="182"/>
      <c r="C25" s="225">
        <v>5963331</v>
      </c>
      <c r="D25" s="111">
        <v>6440633</v>
      </c>
      <c r="E25" s="111">
        <v>46000</v>
      </c>
    </row>
    <row r="26" spans="1:5" ht="20.25">
      <c r="A26" s="108" t="s">
        <v>361</v>
      </c>
      <c r="B26" s="108"/>
      <c r="C26" s="111">
        <v>173200</v>
      </c>
      <c r="D26" s="111"/>
      <c r="E26" s="111"/>
    </row>
    <row r="27" spans="1:5" s="68" customFormat="1" ht="20.25">
      <c r="A27" s="111" t="s">
        <v>340</v>
      </c>
      <c r="B27" s="111"/>
      <c r="C27" s="111">
        <v>1178049</v>
      </c>
      <c r="D27" s="111">
        <v>731368</v>
      </c>
      <c r="E27" s="111">
        <v>9090</v>
      </c>
    </row>
    <row r="28" spans="1:5" s="68" customFormat="1">
      <c r="A28" s="74" t="s">
        <v>107</v>
      </c>
      <c r="B28" s="74"/>
      <c r="C28" s="77">
        <f>SUM(C25:C27)</f>
        <v>7314580</v>
      </c>
      <c r="D28" s="77">
        <f>SUM(D25:D27)</f>
        <v>7172001</v>
      </c>
      <c r="E28" s="77">
        <f>SUM(E25:E27)</f>
        <v>55090</v>
      </c>
    </row>
    <row r="29" spans="1:5" s="68" customFormat="1">
      <c r="A29" s="74" t="s">
        <v>108</v>
      </c>
      <c r="B29" s="74"/>
      <c r="C29" s="118">
        <f>C23+C28</f>
        <v>9182863</v>
      </c>
      <c r="D29" s="118">
        <f>D23+D28</f>
        <v>9055059</v>
      </c>
      <c r="E29" s="118">
        <f>E23+E28</f>
        <v>55090</v>
      </c>
    </row>
    <row r="30" spans="1:5">
      <c r="A30" s="74" t="s">
        <v>109</v>
      </c>
      <c r="B30" s="74"/>
      <c r="C30" s="119">
        <f>C29+C20</f>
        <v>427642235</v>
      </c>
      <c r="D30" s="119">
        <f>D29+D20</f>
        <v>485869184</v>
      </c>
      <c r="E30" s="119">
        <f>E29+E20</f>
        <v>100000</v>
      </c>
    </row>
    <row r="31" spans="1:5">
      <c r="C31" s="119">
        <f>C13-C30</f>
        <v>0</v>
      </c>
      <c r="D31" s="119">
        <f>D13-D30</f>
        <v>0</v>
      </c>
      <c r="E31" s="119">
        <f>E13-E30</f>
        <v>0</v>
      </c>
    </row>
    <row r="32" spans="1:5" ht="18.75">
      <c r="A32" s="81" t="s">
        <v>52</v>
      </c>
      <c r="B32" s="81"/>
      <c r="C32" s="122">
        <v>33036639</v>
      </c>
      <c r="D32" s="122">
        <v>42296661</v>
      </c>
      <c r="E32" s="122"/>
    </row>
    <row r="33" spans="1:5" ht="18.75">
      <c r="A33" s="85" t="s">
        <v>53</v>
      </c>
      <c r="B33" s="85"/>
      <c r="C33" s="156">
        <v>-36441210</v>
      </c>
      <c r="D33" s="156">
        <v>-34293193</v>
      </c>
      <c r="E33" s="156"/>
    </row>
    <row r="34" spans="1:5" ht="18.75">
      <c r="A34" s="87" t="s">
        <v>54</v>
      </c>
      <c r="B34" s="87"/>
      <c r="C34" s="125">
        <v>-3404571</v>
      </c>
      <c r="D34" s="125">
        <v>8003468</v>
      </c>
      <c r="E34" s="125">
        <v>0</v>
      </c>
    </row>
    <row r="35" spans="1:5" ht="18.75">
      <c r="A35" s="90" t="s">
        <v>55</v>
      </c>
      <c r="B35" s="90"/>
      <c r="C35" s="122">
        <v>-6769871</v>
      </c>
      <c r="D35" s="122">
        <v>-8037222</v>
      </c>
      <c r="E35" s="122">
        <v>-11500</v>
      </c>
    </row>
    <row r="36" spans="1:5" ht="18.75">
      <c r="A36" s="90" t="s">
        <v>203</v>
      </c>
      <c r="B36" s="90"/>
      <c r="C36" s="122">
        <v>-436384</v>
      </c>
      <c r="D36" s="122">
        <v>-447467</v>
      </c>
      <c r="E36" s="122"/>
    </row>
    <row r="37" spans="1:5" ht="18.75">
      <c r="A37" s="90" t="s">
        <v>160</v>
      </c>
      <c r="B37" s="90"/>
      <c r="C37" s="122">
        <v>-132000</v>
      </c>
      <c r="D37" s="122">
        <v>-3767593</v>
      </c>
      <c r="E37" s="122"/>
    </row>
    <row r="38" spans="1:5" ht="18.75">
      <c r="A38" s="90" t="s">
        <v>65</v>
      </c>
      <c r="B38" s="90"/>
      <c r="C38" s="122"/>
      <c r="D38" s="122">
        <v>8696</v>
      </c>
      <c r="E38" s="121"/>
    </row>
    <row r="39" spans="1:5" ht="18.75">
      <c r="A39" s="90" t="s">
        <v>402</v>
      </c>
      <c r="B39" s="90"/>
      <c r="C39" s="122">
        <v>0</v>
      </c>
      <c r="D39" s="122">
        <v>-16117820</v>
      </c>
      <c r="E39" s="121"/>
    </row>
    <row r="40" spans="1:5" ht="18.75">
      <c r="A40" s="90" t="s">
        <v>403</v>
      </c>
      <c r="B40" s="90"/>
      <c r="C40" s="122">
        <v>-35965844</v>
      </c>
      <c r="D40" s="122">
        <v>-3616748</v>
      </c>
      <c r="E40" s="121"/>
    </row>
    <row r="41" spans="1:5" ht="18.75">
      <c r="A41" s="90" t="s">
        <v>404</v>
      </c>
      <c r="B41" s="90"/>
      <c r="C41" s="156">
        <v>-11266404</v>
      </c>
      <c r="D41" s="183"/>
      <c r="E41" s="156"/>
    </row>
    <row r="42" spans="1:5" ht="18.75">
      <c r="A42" s="87" t="s">
        <v>115</v>
      </c>
      <c r="B42" s="87"/>
      <c r="C42" s="128">
        <v>-57975074</v>
      </c>
      <c r="D42" s="128">
        <v>-23974686</v>
      </c>
      <c r="E42" s="128">
        <v>-11500</v>
      </c>
    </row>
    <row r="43" spans="1:5" ht="18.75">
      <c r="A43" s="122" t="s">
        <v>161</v>
      </c>
      <c r="B43" s="122"/>
      <c r="C43" s="126">
        <v>-47831</v>
      </c>
      <c r="D43" s="126">
        <v>-41674</v>
      </c>
      <c r="E43" s="128"/>
    </row>
    <row r="44" spans="1:5" ht="18.75">
      <c r="A44" s="90" t="s">
        <v>162</v>
      </c>
      <c r="B44" s="90"/>
      <c r="C44" s="122">
        <v>59681</v>
      </c>
      <c r="D44" s="122"/>
      <c r="E44" s="122"/>
    </row>
    <row r="45" spans="1:5" ht="18.75">
      <c r="A45" s="95" t="s">
        <v>165</v>
      </c>
      <c r="B45" s="95"/>
      <c r="C45" s="89">
        <v>-57963224</v>
      </c>
      <c r="D45" s="89">
        <v>-24016360</v>
      </c>
      <c r="E45" s="89">
        <v>-11500</v>
      </c>
    </row>
    <row r="46" spans="1:5" ht="18.75">
      <c r="A46" s="90" t="s">
        <v>67</v>
      </c>
      <c r="B46" s="90"/>
      <c r="C46" s="122">
        <v>-472413</v>
      </c>
      <c r="D46" s="121"/>
      <c r="E46" s="121">
        <v>-2290</v>
      </c>
    </row>
    <row r="47" spans="1:5" ht="18.75">
      <c r="A47" s="95" t="s">
        <v>166</v>
      </c>
      <c r="B47" s="95"/>
      <c r="C47" s="98">
        <v>-58435637</v>
      </c>
      <c r="D47" s="98">
        <v>-24016360</v>
      </c>
      <c r="E47" s="98">
        <v>-13790</v>
      </c>
    </row>
    <row r="48" spans="1:5" ht="18.75">
      <c r="A48" s="95" t="s">
        <v>167</v>
      </c>
      <c r="B48" s="95"/>
      <c r="C48" s="160"/>
      <c r="D48" s="160"/>
      <c r="E48" s="99"/>
    </row>
    <row r="49" spans="1:5" ht="18.75">
      <c r="A49" s="95" t="s">
        <v>168</v>
      </c>
      <c r="B49" s="95"/>
      <c r="C49" s="160"/>
      <c r="D49" s="160"/>
      <c r="E49" s="100"/>
    </row>
    <row r="50" spans="1:5" ht="18.75">
      <c r="A50" s="90" t="s">
        <v>170</v>
      </c>
      <c r="B50" s="90"/>
      <c r="C50" s="122">
        <v>80884</v>
      </c>
      <c r="D50" s="122">
        <v>19440</v>
      </c>
      <c r="E50" s="122"/>
    </row>
    <row r="51" spans="1:5" ht="18.75">
      <c r="A51" s="101" t="s">
        <v>116</v>
      </c>
      <c r="B51" s="101"/>
      <c r="C51" s="129">
        <v>-58354753</v>
      </c>
      <c r="D51" s="129">
        <v>-23996920</v>
      </c>
      <c r="E51" s="129">
        <v>-13790</v>
      </c>
    </row>
    <row r="53" spans="1:5">
      <c r="A53" s="71" t="s">
        <v>92</v>
      </c>
      <c r="B53" s="72" t="s">
        <v>93</v>
      </c>
      <c r="C53" s="104">
        <f>C34/C32</f>
        <v>-0.10305439969241423</v>
      </c>
      <c r="D53" s="104">
        <f t="shared" ref="D53:E53" si="0">D34/D32</f>
        <v>0.18922221780106946</v>
      </c>
      <c r="E53" s="104">
        <v>0</v>
      </c>
    </row>
    <row r="54" spans="1:5">
      <c r="A54" s="71" t="s">
        <v>94</v>
      </c>
      <c r="B54" s="72" t="s">
        <v>95</v>
      </c>
      <c r="C54" s="104">
        <f>C51/C32</f>
        <v>-1.7663647019298785</v>
      </c>
      <c r="D54" s="104">
        <f t="shared" ref="D54:E54" si="1">D51/D32</f>
        <v>-0.56734785755310568</v>
      </c>
      <c r="E54" s="104">
        <v>0</v>
      </c>
    </row>
    <row r="55" spans="1:5">
      <c r="A55" s="71" t="s">
        <v>96</v>
      </c>
      <c r="B55" s="72" t="s">
        <v>97</v>
      </c>
      <c r="C55" s="105">
        <f>C32/C13</f>
        <v>7.7252984612242517E-2</v>
      </c>
      <c r="D55" s="105">
        <f t="shared" ref="D55:E55" si="2">D32/D13</f>
        <v>8.7053598772792312E-2</v>
      </c>
      <c r="E55" s="105">
        <f t="shared" si="2"/>
        <v>0</v>
      </c>
    </row>
    <row r="56" spans="1:5">
      <c r="A56" s="71" t="s">
        <v>98</v>
      </c>
      <c r="B56" s="72" t="s">
        <v>99</v>
      </c>
      <c r="C56" s="105">
        <f>C13/C20</f>
        <v>1.0219444553389045</v>
      </c>
      <c r="D56" s="105">
        <f t="shared" ref="D56:E56" si="3">D13/D20</f>
        <v>1.0189907524237038</v>
      </c>
      <c r="E56" s="105">
        <f t="shared" si="3"/>
        <v>2.22667557336896</v>
      </c>
    </row>
    <row r="57" spans="1:5">
      <c r="A57" s="71" t="s">
        <v>100</v>
      </c>
      <c r="B57" s="72" t="s">
        <v>118</v>
      </c>
      <c r="C57" s="105">
        <f>C51/C20</f>
        <v>-0.13945141847605697</v>
      </c>
      <c r="D57" s="105">
        <f t="shared" ref="D57:E57" si="4">D51/D20</f>
        <v>-5.0327619803628931E-2</v>
      </c>
      <c r="E57" s="105">
        <f t="shared" si="4"/>
        <v>-0.3070585615675796</v>
      </c>
    </row>
    <row r="58" spans="1:5">
      <c r="A58" s="71" t="s">
        <v>101</v>
      </c>
      <c r="B58" s="72" t="s">
        <v>102</v>
      </c>
      <c r="C58" s="105">
        <f>C12/C28</f>
        <v>2.0524367769578022</v>
      </c>
      <c r="D58" s="105">
        <f t="shared" ref="D58:E58" si="5">D12/D28</f>
        <v>2.2577591665143384</v>
      </c>
      <c r="E58" s="105">
        <f t="shared" si="5"/>
        <v>1.8152114721365038</v>
      </c>
    </row>
    <row r="59" spans="1:5">
      <c r="A59" s="71" t="s">
        <v>103</v>
      </c>
      <c r="B59" s="72" t="s">
        <v>104</v>
      </c>
      <c r="C59" s="105">
        <f>C29/C13</f>
        <v>2.1473236851827789E-2</v>
      </c>
      <c r="D59" s="105">
        <f t="shared" ref="D59:E59" si="6">D29/D13</f>
        <v>1.8636825092410058E-2</v>
      </c>
      <c r="E59" s="105">
        <f t="shared" si="6"/>
        <v>0.55089999999999995</v>
      </c>
    </row>
    <row r="60" spans="1:5">
      <c r="A60" s="71" t="s">
        <v>105</v>
      </c>
      <c r="B60" s="72" t="s">
        <v>106</v>
      </c>
      <c r="C60" s="105">
        <f>C29/C20</f>
        <v>2.1944455338904441E-2</v>
      </c>
      <c r="D60" s="105">
        <f t="shared" ref="D60:E60" si="7">D29/D20</f>
        <v>1.8990752423703891E-2</v>
      </c>
      <c r="E60" s="105">
        <f t="shared" si="7"/>
        <v>1.22667557336896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3E5B-01CC-4B37-977C-B204D3B976DE}">
  <sheetPr codeName="Sheet2"/>
  <dimension ref="A1:L83"/>
  <sheetViews>
    <sheetView tabSelected="1" zoomScale="93" zoomScaleNormal="93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defaultColWidth="10.6640625" defaultRowHeight="18"/>
  <cols>
    <col min="1" max="1" width="44.5" style="71" customWidth="1"/>
    <col min="2" max="2" width="42.83203125" style="72" hidden="1" customWidth="1"/>
    <col min="3" max="3" width="26.6640625" style="73" customWidth="1"/>
    <col min="4" max="4" width="34.6640625" style="73" customWidth="1"/>
    <col min="5" max="6" width="28.6640625" style="73" customWidth="1"/>
    <col min="7" max="7" width="25" style="73" customWidth="1"/>
    <col min="8" max="8" width="24.33203125" style="73" customWidth="1"/>
    <col min="9" max="9" width="25" style="73" customWidth="1"/>
    <col min="10" max="10" width="26" style="73" customWidth="1"/>
    <col min="11" max="11" width="28.33203125" style="73" customWidth="1"/>
    <col min="12" max="12" width="30.5" style="73" customWidth="1"/>
    <col min="13" max="16384" width="10.6640625" style="71"/>
  </cols>
  <sheetData>
    <row r="1" spans="1:12" s="67" customFormat="1" ht="54">
      <c r="A1" s="64" t="s">
        <v>119</v>
      </c>
      <c r="B1" s="65"/>
      <c r="C1" s="66" t="s">
        <v>120</v>
      </c>
      <c r="D1" s="66" t="s">
        <v>121</v>
      </c>
      <c r="E1" s="66" t="s">
        <v>122</v>
      </c>
      <c r="F1" s="66" t="s">
        <v>123</v>
      </c>
      <c r="G1" s="66" t="s">
        <v>124</v>
      </c>
      <c r="H1" s="66" t="s">
        <v>125</v>
      </c>
      <c r="I1" s="66" t="s">
        <v>126</v>
      </c>
      <c r="J1" s="66" t="s">
        <v>127</v>
      </c>
      <c r="K1" s="66" t="s">
        <v>128</v>
      </c>
      <c r="L1" s="66" t="s">
        <v>129</v>
      </c>
    </row>
    <row r="2" spans="1:12" s="68" customFormat="1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>
      <c r="A3" s="71" t="s">
        <v>1</v>
      </c>
      <c r="C3" s="73">
        <v>1181582760</v>
      </c>
      <c r="D3" s="73">
        <v>1192252980</v>
      </c>
      <c r="E3" s="73">
        <v>1056012168</v>
      </c>
      <c r="F3" s="73">
        <v>1105261327</v>
      </c>
      <c r="G3" s="73">
        <v>240983585</v>
      </c>
      <c r="H3" s="73">
        <v>273859683</v>
      </c>
      <c r="I3" s="73">
        <v>204676223</v>
      </c>
      <c r="J3" s="73">
        <v>239308685</v>
      </c>
      <c r="K3" s="73">
        <v>293825565</v>
      </c>
      <c r="L3" s="73">
        <f>1887817813+792566880</f>
        <v>2680384693</v>
      </c>
    </row>
    <row r="4" spans="1:12">
      <c r="A4" s="71" t="s">
        <v>2</v>
      </c>
      <c r="C4" s="73">
        <v>2073838654</v>
      </c>
      <c r="D4" s="73">
        <v>1793916338</v>
      </c>
      <c r="E4" s="73">
        <v>1748042531</v>
      </c>
      <c r="F4" s="73">
        <v>1790130796</v>
      </c>
      <c r="G4" s="73">
        <v>2641065520</v>
      </c>
      <c r="H4" s="73">
        <v>2552432360</v>
      </c>
      <c r="I4" s="73">
        <v>2703005543</v>
      </c>
      <c r="J4" s="73">
        <v>2557736650</v>
      </c>
      <c r="K4" s="73">
        <v>2421590858</v>
      </c>
    </row>
    <row r="5" spans="1:12">
      <c r="A5" s="71" t="s">
        <v>130</v>
      </c>
      <c r="L5" s="73">
        <v>80898645</v>
      </c>
    </row>
    <row r="6" spans="1:12">
      <c r="A6" s="71" t="s">
        <v>4</v>
      </c>
      <c r="C6" s="73">
        <v>2655951</v>
      </c>
      <c r="D6" s="73">
        <v>2509806</v>
      </c>
      <c r="E6" s="73">
        <v>844264</v>
      </c>
      <c r="F6" s="73">
        <v>971497</v>
      </c>
      <c r="G6" s="73">
        <v>792541</v>
      </c>
      <c r="H6" s="73">
        <v>658282</v>
      </c>
      <c r="I6" s="73">
        <v>893309</v>
      </c>
      <c r="J6" s="73">
        <v>161700</v>
      </c>
      <c r="K6" s="73">
        <v>115253</v>
      </c>
    </row>
    <row r="7" spans="1:12">
      <c r="A7" s="71" t="s">
        <v>131</v>
      </c>
      <c r="C7" s="73">
        <v>199530218</v>
      </c>
      <c r="D7" s="73">
        <v>63457109</v>
      </c>
      <c r="E7" s="73">
        <v>144778553</v>
      </c>
      <c r="F7" s="73">
        <v>146116326</v>
      </c>
      <c r="G7" s="73">
        <v>142501787</v>
      </c>
      <c r="H7" s="73">
        <v>113727250</v>
      </c>
    </row>
    <row r="8" spans="1:12">
      <c r="A8" s="71" t="s">
        <v>132</v>
      </c>
      <c r="I8" s="73">
        <v>34640247</v>
      </c>
      <c r="J8" s="73">
        <v>20872603</v>
      </c>
      <c r="K8" s="73">
        <v>8588169</v>
      </c>
    </row>
    <row r="9" spans="1:12">
      <c r="A9" s="71" t="s">
        <v>133</v>
      </c>
      <c r="G9" s="73">
        <v>50335985</v>
      </c>
      <c r="H9" s="73">
        <v>81859174</v>
      </c>
    </row>
    <row r="10" spans="1:12">
      <c r="A10" s="71" t="s">
        <v>134</v>
      </c>
      <c r="C10" s="73">
        <v>17033977</v>
      </c>
      <c r="D10" s="73">
        <v>17033977</v>
      </c>
      <c r="E10" s="73" t="s">
        <v>3</v>
      </c>
      <c r="K10" s="71"/>
    </row>
    <row r="11" spans="1:12">
      <c r="A11" s="71" t="s">
        <v>135</v>
      </c>
      <c r="I11" s="73">
        <v>77308009</v>
      </c>
      <c r="J11" s="73">
        <v>70155304</v>
      </c>
      <c r="K11" s="73">
        <v>68350619</v>
      </c>
    </row>
    <row r="12" spans="1:12">
      <c r="A12" s="71" t="s">
        <v>136</v>
      </c>
      <c r="C12" s="73">
        <v>373886846</v>
      </c>
      <c r="D12" s="73">
        <v>194768403</v>
      </c>
      <c r="E12" s="73">
        <v>78324548</v>
      </c>
      <c r="F12" s="73">
        <v>103716675</v>
      </c>
      <c r="G12" s="73">
        <v>60653011</v>
      </c>
      <c r="H12" s="73">
        <v>183493910</v>
      </c>
      <c r="I12" s="73">
        <v>132640138</v>
      </c>
      <c r="J12" s="73">
        <v>75317015</v>
      </c>
      <c r="K12" s="73">
        <v>190455032</v>
      </c>
    </row>
    <row r="13" spans="1:12">
      <c r="A13" s="71" t="s">
        <v>137</v>
      </c>
      <c r="C13" s="73">
        <v>18168728</v>
      </c>
      <c r="D13" s="73">
        <v>22837090</v>
      </c>
      <c r="E13" s="73">
        <v>27350088</v>
      </c>
      <c r="F13" s="73">
        <v>32355198</v>
      </c>
      <c r="G13" s="73">
        <v>32640045</v>
      </c>
      <c r="H13" s="73">
        <v>37382411</v>
      </c>
    </row>
    <row r="14" spans="1:12">
      <c r="A14" s="71" t="s">
        <v>138</v>
      </c>
      <c r="D14" s="73" t="s">
        <v>3</v>
      </c>
      <c r="E14" s="73">
        <v>17040666</v>
      </c>
      <c r="F14" s="73">
        <v>17040666</v>
      </c>
    </row>
    <row r="15" spans="1:12" s="68" customFormat="1">
      <c r="A15" s="74" t="s">
        <v>110</v>
      </c>
      <c r="B15" s="75"/>
      <c r="C15" s="76">
        <f>SUM(C3:C14)</f>
        <v>3866697134</v>
      </c>
      <c r="D15" s="76">
        <f>SUM(D3:D14)</f>
        <v>3286775703</v>
      </c>
      <c r="E15" s="76">
        <f>SUM(E3:E14)</f>
        <v>3072392818</v>
      </c>
      <c r="F15" s="76">
        <f>SUM(F3:F14)</f>
        <v>3195592485</v>
      </c>
      <c r="G15" s="76">
        <f>SUM(G3:G13)</f>
        <v>3168972474</v>
      </c>
      <c r="H15" s="76">
        <f>SUM(H3:H14)</f>
        <v>3243413070</v>
      </c>
      <c r="I15" s="76">
        <f>SUM(I3:I14)</f>
        <v>3153163469</v>
      </c>
      <c r="J15" s="76">
        <f>SUM(J3:J14)</f>
        <v>2963551957</v>
      </c>
      <c r="K15" s="76">
        <f>SUM(K3:K14)</f>
        <v>2982925496</v>
      </c>
      <c r="L15" s="76">
        <f>SUM(L3:L14)</f>
        <v>2761283338</v>
      </c>
    </row>
    <row r="16" spans="1:12" s="68" customFormat="1">
      <c r="B16" s="69"/>
      <c r="C16" s="73"/>
      <c r="D16" s="70"/>
      <c r="E16" s="70"/>
      <c r="F16" s="70"/>
      <c r="G16" s="70"/>
      <c r="H16" s="70"/>
      <c r="I16" s="70"/>
      <c r="J16" s="70"/>
      <c r="K16" s="70"/>
      <c r="L16" s="70"/>
    </row>
    <row r="17" spans="1:12">
      <c r="A17" s="71" t="s">
        <v>10</v>
      </c>
      <c r="C17" s="73">
        <v>314114333</v>
      </c>
      <c r="D17" s="73">
        <v>162107086</v>
      </c>
      <c r="E17" s="73">
        <v>269860709</v>
      </c>
      <c r="F17" s="73">
        <v>247298608</v>
      </c>
      <c r="G17" s="73">
        <v>397764571</v>
      </c>
      <c r="H17" s="73">
        <v>393875043</v>
      </c>
      <c r="I17" s="73">
        <v>393010369</v>
      </c>
      <c r="J17" s="73">
        <v>370508586</v>
      </c>
      <c r="K17" s="73">
        <v>411623646</v>
      </c>
    </row>
    <row r="18" spans="1:12">
      <c r="A18" s="71" t="s">
        <v>139</v>
      </c>
      <c r="C18" s="73">
        <v>782037535</v>
      </c>
      <c r="D18" s="73">
        <v>1054473879</v>
      </c>
      <c r="E18" s="73">
        <v>537472736</v>
      </c>
      <c r="F18" s="73">
        <v>935695992</v>
      </c>
      <c r="G18" s="73">
        <v>495692493</v>
      </c>
      <c r="H18" s="73">
        <v>508826557</v>
      </c>
      <c r="I18" s="73">
        <v>523318952</v>
      </c>
      <c r="J18" s="73">
        <v>742627060</v>
      </c>
      <c r="K18" s="73">
        <v>765193318</v>
      </c>
      <c r="L18" s="73">
        <v>3548699050</v>
      </c>
    </row>
    <row r="19" spans="1:12">
      <c r="A19" s="71" t="s">
        <v>140</v>
      </c>
      <c r="C19" s="73">
        <v>854280717</v>
      </c>
      <c r="D19" s="73">
        <v>960557490</v>
      </c>
      <c r="E19" s="73">
        <v>1082821451</v>
      </c>
      <c r="F19" s="73">
        <v>1433958075</v>
      </c>
      <c r="G19" s="73">
        <v>1372123107</v>
      </c>
      <c r="H19" s="73">
        <v>1393214441</v>
      </c>
      <c r="I19" s="73">
        <v>1005456863</v>
      </c>
      <c r="J19" s="73">
        <v>738899373</v>
      </c>
      <c r="K19" s="73">
        <v>949710155</v>
      </c>
    </row>
    <row r="20" spans="1:12">
      <c r="A20" s="71" t="s">
        <v>141</v>
      </c>
      <c r="C20" s="73">
        <v>350608470</v>
      </c>
      <c r="D20" s="73">
        <v>348833518</v>
      </c>
      <c r="E20" s="73">
        <v>216028753</v>
      </c>
      <c r="F20" s="73">
        <v>186754003</v>
      </c>
      <c r="G20" s="73">
        <v>276858765</v>
      </c>
      <c r="H20" s="73">
        <v>288969278</v>
      </c>
      <c r="I20" s="73">
        <v>262071325</v>
      </c>
      <c r="J20" s="73">
        <v>203584696</v>
      </c>
      <c r="K20" s="73">
        <v>299562147</v>
      </c>
      <c r="L20" s="73">
        <f>346439096+2696165+55753374+1876445+36822081</f>
        <v>443587161</v>
      </c>
    </row>
    <row r="21" spans="1:12">
      <c r="A21" s="71" t="s">
        <v>142</v>
      </c>
      <c r="C21" s="73">
        <v>82400274</v>
      </c>
      <c r="D21" s="73">
        <v>42838270</v>
      </c>
      <c r="E21" s="73">
        <v>98386271</v>
      </c>
      <c r="F21" s="73">
        <v>72073717</v>
      </c>
      <c r="G21" s="73">
        <v>143331669</v>
      </c>
      <c r="H21" s="73">
        <v>17344438</v>
      </c>
      <c r="I21" s="73">
        <v>28942289</v>
      </c>
      <c r="J21" s="73">
        <v>222269741</v>
      </c>
      <c r="K21" s="73">
        <v>2443314</v>
      </c>
    </row>
    <row r="22" spans="1:12">
      <c r="A22" s="71" t="s">
        <v>14</v>
      </c>
      <c r="C22" s="73">
        <v>339736085</v>
      </c>
      <c r="D22" s="73">
        <v>241542343</v>
      </c>
      <c r="E22" s="73">
        <v>296049187</v>
      </c>
      <c r="F22" s="73">
        <v>198287898</v>
      </c>
      <c r="G22" s="73">
        <v>113894389</v>
      </c>
      <c r="H22" s="73">
        <v>58455269</v>
      </c>
      <c r="I22" s="73">
        <v>75023343</v>
      </c>
      <c r="J22" s="73">
        <v>41091572</v>
      </c>
      <c r="K22" s="73">
        <v>89384113</v>
      </c>
      <c r="L22" s="73">
        <v>116464182</v>
      </c>
    </row>
    <row r="23" spans="1:12" s="68" customFormat="1">
      <c r="A23" s="74" t="s">
        <v>111</v>
      </c>
      <c r="B23" s="75"/>
      <c r="C23" s="77">
        <f>SUM(C17:C22)</f>
        <v>2723177414</v>
      </c>
      <c r="D23" s="77">
        <f>SUM(D17:D22)</f>
        <v>2810352586</v>
      </c>
      <c r="E23" s="77">
        <f t="shared" ref="E23:L23" si="0">SUM(E17:E22)</f>
        <v>2500619107</v>
      </c>
      <c r="F23" s="77">
        <f t="shared" si="0"/>
        <v>3074068293</v>
      </c>
      <c r="G23" s="77">
        <f t="shared" si="0"/>
        <v>2799664994</v>
      </c>
      <c r="H23" s="77">
        <f t="shared" si="0"/>
        <v>2660685026</v>
      </c>
      <c r="I23" s="77">
        <f t="shared" si="0"/>
        <v>2287823141</v>
      </c>
      <c r="J23" s="77">
        <f t="shared" si="0"/>
        <v>2318981028</v>
      </c>
      <c r="K23" s="77">
        <f t="shared" si="0"/>
        <v>2517916693</v>
      </c>
      <c r="L23" s="77">
        <f t="shared" si="0"/>
        <v>4108750393</v>
      </c>
    </row>
    <row r="24" spans="1:12" s="68" customFormat="1">
      <c r="A24" s="74" t="s">
        <v>112</v>
      </c>
      <c r="B24" s="75"/>
      <c r="C24" s="78">
        <f>C15+C23</f>
        <v>6589874548</v>
      </c>
      <c r="D24" s="78">
        <f>D15+D23</f>
        <v>6097128289</v>
      </c>
      <c r="E24" s="78">
        <f t="shared" ref="E24:L24" si="1">E15+E23</f>
        <v>5573011925</v>
      </c>
      <c r="F24" s="78">
        <f t="shared" si="1"/>
        <v>6269660778</v>
      </c>
      <c r="G24" s="78">
        <f t="shared" si="1"/>
        <v>5968637468</v>
      </c>
      <c r="H24" s="78">
        <f t="shared" si="1"/>
        <v>5904098096</v>
      </c>
      <c r="I24" s="78">
        <f t="shared" si="1"/>
        <v>5440986610</v>
      </c>
      <c r="J24" s="78">
        <f t="shared" si="1"/>
        <v>5282532985</v>
      </c>
      <c r="K24" s="78">
        <f t="shared" si="1"/>
        <v>5500842189</v>
      </c>
      <c r="L24" s="78">
        <f t="shared" si="1"/>
        <v>6870033731</v>
      </c>
    </row>
    <row r="25" spans="1:12" s="68" customFormat="1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1:12">
      <c r="A26" s="71" t="s">
        <v>143</v>
      </c>
    </row>
    <row r="27" spans="1:12">
      <c r="A27" s="71" t="s">
        <v>144</v>
      </c>
      <c r="C27" s="73">
        <v>50000000</v>
      </c>
      <c r="D27" s="73">
        <v>50000000</v>
      </c>
      <c r="E27" s="73">
        <v>50000000</v>
      </c>
      <c r="F27" s="73">
        <v>50000000</v>
      </c>
      <c r="G27" s="73">
        <v>50000000</v>
      </c>
      <c r="H27" s="73">
        <v>50000000</v>
      </c>
      <c r="I27" s="73">
        <v>50000000</v>
      </c>
      <c r="J27" s="73">
        <v>50000000</v>
      </c>
      <c r="K27" s="73">
        <v>50000000</v>
      </c>
      <c r="L27" s="73">
        <v>50000000</v>
      </c>
    </row>
    <row r="28" spans="1:12">
      <c r="A28" s="71" t="s">
        <v>18</v>
      </c>
      <c r="C28" s="73">
        <v>213786304</v>
      </c>
      <c r="D28" s="73">
        <v>213786304</v>
      </c>
      <c r="E28" s="73">
        <v>213786304</v>
      </c>
      <c r="F28" s="73">
        <v>213786304</v>
      </c>
      <c r="G28" s="73">
        <v>213786304</v>
      </c>
      <c r="H28" s="73">
        <v>213786304</v>
      </c>
      <c r="I28" s="73">
        <v>213786304</v>
      </c>
      <c r="J28" s="73">
        <v>213786304</v>
      </c>
      <c r="K28" s="73">
        <v>213786304</v>
      </c>
      <c r="L28" s="73">
        <v>610511633</v>
      </c>
    </row>
    <row r="29" spans="1:12">
      <c r="A29" s="71" t="s">
        <v>145</v>
      </c>
      <c r="C29" s="73">
        <v>396725329</v>
      </c>
      <c r="D29" s="73">
        <v>396725329</v>
      </c>
      <c r="E29" s="73">
        <v>396725329</v>
      </c>
      <c r="F29" s="73">
        <v>396725329</v>
      </c>
      <c r="G29" s="73">
        <v>396725329</v>
      </c>
      <c r="H29" s="73">
        <v>396725329</v>
      </c>
      <c r="I29" s="73">
        <v>396725329</v>
      </c>
      <c r="J29" s="73">
        <v>396725329</v>
      </c>
      <c r="K29" s="73">
        <v>396725329</v>
      </c>
    </row>
    <row r="30" spans="1:12">
      <c r="A30" s="71" t="s">
        <v>146</v>
      </c>
      <c r="G30" s="73">
        <v>-4812087</v>
      </c>
      <c r="H30" s="73">
        <v>1711102</v>
      </c>
      <c r="I30" s="73">
        <v>-2840063</v>
      </c>
      <c r="J30" s="73">
        <v>-9992769</v>
      </c>
      <c r="K30" s="73">
        <v>-11797454</v>
      </c>
      <c r="L30" s="73">
        <v>-12238998</v>
      </c>
    </row>
    <row r="31" spans="1:12">
      <c r="A31" s="71" t="s">
        <v>21</v>
      </c>
      <c r="C31" s="73">
        <v>1480343087</v>
      </c>
      <c r="D31" s="73">
        <v>1296472135</v>
      </c>
      <c r="E31" s="73">
        <v>1398533098</v>
      </c>
      <c r="F31" s="73">
        <v>1342739987</v>
      </c>
      <c r="G31" s="73">
        <v>1328359691</v>
      </c>
      <c r="H31" s="73">
        <v>1298459506</v>
      </c>
      <c r="I31" s="73">
        <v>1288187697</v>
      </c>
      <c r="J31" s="73">
        <v>1302228067</v>
      </c>
      <c r="K31" s="73">
        <v>1232433581</v>
      </c>
      <c r="L31" s="73">
        <v>1139471662</v>
      </c>
    </row>
    <row r="32" spans="1:12" s="68" customFormat="1">
      <c r="A32" s="74" t="s">
        <v>113</v>
      </c>
      <c r="B32" s="75"/>
      <c r="C32" s="76">
        <f>SUM(C27:C31)</f>
        <v>2140854720</v>
      </c>
      <c r="D32" s="76">
        <f t="shared" ref="D32:L32" si="2">SUM(D27:D31)</f>
        <v>1956983768</v>
      </c>
      <c r="E32" s="76">
        <f t="shared" si="2"/>
        <v>2059044731</v>
      </c>
      <c r="F32" s="76">
        <f t="shared" si="2"/>
        <v>2003251620</v>
      </c>
      <c r="G32" s="76">
        <f t="shared" si="2"/>
        <v>1984059237</v>
      </c>
      <c r="H32" s="76">
        <f t="shared" si="2"/>
        <v>1960682241</v>
      </c>
      <c r="I32" s="76">
        <f t="shared" si="2"/>
        <v>1945859267</v>
      </c>
      <c r="J32" s="76">
        <f t="shared" si="2"/>
        <v>1952746931</v>
      </c>
      <c r="K32" s="76">
        <f t="shared" si="2"/>
        <v>1881147760</v>
      </c>
      <c r="L32" s="76">
        <f t="shared" si="2"/>
        <v>1787744297</v>
      </c>
    </row>
    <row r="33" spans="1:12" s="68" customFormat="1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12">
      <c r="A34" s="71" t="s">
        <v>147</v>
      </c>
      <c r="C34" s="73">
        <v>239616456</v>
      </c>
      <c r="D34" s="73">
        <v>222363604</v>
      </c>
      <c r="E34" s="73">
        <v>207085155</v>
      </c>
      <c r="F34" s="73">
        <v>193276524</v>
      </c>
      <c r="G34" s="73">
        <v>184231222</v>
      </c>
      <c r="H34" s="73">
        <v>180583066</v>
      </c>
      <c r="I34" s="73">
        <v>172698445</v>
      </c>
      <c r="J34" s="73">
        <v>169045759</v>
      </c>
      <c r="K34" s="73">
        <v>152729047</v>
      </c>
      <c r="L34" s="73">
        <v>164062417</v>
      </c>
    </row>
    <row r="35" spans="1:12">
      <c r="A35" s="71" t="s">
        <v>148</v>
      </c>
      <c r="C35" s="73">
        <v>1333750000</v>
      </c>
      <c r="D35" s="73">
        <v>0</v>
      </c>
      <c r="E35" s="73">
        <v>0</v>
      </c>
      <c r="F35" s="73">
        <v>11411360</v>
      </c>
      <c r="G35" s="73">
        <v>14339877</v>
      </c>
      <c r="H35" s="73">
        <v>18847137</v>
      </c>
    </row>
    <row r="36" spans="1:12">
      <c r="A36" s="71" t="s">
        <v>149</v>
      </c>
      <c r="D36" s="73">
        <v>0</v>
      </c>
      <c r="E36" s="73">
        <v>0</v>
      </c>
      <c r="F36" s="73">
        <v>1169054</v>
      </c>
    </row>
    <row r="37" spans="1:12">
      <c r="A37" s="71" t="s">
        <v>150</v>
      </c>
      <c r="C37" s="73">
        <v>1245621</v>
      </c>
      <c r="D37" s="73">
        <v>950000000</v>
      </c>
      <c r="E37" s="73">
        <v>950000000</v>
      </c>
      <c r="F37" s="73">
        <v>950000000</v>
      </c>
    </row>
    <row r="38" spans="1:12">
      <c r="A38" s="71" t="s">
        <v>151</v>
      </c>
      <c r="D38" s="73">
        <v>4071750</v>
      </c>
      <c r="E38" s="73">
        <v>10356104</v>
      </c>
      <c r="F38" s="73">
        <v>0</v>
      </c>
    </row>
    <row r="39" spans="1:12" s="68" customFormat="1">
      <c r="A39" s="74" t="s">
        <v>114</v>
      </c>
      <c r="B39" s="75"/>
      <c r="C39" s="76">
        <f>SUM(C34:C38)</f>
        <v>1574612077</v>
      </c>
      <c r="D39" s="76">
        <f>SUM(D34:D38)</f>
        <v>1176435354</v>
      </c>
      <c r="E39" s="76">
        <f t="shared" ref="E39:L39" si="3">SUM(E34:E38)</f>
        <v>1167441259</v>
      </c>
      <c r="F39" s="76">
        <f t="shared" si="3"/>
        <v>1155856938</v>
      </c>
      <c r="G39" s="76">
        <f t="shared" si="3"/>
        <v>198571099</v>
      </c>
      <c r="H39" s="76">
        <f t="shared" si="3"/>
        <v>199430203</v>
      </c>
      <c r="I39" s="76">
        <f t="shared" si="3"/>
        <v>172698445</v>
      </c>
      <c r="J39" s="76">
        <f t="shared" si="3"/>
        <v>169045759</v>
      </c>
      <c r="K39" s="76">
        <f t="shared" si="3"/>
        <v>152729047</v>
      </c>
      <c r="L39" s="76">
        <f t="shared" si="3"/>
        <v>164062417</v>
      </c>
    </row>
    <row r="40" spans="1:12" s="68" customForma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12">
      <c r="A41" s="71" t="s">
        <v>152</v>
      </c>
      <c r="C41" s="73">
        <v>368244077</v>
      </c>
      <c r="D41" s="73">
        <v>327341840</v>
      </c>
      <c r="E41" s="73">
        <v>240603143</v>
      </c>
      <c r="F41" s="73">
        <v>392953364</v>
      </c>
      <c r="G41" s="73">
        <v>297609947</v>
      </c>
      <c r="H41" s="73">
        <v>236284479</v>
      </c>
      <c r="I41" s="73">
        <v>439903394</v>
      </c>
      <c r="J41" s="73">
        <v>231692417</v>
      </c>
      <c r="K41" s="73">
        <v>161079889</v>
      </c>
      <c r="L41" s="73">
        <v>430754253</v>
      </c>
    </row>
    <row r="42" spans="1:12">
      <c r="A42" s="71" t="s">
        <v>153</v>
      </c>
      <c r="C42" s="73">
        <v>187637514</v>
      </c>
      <c r="D42" s="73">
        <v>189765138</v>
      </c>
      <c r="E42" s="73">
        <v>199335302</v>
      </c>
      <c r="F42" s="73">
        <v>286014488</v>
      </c>
      <c r="G42" s="73">
        <v>288582372</v>
      </c>
      <c r="H42" s="73">
        <v>264538591</v>
      </c>
      <c r="I42" s="73">
        <v>207867544</v>
      </c>
      <c r="J42" s="73">
        <v>304945672</v>
      </c>
      <c r="K42" s="73">
        <v>325275007</v>
      </c>
      <c r="L42" s="73">
        <f>1792736223+540295424+24356412</f>
        <v>2357388059</v>
      </c>
    </row>
    <row r="43" spans="1:12">
      <c r="A43" s="71" t="s">
        <v>154</v>
      </c>
      <c r="C43" s="73">
        <v>3909066</v>
      </c>
      <c r="D43" s="73">
        <v>6065119</v>
      </c>
      <c r="E43" s="73">
        <v>6644890</v>
      </c>
      <c r="F43" s="73">
        <v>7954444</v>
      </c>
      <c r="G43" s="73">
        <v>4365728</v>
      </c>
      <c r="H43" s="73">
        <v>4387943</v>
      </c>
    </row>
    <row r="44" spans="1:12">
      <c r="A44" s="71" t="s">
        <v>155</v>
      </c>
      <c r="C44" s="73">
        <v>584207000</v>
      </c>
      <c r="D44" s="73">
        <v>697707000</v>
      </c>
      <c r="E44" s="73">
        <v>645000000</v>
      </c>
      <c r="F44" s="73">
        <v>1115000000</v>
      </c>
      <c r="G44" s="73">
        <v>2230000000</v>
      </c>
      <c r="H44" s="73">
        <v>1829648980</v>
      </c>
      <c r="I44" s="73">
        <v>1403373924</v>
      </c>
      <c r="J44" s="73">
        <v>1034399259</v>
      </c>
      <c r="K44" s="73">
        <v>1170000000</v>
      </c>
      <c r="L44" s="73">
        <v>2105000000</v>
      </c>
    </row>
    <row r="45" spans="1:12">
      <c r="A45" s="71" t="s">
        <v>156</v>
      </c>
      <c r="C45" s="73">
        <v>1652839997</v>
      </c>
      <c r="D45" s="73">
        <v>1665273720</v>
      </c>
      <c r="E45" s="73">
        <v>1152585895</v>
      </c>
      <c r="F45" s="73">
        <v>1208061102</v>
      </c>
      <c r="G45" s="73">
        <v>906144098</v>
      </c>
      <c r="H45" s="73">
        <v>1361925557</v>
      </c>
      <c r="I45" s="73">
        <v>1235148675</v>
      </c>
      <c r="J45" s="73">
        <v>1546878531</v>
      </c>
      <c r="K45" s="73">
        <v>1779627140</v>
      </c>
    </row>
    <row r="46" spans="1:12">
      <c r="A46" s="71" t="s">
        <v>157</v>
      </c>
      <c r="C46" s="73">
        <v>63450502</v>
      </c>
      <c r="D46" s="73">
        <v>27806110</v>
      </c>
      <c r="E46" s="73">
        <v>45522759</v>
      </c>
      <c r="F46" s="73">
        <v>41975469</v>
      </c>
      <c r="G46" s="73">
        <v>50408994</v>
      </c>
      <c r="H46" s="73">
        <v>38848494</v>
      </c>
      <c r="I46" s="73">
        <v>25403841</v>
      </c>
      <c r="J46" s="73">
        <v>28571219</v>
      </c>
      <c r="K46" s="73">
        <v>9894357</v>
      </c>
      <c r="L46" s="73">
        <v>25084705</v>
      </c>
    </row>
    <row r="47" spans="1:12">
      <c r="A47" s="71" t="s">
        <v>158</v>
      </c>
      <c r="C47" s="73">
        <v>14119595</v>
      </c>
      <c r="D47" s="73">
        <v>49750240</v>
      </c>
      <c r="E47" s="73">
        <v>56833946</v>
      </c>
      <c r="F47" s="73">
        <v>58593353</v>
      </c>
      <c r="G47" s="73">
        <v>8895993</v>
      </c>
      <c r="H47" s="73">
        <v>8351608</v>
      </c>
      <c r="I47" s="73">
        <v>10731520</v>
      </c>
      <c r="J47" s="73">
        <v>14253197</v>
      </c>
      <c r="K47" s="73">
        <v>21088989</v>
      </c>
    </row>
    <row r="48" spans="1:12" s="68" customFormat="1">
      <c r="A48" s="74" t="s">
        <v>107</v>
      </c>
      <c r="B48" s="75"/>
      <c r="C48" s="77">
        <f>SUM(C41:C47)</f>
        <v>2874407751</v>
      </c>
      <c r="D48" s="77">
        <f>SUM(D41:D47)</f>
        <v>2963709167</v>
      </c>
      <c r="E48" s="77">
        <f t="shared" ref="E48:L48" si="4">SUM(E41:E47)</f>
        <v>2346525935</v>
      </c>
      <c r="F48" s="77">
        <f t="shared" si="4"/>
        <v>3110552220</v>
      </c>
      <c r="G48" s="77">
        <f t="shared" si="4"/>
        <v>3786007132</v>
      </c>
      <c r="H48" s="77">
        <f t="shared" si="4"/>
        <v>3743985652</v>
      </c>
      <c r="I48" s="77">
        <f t="shared" si="4"/>
        <v>3322428898</v>
      </c>
      <c r="J48" s="77">
        <f t="shared" si="4"/>
        <v>3160740295</v>
      </c>
      <c r="K48" s="77">
        <f t="shared" si="4"/>
        <v>3466965382</v>
      </c>
      <c r="L48" s="77">
        <f t="shared" si="4"/>
        <v>4918227017</v>
      </c>
    </row>
    <row r="49" spans="1:12" s="68" customFormat="1">
      <c r="A49" s="74" t="s">
        <v>108</v>
      </c>
      <c r="B49" s="75"/>
      <c r="C49" s="76">
        <f>C39+C48</f>
        <v>4449019828</v>
      </c>
      <c r="D49" s="76">
        <f>D39+D48</f>
        <v>4140144521</v>
      </c>
      <c r="E49" s="76">
        <f t="shared" ref="E49:L49" si="5">E39+E48</f>
        <v>3513967194</v>
      </c>
      <c r="F49" s="76">
        <f t="shared" si="5"/>
        <v>4266409158</v>
      </c>
      <c r="G49" s="76">
        <f t="shared" si="5"/>
        <v>3984578231</v>
      </c>
      <c r="H49" s="76">
        <f t="shared" si="5"/>
        <v>3943415855</v>
      </c>
      <c r="I49" s="76">
        <f t="shared" si="5"/>
        <v>3495127343</v>
      </c>
      <c r="J49" s="76">
        <f t="shared" si="5"/>
        <v>3329786054</v>
      </c>
      <c r="K49" s="76">
        <f t="shared" si="5"/>
        <v>3619694429</v>
      </c>
      <c r="L49" s="76">
        <f t="shared" si="5"/>
        <v>5082289434</v>
      </c>
    </row>
    <row r="50" spans="1:12" s="68" customFormat="1">
      <c r="A50" s="74" t="s">
        <v>109</v>
      </c>
      <c r="B50" s="75"/>
      <c r="C50" s="79">
        <f>C49+C32</f>
        <v>6589874548</v>
      </c>
      <c r="D50" s="79">
        <f>D49+D32</f>
        <v>6097128289</v>
      </c>
      <c r="E50" s="79">
        <f t="shared" ref="E50:L50" si="6">E49+E32</f>
        <v>5573011925</v>
      </c>
      <c r="F50" s="79">
        <f t="shared" si="6"/>
        <v>6269660778</v>
      </c>
      <c r="G50" s="79">
        <f t="shared" si="6"/>
        <v>5968637468</v>
      </c>
      <c r="H50" s="79">
        <f t="shared" si="6"/>
        <v>5904098096</v>
      </c>
      <c r="I50" s="79">
        <f t="shared" si="6"/>
        <v>5440986610</v>
      </c>
      <c r="J50" s="79">
        <f t="shared" si="6"/>
        <v>5282532985</v>
      </c>
      <c r="K50" s="79">
        <f t="shared" si="6"/>
        <v>5500842189</v>
      </c>
      <c r="L50" s="79">
        <f t="shared" si="6"/>
        <v>6870033731</v>
      </c>
    </row>
    <row r="52" spans="1:12">
      <c r="C52" s="80">
        <f t="shared" ref="C52:L52" si="7">C24-C50</f>
        <v>0</v>
      </c>
      <c r="D52" s="80">
        <f t="shared" si="7"/>
        <v>0</v>
      </c>
      <c r="E52" s="78">
        <f t="shared" si="7"/>
        <v>0</v>
      </c>
      <c r="F52" s="78">
        <f t="shared" si="7"/>
        <v>0</v>
      </c>
      <c r="G52" s="78">
        <f t="shared" si="7"/>
        <v>0</v>
      </c>
      <c r="H52" s="78">
        <f t="shared" si="7"/>
        <v>0</v>
      </c>
      <c r="I52" s="78">
        <f t="shared" si="7"/>
        <v>0</v>
      </c>
      <c r="J52" s="78">
        <f t="shared" si="7"/>
        <v>0</v>
      </c>
      <c r="K52" s="78">
        <f t="shared" si="7"/>
        <v>0</v>
      </c>
      <c r="L52" s="78">
        <f t="shared" si="7"/>
        <v>0</v>
      </c>
    </row>
    <row r="54" spans="1:12" ht="18.75">
      <c r="A54" s="81" t="s">
        <v>52</v>
      </c>
      <c r="B54" s="82"/>
      <c r="C54" s="83">
        <v>3784761080</v>
      </c>
      <c r="D54" s="83">
        <v>3021708055</v>
      </c>
      <c r="E54" s="83">
        <v>2951871551</v>
      </c>
      <c r="F54" s="83">
        <v>3264792126</v>
      </c>
      <c r="G54" s="84">
        <v>2965253753</v>
      </c>
      <c r="H54" s="84">
        <v>3683744839</v>
      </c>
      <c r="I54" s="84">
        <v>3676048339</v>
      </c>
      <c r="J54" s="84">
        <v>3372214830</v>
      </c>
      <c r="K54" s="84">
        <v>3578827861</v>
      </c>
      <c r="L54" s="84">
        <v>3492820264</v>
      </c>
    </row>
    <row r="55" spans="1:12" ht="18.75">
      <c r="A55" s="85" t="s">
        <v>53</v>
      </c>
      <c r="B55" s="86"/>
      <c r="C55" s="83">
        <v>-3387921005</v>
      </c>
      <c r="D55" s="83">
        <v>-2473562528</v>
      </c>
      <c r="E55" s="83">
        <v>-2538522776</v>
      </c>
      <c r="F55" s="83">
        <v>-3039292643</v>
      </c>
      <c r="G55" s="84">
        <v>-2765246758</v>
      </c>
      <c r="H55" s="84">
        <v>-3283166662</v>
      </c>
      <c r="I55" s="84">
        <v>-3210878599</v>
      </c>
      <c r="J55" s="84">
        <v>-2849851480</v>
      </c>
      <c r="K55" s="84">
        <v>-3032255855</v>
      </c>
      <c r="L55" s="84">
        <v>-2972544409</v>
      </c>
    </row>
    <row r="56" spans="1:12" ht="18.75">
      <c r="A56" s="87" t="s">
        <v>54</v>
      </c>
      <c r="B56" s="88"/>
      <c r="C56" s="89">
        <v>396840075</v>
      </c>
      <c r="D56" s="89">
        <v>548145527</v>
      </c>
      <c r="E56" s="89">
        <v>413348775</v>
      </c>
      <c r="F56" s="89">
        <v>225499483</v>
      </c>
      <c r="G56" s="89">
        <v>200006995</v>
      </c>
      <c r="H56" s="89">
        <v>400578177</v>
      </c>
      <c r="I56" s="89">
        <v>465169740</v>
      </c>
      <c r="J56" s="89">
        <v>522363350</v>
      </c>
      <c r="K56" s="89">
        <v>546572006</v>
      </c>
      <c r="L56" s="89">
        <v>520275855</v>
      </c>
    </row>
    <row r="57" spans="1:12" ht="18.75">
      <c r="A57" s="90" t="s">
        <v>55</v>
      </c>
      <c r="B57" s="91"/>
      <c r="C57" s="83">
        <v>-159532956</v>
      </c>
      <c r="D57" s="83">
        <v>-188040132</v>
      </c>
      <c r="E57" s="83">
        <v>-131592536</v>
      </c>
      <c r="F57" s="83">
        <v>-145281007</v>
      </c>
      <c r="G57" s="92">
        <v>-108239393</v>
      </c>
      <c r="H57" s="92">
        <v>-131166259</v>
      </c>
      <c r="I57" s="92">
        <v>-131359776</v>
      </c>
      <c r="J57" s="92">
        <v>-113304308</v>
      </c>
      <c r="K57" s="92">
        <v>-121416346</v>
      </c>
      <c r="L57" s="92">
        <v>-149701763</v>
      </c>
    </row>
    <row r="58" spans="1:12" ht="18.75">
      <c r="A58" s="90" t="s">
        <v>65</v>
      </c>
      <c r="B58" s="91"/>
      <c r="C58" s="83">
        <v>123084989</v>
      </c>
      <c r="D58" s="83">
        <v>74515542</v>
      </c>
      <c r="E58" s="83">
        <v>72480403</v>
      </c>
      <c r="F58" s="83">
        <v>53561725</v>
      </c>
      <c r="G58" s="84">
        <v>58484253</v>
      </c>
      <c r="H58" s="84">
        <v>92481518</v>
      </c>
      <c r="I58" s="84">
        <v>16292975</v>
      </c>
      <c r="J58" s="84">
        <v>17662730</v>
      </c>
      <c r="K58" s="84">
        <v>26236394</v>
      </c>
      <c r="L58" s="84">
        <v>20658174</v>
      </c>
    </row>
    <row r="59" spans="1:12" ht="18.75">
      <c r="A59" s="90" t="s">
        <v>159</v>
      </c>
      <c r="B59" s="91"/>
      <c r="C59" s="83"/>
      <c r="D59" s="83"/>
      <c r="E59" s="83"/>
      <c r="F59" s="83">
        <v>-33620782</v>
      </c>
      <c r="G59" s="84"/>
      <c r="H59" s="84">
        <v>-170540368</v>
      </c>
      <c r="I59" s="84"/>
      <c r="J59" s="84"/>
      <c r="K59" s="84"/>
      <c r="L59" s="84"/>
    </row>
    <row r="60" spans="1:12" ht="18.75">
      <c r="A60" s="90" t="s">
        <v>160</v>
      </c>
      <c r="B60" s="91"/>
      <c r="C60" s="83">
        <v>-15268457</v>
      </c>
      <c r="D60" s="83">
        <v>-2214531</v>
      </c>
      <c r="E60" s="83">
        <v>-1414531</v>
      </c>
      <c r="F60" s="83">
        <v>-7934895</v>
      </c>
      <c r="G60" s="84"/>
      <c r="H60" s="84"/>
      <c r="I60" s="84"/>
      <c r="J60" s="84"/>
      <c r="K60" s="84"/>
      <c r="L60" s="84"/>
    </row>
    <row r="61" spans="1:12" ht="18.75">
      <c r="A61" s="87" t="s">
        <v>115</v>
      </c>
      <c r="B61" s="88"/>
      <c r="C61" s="93">
        <v>345123651</v>
      </c>
      <c r="D61" s="93">
        <v>432406406</v>
      </c>
      <c r="E61" s="93">
        <v>352822111</v>
      </c>
      <c r="F61" s="89">
        <v>92224524</v>
      </c>
      <c r="G61" s="94">
        <v>150251855</v>
      </c>
      <c r="H61" s="94">
        <v>191353068</v>
      </c>
      <c r="I61" s="94">
        <v>350102939</v>
      </c>
      <c r="J61" s="94">
        <v>426721772</v>
      </c>
      <c r="K61" s="94">
        <v>451392054</v>
      </c>
      <c r="L61" s="94">
        <v>391232266</v>
      </c>
    </row>
    <row r="62" spans="1:12" ht="18.75">
      <c r="A62" s="90" t="s">
        <v>161</v>
      </c>
      <c r="B62" s="91"/>
      <c r="C62" s="83">
        <v>-119521601</v>
      </c>
      <c r="D62" s="83">
        <v>-106905600</v>
      </c>
      <c r="E62" s="83">
        <v>-59774435</v>
      </c>
      <c r="F62" s="83">
        <v>-42373820</v>
      </c>
      <c r="G62" s="84">
        <v>-37347802</v>
      </c>
      <c r="H62" s="84">
        <v>-77259404</v>
      </c>
      <c r="I62" s="84">
        <v>-29933514</v>
      </c>
      <c r="J62" s="84">
        <v>-31314687</v>
      </c>
      <c r="K62" s="84">
        <v>-40620745</v>
      </c>
      <c r="L62" s="84">
        <v>-13932312</v>
      </c>
    </row>
    <row r="63" spans="1:12" ht="18.75">
      <c r="A63" s="90" t="s">
        <v>162</v>
      </c>
      <c r="B63" s="91"/>
      <c r="C63" s="83">
        <v>9316789</v>
      </c>
      <c r="D63" s="83"/>
      <c r="E63" s="83"/>
      <c r="F63" s="83"/>
      <c r="G63" s="84"/>
      <c r="H63" s="84"/>
      <c r="I63" s="84"/>
      <c r="J63" s="84"/>
      <c r="K63" s="84"/>
      <c r="L63" s="84"/>
    </row>
    <row r="64" spans="1:12" ht="18.75">
      <c r="A64" s="90" t="s">
        <v>163</v>
      </c>
      <c r="B64" s="91"/>
      <c r="C64" s="83"/>
      <c r="D64" s="83"/>
      <c r="E64" s="83"/>
      <c r="F64" s="83"/>
      <c r="G64" s="84"/>
      <c r="H64" s="84"/>
      <c r="I64" s="84">
        <v>13767644</v>
      </c>
      <c r="J64" s="84">
        <v>12284434</v>
      </c>
      <c r="K64" s="84"/>
      <c r="L64" s="84"/>
    </row>
    <row r="65" spans="1:12" ht="18.75">
      <c r="A65" s="90" t="s">
        <v>164</v>
      </c>
      <c r="B65" s="91"/>
      <c r="C65" s="83">
        <v>262584902</v>
      </c>
      <c r="D65" s="83">
        <v>-9784832</v>
      </c>
      <c r="E65" s="83">
        <v>89843586</v>
      </c>
      <c r="F65" s="83">
        <v>123634811</v>
      </c>
      <c r="G65" s="84">
        <v>86769619</v>
      </c>
      <c r="H65" s="84">
        <v>63834866</v>
      </c>
      <c r="I65" s="84"/>
      <c r="J65" s="84"/>
      <c r="K65" s="84"/>
      <c r="L65" s="84"/>
    </row>
    <row r="66" spans="1:12" ht="18.75">
      <c r="A66" s="95" t="s">
        <v>165</v>
      </c>
      <c r="B66" s="96"/>
      <c r="C66" s="89">
        <v>497503741</v>
      </c>
      <c r="D66" s="89">
        <v>315715974</v>
      </c>
      <c r="E66" s="89">
        <v>382891262</v>
      </c>
      <c r="F66" s="89">
        <v>173485515</v>
      </c>
      <c r="G66" s="89">
        <v>199673672</v>
      </c>
      <c r="H66" s="89">
        <v>177928530</v>
      </c>
      <c r="I66" s="89">
        <v>333937069</v>
      </c>
      <c r="J66" s="89">
        <v>407691519</v>
      </c>
      <c r="K66" s="89">
        <v>410771309</v>
      </c>
      <c r="L66" s="89">
        <v>377299954</v>
      </c>
    </row>
    <row r="67" spans="1:12" ht="18.75">
      <c r="A67" s="90" t="s">
        <v>67</v>
      </c>
      <c r="B67" s="91"/>
      <c r="C67" s="97">
        <v>-16605574</v>
      </c>
      <c r="D67" s="97">
        <v>-16578099</v>
      </c>
      <c r="E67" s="97">
        <v>-23671817</v>
      </c>
      <c r="F67" s="83">
        <v>-55650219</v>
      </c>
      <c r="G67" s="84">
        <v>-5936181</v>
      </c>
      <c r="H67" s="84">
        <v>-5391796</v>
      </c>
      <c r="I67" s="84">
        <v>-7771708</v>
      </c>
      <c r="J67" s="84">
        <v>-11293385</v>
      </c>
      <c r="K67" s="84">
        <v>-18746606</v>
      </c>
      <c r="L67" s="84">
        <v>-22742323</v>
      </c>
    </row>
    <row r="68" spans="1:12" ht="18.75">
      <c r="A68" s="95" t="s">
        <v>166</v>
      </c>
      <c r="B68" s="96"/>
      <c r="C68" s="98">
        <v>480898167</v>
      </c>
      <c r="D68" s="98">
        <v>299137875</v>
      </c>
      <c r="E68" s="98">
        <v>359219445</v>
      </c>
      <c r="F68" s="98">
        <v>117835296</v>
      </c>
      <c r="G68" s="98">
        <v>193737491</v>
      </c>
      <c r="H68" s="98">
        <v>172536734</v>
      </c>
      <c r="I68" s="98">
        <v>326165361</v>
      </c>
      <c r="J68" s="98">
        <v>396398134</v>
      </c>
      <c r="K68" s="98">
        <v>392024703</v>
      </c>
      <c r="L68" s="98">
        <v>354557631</v>
      </c>
    </row>
    <row r="69" spans="1:12" ht="18.75">
      <c r="A69" s="95" t="s">
        <v>167</v>
      </c>
      <c r="B69" s="96"/>
      <c r="C69" s="95"/>
      <c r="D69" s="99"/>
      <c r="E69" s="99"/>
      <c r="F69" s="84"/>
      <c r="G69" s="84"/>
      <c r="H69" s="84"/>
      <c r="I69" s="84"/>
      <c r="J69" s="84"/>
      <c r="K69" s="84"/>
      <c r="L69" s="84"/>
    </row>
    <row r="70" spans="1:12" ht="18.75">
      <c r="A70" s="95" t="s">
        <v>168</v>
      </c>
      <c r="B70" s="96"/>
      <c r="C70" s="95"/>
      <c r="D70" s="100"/>
      <c r="E70" s="100"/>
      <c r="F70" s="84"/>
      <c r="G70" s="84"/>
      <c r="H70" s="84"/>
      <c r="I70" s="84"/>
      <c r="J70" s="84"/>
      <c r="K70" s="84"/>
      <c r="L70" s="84"/>
    </row>
    <row r="71" spans="1:12" ht="18.75">
      <c r="A71" s="90" t="s">
        <v>169</v>
      </c>
      <c r="B71" s="91"/>
      <c r="C71" s="90"/>
      <c r="D71" s="100"/>
      <c r="E71" s="100"/>
      <c r="F71" s="83">
        <v>4812087</v>
      </c>
      <c r="G71" s="84">
        <v>-6523189</v>
      </c>
      <c r="H71" s="84">
        <v>4551165</v>
      </c>
      <c r="I71" s="84">
        <v>7152706</v>
      </c>
      <c r="J71" s="84">
        <v>1804685</v>
      </c>
      <c r="K71" s="84"/>
      <c r="L71" s="84"/>
    </row>
    <row r="72" spans="1:12" ht="18.75">
      <c r="A72" s="90" t="s">
        <v>170</v>
      </c>
      <c r="B72" s="91"/>
      <c r="C72" s="97">
        <v>2972785</v>
      </c>
      <c r="D72" s="97">
        <v>-1198838</v>
      </c>
      <c r="E72" s="97">
        <v>-3426334</v>
      </c>
      <c r="F72" s="97">
        <v>-6485703</v>
      </c>
      <c r="G72" s="84">
        <v>-13837306</v>
      </c>
      <c r="H72" s="84">
        <v>-12264925</v>
      </c>
      <c r="I72" s="84">
        <v>9794269</v>
      </c>
      <c r="J72" s="84">
        <v>-1603648</v>
      </c>
      <c r="K72" s="84"/>
      <c r="L72" s="84"/>
    </row>
    <row r="73" spans="1:12" ht="18.75">
      <c r="A73" s="101" t="s">
        <v>116</v>
      </c>
      <c r="B73" s="102"/>
      <c r="C73" s="103">
        <v>483870952</v>
      </c>
      <c r="D73" s="103">
        <v>297939037</v>
      </c>
      <c r="E73" s="103">
        <v>355793111</v>
      </c>
      <c r="F73" s="103">
        <v>116161680</v>
      </c>
      <c r="G73" s="103">
        <v>173376996</v>
      </c>
      <c r="H73" s="103">
        <v>164822974</v>
      </c>
      <c r="I73" s="103">
        <v>343112336</v>
      </c>
      <c r="J73" s="103">
        <v>396599171</v>
      </c>
      <c r="K73" s="103">
        <v>392024703</v>
      </c>
      <c r="L73" s="103">
        <v>354557631</v>
      </c>
    </row>
    <row r="75" spans="1:12">
      <c r="A75" s="71" t="s">
        <v>92</v>
      </c>
      <c r="B75" s="72" t="s">
        <v>93</v>
      </c>
      <c r="C75" s="104">
        <f>C56/C54</f>
        <v>0.10485208091391597</v>
      </c>
      <c r="D75" s="104">
        <f t="shared" ref="D75:L75" si="8">D56/D54</f>
        <v>0.18140254353592739</v>
      </c>
      <c r="E75" s="104">
        <f t="shared" si="8"/>
        <v>0.14002939079783827</v>
      </c>
      <c r="F75" s="104">
        <f t="shared" si="8"/>
        <v>6.9070089089035003E-2</v>
      </c>
      <c r="G75" s="104">
        <f t="shared" si="8"/>
        <v>6.7450212244955218E-2</v>
      </c>
      <c r="H75" s="104">
        <f t="shared" si="8"/>
        <v>0.10874210742260371</v>
      </c>
      <c r="I75" s="104">
        <f t="shared" si="8"/>
        <v>0.12654070270646678</v>
      </c>
      <c r="J75" s="104">
        <f t="shared" si="8"/>
        <v>0.15490215669326143</v>
      </c>
      <c r="K75" s="104">
        <f t="shared" si="8"/>
        <v>0.1527237484530134</v>
      </c>
      <c r="L75" s="104">
        <f t="shared" si="8"/>
        <v>0.14895580524495033</v>
      </c>
    </row>
    <row r="76" spans="1:12">
      <c r="A76" s="71" t="s">
        <v>94</v>
      </c>
      <c r="B76" s="72" t="s">
        <v>95</v>
      </c>
      <c r="C76" s="104">
        <f>C73/C54</f>
        <v>0.1278471591131454</v>
      </c>
      <c r="D76" s="104">
        <f t="shared" ref="D76:L76" si="9">D73/D54</f>
        <v>9.8599544223672522E-2</v>
      </c>
      <c r="E76" s="104">
        <f t="shared" si="9"/>
        <v>0.12053136623762258</v>
      </c>
      <c r="F76" s="104">
        <f t="shared" si="9"/>
        <v>3.5580115216193094E-2</v>
      </c>
      <c r="G76" s="104">
        <f t="shared" si="9"/>
        <v>5.846953092111979E-2</v>
      </c>
      <c r="H76" s="104">
        <f t="shared" si="9"/>
        <v>4.4743319964784346E-2</v>
      </c>
      <c r="I76" s="104">
        <f t="shared" si="9"/>
        <v>9.3337275345333814E-2</v>
      </c>
      <c r="J76" s="104">
        <f t="shared" si="9"/>
        <v>0.11760791971844807</v>
      </c>
      <c r="K76" s="104">
        <f t="shared" si="9"/>
        <v>0.10953997180810481</v>
      </c>
      <c r="L76" s="104">
        <f t="shared" si="9"/>
        <v>0.10151041399249051</v>
      </c>
    </row>
    <row r="77" spans="1:12">
      <c r="A77" s="71" t="s">
        <v>96</v>
      </c>
      <c r="B77" s="72" t="s">
        <v>97</v>
      </c>
      <c r="C77" s="105">
        <f>C54/C24</f>
        <v>0.57432976188426221</v>
      </c>
      <c r="D77" s="105">
        <f t="shared" ref="D77:L77" si="10">D54/D24</f>
        <v>0.49559528876103004</v>
      </c>
      <c r="E77" s="105">
        <f t="shared" si="10"/>
        <v>0.52967257036687576</v>
      </c>
      <c r="F77" s="105">
        <f t="shared" si="10"/>
        <v>0.52072867123146926</v>
      </c>
      <c r="G77" s="105">
        <f t="shared" si="10"/>
        <v>0.4968058068357788</v>
      </c>
      <c r="H77" s="105">
        <f t="shared" si="10"/>
        <v>0.62393015480141167</v>
      </c>
      <c r="I77" s="105">
        <f t="shared" si="10"/>
        <v>0.67562164778053002</v>
      </c>
      <c r="J77" s="105">
        <f t="shared" si="10"/>
        <v>0.63837080422887316</v>
      </c>
      <c r="K77" s="105">
        <f t="shared" si="10"/>
        <v>0.6505963519834399</v>
      </c>
      <c r="L77" s="105">
        <f t="shared" si="10"/>
        <v>0.50841384493342012</v>
      </c>
    </row>
    <row r="78" spans="1:12">
      <c r="A78" s="71" t="s">
        <v>98</v>
      </c>
      <c r="B78" s="72" t="s">
        <v>99</v>
      </c>
      <c r="C78" s="105">
        <f>C24/C32</f>
        <v>3.0781512105594908</v>
      </c>
      <c r="D78" s="105">
        <f t="shared" ref="D78:L78" si="11">D24/D32</f>
        <v>3.1155742774663628</v>
      </c>
      <c r="E78" s="105">
        <f t="shared" si="11"/>
        <v>2.706600707160645</v>
      </c>
      <c r="F78" s="105">
        <f t="shared" si="11"/>
        <v>3.129742023121389</v>
      </c>
      <c r="G78" s="105">
        <f t="shared" si="11"/>
        <v>3.0082960007912303</v>
      </c>
      <c r="H78" s="105">
        <f t="shared" si="11"/>
        <v>3.0112467857049356</v>
      </c>
      <c r="I78" s="105">
        <f t="shared" si="11"/>
        <v>2.7961871150057842</v>
      </c>
      <c r="J78" s="105">
        <f t="shared" si="11"/>
        <v>2.7051805337083898</v>
      </c>
      <c r="K78" s="105">
        <f t="shared" si="11"/>
        <v>2.9241946358323281</v>
      </c>
      <c r="L78" s="105">
        <f t="shared" si="11"/>
        <v>3.8428503128375522</v>
      </c>
    </row>
    <row r="79" spans="1:12">
      <c r="A79" s="71" t="s">
        <v>100</v>
      </c>
      <c r="B79" s="72" t="s">
        <v>118</v>
      </c>
      <c r="C79" s="105">
        <f>C73/C32</f>
        <v>0.22601764962360454</v>
      </c>
      <c r="D79" s="105">
        <f t="shared" ref="D79:L79" si="12">D73/D32</f>
        <v>0.15224400011477254</v>
      </c>
      <c r="E79" s="105">
        <f t="shared" si="12"/>
        <v>0.17279523151845505</v>
      </c>
      <c r="F79" s="105">
        <f t="shared" si="12"/>
        <v>5.7986564862980115E-2</v>
      </c>
      <c r="G79" s="105">
        <f t="shared" si="12"/>
        <v>8.7384989705325017E-2</v>
      </c>
      <c r="H79" s="105">
        <f t="shared" si="12"/>
        <v>8.4064092872048413E-2</v>
      </c>
      <c r="I79" s="105">
        <f t="shared" si="12"/>
        <v>0.1763294714159819</v>
      </c>
      <c r="J79" s="105">
        <f t="shared" si="12"/>
        <v>0.20309808951890243</v>
      </c>
      <c r="K79" s="105">
        <f t="shared" si="12"/>
        <v>0.20839654988080256</v>
      </c>
      <c r="L79" s="105">
        <f t="shared" si="12"/>
        <v>0.19832681418420992</v>
      </c>
    </row>
    <row r="80" spans="1:12">
      <c r="A80" s="71" t="s">
        <v>101</v>
      </c>
      <c r="B80" s="72" t="s">
        <v>102</v>
      </c>
      <c r="C80" s="105">
        <f>C23/C48</f>
        <v>0.94738730545539784</v>
      </c>
      <c r="D80" s="105">
        <f t="shared" ref="D80:L80" si="13">D23/D48</f>
        <v>0.94825518552644139</v>
      </c>
      <c r="E80" s="105">
        <f t="shared" si="13"/>
        <v>1.0656686421835777</v>
      </c>
      <c r="F80" s="105">
        <f t="shared" si="13"/>
        <v>0.98827091640982001</v>
      </c>
      <c r="G80" s="105">
        <f t="shared" si="13"/>
        <v>0.73947694665885277</v>
      </c>
      <c r="H80" s="105">
        <f t="shared" si="13"/>
        <v>0.71065577523746348</v>
      </c>
      <c r="I80" s="105">
        <f t="shared" si="13"/>
        <v>0.68859957917450065</v>
      </c>
      <c r="J80" s="105">
        <f t="shared" si="13"/>
        <v>0.73368287539106403</v>
      </c>
      <c r="K80" s="105">
        <f t="shared" si="13"/>
        <v>0.72625954273229021</v>
      </c>
      <c r="L80" s="105">
        <f t="shared" si="13"/>
        <v>0.83541291989938249</v>
      </c>
    </row>
    <row r="81" spans="1:12">
      <c r="A81" s="71" t="s">
        <v>103</v>
      </c>
      <c r="B81" s="72" t="s">
        <v>104</v>
      </c>
      <c r="C81" s="105">
        <f>C49/C24</f>
        <v>0.67512966985847389</v>
      </c>
      <c r="D81" s="105">
        <f t="shared" ref="D81:L81" si="14">D49/D24</f>
        <v>0.67903188595676278</v>
      </c>
      <c r="E81" s="105">
        <f t="shared" si="14"/>
        <v>0.63053286827481536</v>
      </c>
      <c r="F81" s="105">
        <f t="shared" si="14"/>
        <v>0.68048484743714788</v>
      </c>
      <c r="G81" s="105">
        <f t="shared" si="14"/>
        <v>0.6675859025385189</v>
      </c>
      <c r="H81" s="105">
        <f t="shared" si="14"/>
        <v>0.66791164219843269</v>
      </c>
      <c r="I81" s="105">
        <f t="shared" si="14"/>
        <v>0.64237014231505341</v>
      </c>
      <c r="J81" s="105">
        <f t="shared" si="14"/>
        <v>0.63033890435801987</v>
      </c>
      <c r="K81" s="105">
        <f t="shared" si="14"/>
        <v>0.65802549948411182</v>
      </c>
      <c r="L81" s="105">
        <f t="shared" si="14"/>
        <v>0.73977648917019556</v>
      </c>
    </row>
    <row r="82" spans="1:12">
      <c r="A82" s="71" t="s">
        <v>105</v>
      </c>
      <c r="B82" s="72" t="s">
        <v>106</v>
      </c>
      <c r="C82" s="105">
        <f>C49/C32</f>
        <v>2.0781512105594908</v>
      </c>
      <c r="D82" s="105">
        <f t="shared" ref="D82:L82" si="15">D49/D32</f>
        <v>2.1155742774663628</v>
      </c>
      <c r="E82" s="105">
        <f t="shared" si="15"/>
        <v>1.706600707160645</v>
      </c>
      <c r="F82" s="105">
        <f t="shared" si="15"/>
        <v>2.129742023121389</v>
      </c>
      <c r="G82" s="105">
        <f t="shared" si="15"/>
        <v>2.0082960007912303</v>
      </c>
      <c r="H82" s="105">
        <f t="shared" si="15"/>
        <v>2.0112467857049356</v>
      </c>
      <c r="I82" s="105">
        <f t="shared" si="15"/>
        <v>1.7961871150057842</v>
      </c>
      <c r="J82" s="105">
        <f t="shared" si="15"/>
        <v>1.7051805337083896</v>
      </c>
      <c r="K82" s="105">
        <f t="shared" si="15"/>
        <v>1.9241946358323283</v>
      </c>
      <c r="L82" s="105">
        <f t="shared" si="15"/>
        <v>2.8428503128375522</v>
      </c>
    </row>
    <row r="83" spans="1:12">
      <c r="A83" s="71" t="s">
        <v>171</v>
      </c>
      <c r="B83" s="72" t="s">
        <v>172</v>
      </c>
      <c r="C83" s="73">
        <f>C73*20%</f>
        <v>96774190.400000006</v>
      </c>
      <c r="D83" s="73">
        <f t="shared" ref="D83:L83" si="16">D73*20%</f>
        <v>59587807.400000006</v>
      </c>
      <c r="E83" s="73">
        <f t="shared" si="16"/>
        <v>71158622.200000003</v>
      </c>
      <c r="F83" s="73">
        <f t="shared" si="16"/>
        <v>23232336</v>
      </c>
      <c r="G83" s="73">
        <f t="shared" si="16"/>
        <v>34675399.200000003</v>
      </c>
      <c r="H83" s="73">
        <f t="shared" si="16"/>
        <v>32964594.800000001</v>
      </c>
      <c r="I83" s="73">
        <f t="shared" si="16"/>
        <v>68622467.200000003</v>
      </c>
      <c r="J83" s="73">
        <f t="shared" si="16"/>
        <v>79319834.200000003</v>
      </c>
      <c r="K83" s="73">
        <f t="shared" si="16"/>
        <v>78404940.600000009</v>
      </c>
      <c r="L83" s="73">
        <f t="shared" si="16"/>
        <v>70911526.200000003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0A9A-65BB-4019-8D44-5D2F5C43ECBA}">
  <sheetPr codeName="Sheet3"/>
  <dimension ref="A1:K80"/>
  <sheetViews>
    <sheetView zoomScale="80" zoomScaleNormal="8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C80" sqref="C80"/>
    </sheetView>
  </sheetViews>
  <sheetFormatPr defaultRowHeight="18"/>
  <cols>
    <col min="1" max="1" width="68.6640625" style="71" customWidth="1"/>
    <col min="2" max="2" width="30.83203125" style="71" customWidth="1"/>
    <col min="3" max="3" width="34" style="71" customWidth="1"/>
    <col min="4" max="4" width="27.83203125" style="117" customWidth="1"/>
    <col min="5" max="5" width="28.6640625" style="117" customWidth="1"/>
    <col min="6" max="6" width="28.6640625" style="73" customWidth="1"/>
    <col min="7" max="7" width="30.33203125" style="73" customWidth="1"/>
    <col min="8" max="8" width="36.1640625" style="73" customWidth="1"/>
    <col min="9" max="9" width="25" style="73" customWidth="1"/>
    <col min="10" max="10" width="26" style="73" customWidth="1"/>
    <col min="11" max="11" width="28.33203125" style="73" customWidth="1"/>
    <col min="12" max="16384" width="9.33203125" style="71"/>
  </cols>
  <sheetData>
    <row r="1" spans="1:11" s="67" customFormat="1" ht="54">
      <c r="A1" s="67" t="s">
        <v>0</v>
      </c>
      <c r="C1" s="106" t="s">
        <v>120</v>
      </c>
      <c r="D1" s="106" t="s">
        <v>121</v>
      </c>
      <c r="E1" s="106" t="s">
        <v>122</v>
      </c>
      <c r="F1" s="107" t="s">
        <v>123</v>
      </c>
      <c r="G1" s="107" t="s">
        <v>124</v>
      </c>
      <c r="H1" s="107" t="s">
        <v>125</v>
      </c>
      <c r="I1" s="107" t="s">
        <v>126</v>
      </c>
      <c r="J1" s="107" t="s">
        <v>127</v>
      </c>
      <c r="K1" s="107" t="s">
        <v>128</v>
      </c>
    </row>
    <row r="2" spans="1:11" s="68" customFormat="1" ht="20.25">
      <c r="A2" s="108"/>
      <c r="B2" s="108"/>
      <c r="C2" s="108"/>
      <c r="D2" s="109"/>
      <c r="E2" s="110"/>
      <c r="F2" s="70"/>
      <c r="G2" s="70"/>
      <c r="H2" s="70"/>
      <c r="I2" s="70"/>
      <c r="J2" s="70"/>
      <c r="K2" s="70"/>
    </row>
    <row r="3" spans="1:11" ht="20.25">
      <c r="A3" s="108" t="s">
        <v>1</v>
      </c>
      <c r="B3" s="108"/>
      <c r="C3" s="109">
        <v>1259153397</v>
      </c>
      <c r="D3" s="109">
        <v>1363241968</v>
      </c>
      <c r="E3" s="109">
        <v>1391512189</v>
      </c>
      <c r="F3" s="109">
        <v>1436851320</v>
      </c>
      <c r="G3" s="111">
        <v>1248391194</v>
      </c>
      <c r="H3" s="111">
        <v>945072437</v>
      </c>
      <c r="I3" s="73">
        <v>472565543</v>
      </c>
      <c r="J3" s="111">
        <v>500939479</v>
      </c>
      <c r="K3" s="111">
        <v>486142101</v>
      </c>
    </row>
    <row r="4" spans="1:11" ht="20.25">
      <c r="A4" s="108" t="s">
        <v>173</v>
      </c>
      <c r="B4" s="108"/>
      <c r="C4" s="109">
        <v>201878285</v>
      </c>
      <c r="D4" s="109"/>
      <c r="E4" s="109"/>
      <c r="F4" s="109"/>
      <c r="G4" s="111"/>
      <c r="H4" s="111"/>
      <c r="J4" s="111"/>
      <c r="K4" s="111"/>
    </row>
    <row r="5" spans="1:11" ht="20.25">
      <c r="A5" s="108" t="s">
        <v>174</v>
      </c>
      <c r="B5" s="108"/>
      <c r="D5" s="109"/>
      <c r="E5" s="109"/>
      <c r="I5" s="73">
        <v>319694918</v>
      </c>
      <c r="J5" s="111">
        <v>182333373</v>
      </c>
      <c r="K5" s="111">
        <v>108691546</v>
      </c>
    </row>
    <row r="6" spans="1:11" s="68" customFormat="1" ht="20.25">
      <c r="A6" s="74" t="s">
        <v>110</v>
      </c>
      <c r="B6" s="74"/>
      <c r="C6" s="112">
        <f>SUM(C3:C5)</f>
        <v>1461031682</v>
      </c>
      <c r="D6" s="112">
        <f t="shared" ref="D6:K6" si="0">SUM(D3:D5)</f>
        <v>1363241968</v>
      </c>
      <c r="E6" s="112">
        <f t="shared" si="0"/>
        <v>1391512189</v>
      </c>
      <c r="F6" s="76">
        <f t="shared" si="0"/>
        <v>1436851320</v>
      </c>
      <c r="G6" s="76">
        <f t="shared" si="0"/>
        <v>1248391194</v>
      </c>
      <c r="H6" s="76">
        <f t="shared" si="0"/>
        <v>945072437</v>
      </c>
      <c r="I6" s="76">
        <f t="shared" si="0"/>
        <v>792260461</v>
      </c>
      <c r="J6" s="76">
        <f t="shared" si="0"/>
        <v>683272852</v>
      </c>
      <c r="K6" s="76">
        <f t="shared" si="0"/>
        <v>594833647</v>
      </c>
    </row>
    <row r="7" spans="1:11" s="68" customFormat="1" ht="20.25">
      <c r="A7" s="113"/>
      <c r="B7" s="113"/>
      <c r="C7" s="113"/>
      <c r="D7" s="109"/>
      <c r="E7" s="109"/>
      <c r="F7" s="70"/>
      <c r="G7" s="70"/>
      <c r="H7" s="70"/>
      <c r="I7" s="70"/>
      <c r="J7" s="70"/>
      <c r="K7" s="70"/>
    </row>
    <row r="8" spans="1:11" ht="20.25">
      <c r="A8" s="108" t="s">
        <v>175</v>
      </c>
      <c r="B8" s="108"/>
      <c r="C8" s="109">
        <v>92487981</v>
      </c>
      <c r="D8" s="109">
        <v>47295219</v>
      </c>
      <c r="E8" s="109">
        <v>21263774</v>
      </c>
      <c r="F8" s="109">
        <v>12342062</v>
      </c>
      <c r="G8" s="111">
        <v>31044815</v>
      </c>
      <c r="H8" s="111">
        <v>53546807</v>
      </c>
      <c r="I8" s="73">
        <v>78392024</v>
      </c>
      <c r="J8" s="111">
        <v>44505171</v>
      </c>
      <c r="K8" s="111">
        <v>100880536</v>
      </c>
    </row>
    <row r="9" spans="1:11" ht="20.25">
      <c r="A9" s="108" t="s">
        <v>176</v>
      </c>
      <c r="B9" s="108"/>
      <c r="C9" s="109">
        <v>406603950</v>
      </c>
      <c r="D9" s="109">
        <v>635602391</v>
      </c>
      <c r="E9" s="109">
        <v>513210268</v>
      </c>
      <c r="F9" s="109">
        <v>395164298</v>
      </c>
      <c r="G9" s="114">
        <v>282118327</v>
      </c>
      <c r="H9" s="111">
        <v>236247968</v>
      </c>
      <c r="I9" s="73">
        <v>206088824</v>
      </c>
      <c r="J9" s="111">
        <v>232148108</v>
      </c>
      <c r="K9" s="111">
        <v>206831491</v>
      </c>
    </row>
    <row r="10" spans="1:11" ht="20.25">
      <c r="A10" s="108" t="s">
        <v>177</v>
      </c>
      <c r="B10" s="108"/>
      <c r="C10" s="109">
        <v>22762339</v>
      </c>
      <c r="D10" s="109">
        <v>25948321</v>
      </c>
      <c r="E10" s="109">
        <v>20055572</v>
      </c>
      <c r="F10" s="109">
        <v>19261251</v>
      </c>
      <c r="G10" s="111">
        <v>23821141</v>
      </c>
      <c r="H10" s="111">
        <v>24709940</v>
      </c>
      <c r="I10" s="73">
        <v>28020334</v>
      </c>
      <c r="J10" s="111">
        <v>24195074</v>
      </c>
      <c r="K10" s="111">
        <v>18589212</v>
      </c>
    </row>
    <row r="11" spans="1:11" ht="20.25">
      <c r="A11" s="108" t="s">
        <v>178</v>
      </c>
      <c r="B11" s="108"/>
      <c r="C11" s="109">
        <v>54460047</v>
      </c>
      <c r="D11" s="109">
        <v>36051253</v>
      </c>
      <c r="E11" s="109">
        <v>26958682</v>
      </c>
      <c r="F11" s="109">
        <v>24963897</v>
      </c>
      <c r="G11" s="111">
        <v>34204202</v>
      </c>
      <c r="H11" s="111">
        <v>72206942</v>
      </c>
      <c r="I11" s="73">
        <v>15371914</v>
      </c>
      <c r="J11" s="111">
        <v>16666630</v>
      </c>
      <c r="K11" s="111">
        <v>25678951</v>
      </c>
    </row>
    <row r="12" spans="1:11" ht="20.25">
      <c r="A12" s="108" t="s">
        <v>179</v>
      </c>
      <c r="B12" s="108"/>
      <c r="C12" s="109">
        <v>6545669</v>
      </c>
      <c r="D12" s="109">
        <v>1014532</v>
      </c>
      <c r="E12" s="109">
        <v>2160630</v>
      </c>
      <c r="F12" s="109"/>
      <c r="G12" s="111"/>
      <c r="H12" s="111"/>
    </row>
    <row r="13" spans="1:11" s="68" customFormat="1">
      <c r="A13" s="74" t="s">
        <v>111</v>
      </c>
      <c r="B13" s="74"/>
      <c r="C13" s="77">
        <f>SUM(C8:C12)</f>
        <v>582859986</v>
      </c>
      <c r="D13" s="77">
        <f>SUM(D8:D12)</f>
        <v>745911716</v>
      </c>
      <c r="E13" s="77">
        <f t="shared" ref="E13:I13" si="1">SUM(E8:E12)</f>
        <v>583648926</v>
      </c>
      <c r="F13" s="77">
        <f>SUM(F8:F12)</f>
        <v>451731508</v>
      </c>
      <c r="G13" s="77">
        <f t="shared" si="1"/>
        <v>371188485</v>
      </c>
      <c r="H13" s="77">
        <f t="shared" si="1"/>
        <v>386711657</v>
      </c>
      <c r="I13" s="77">
        <f t="shared" si="1"/>
        <v>327873096</v>
      </c>
      <c r="J13" s="77">
        <f>SUM(J8:J12)</f>
        <v>317514983</v>
      </c>
      <c r="K13" s="77">
        <f>SUM(K8:K12)</f>
        <v>351980190</v>
      </c>
    </row>
    <row r="14" spans="1:11" s="68" customFormat="1">
      <c r="A14" s="74" t="s">
        <v>112</v>
      </c>
      <c r="B14" s="74"/>
      <c r="C14" s="78">
        <f t="shared" ref="C14:K14" si="2">C6+C13</f>
        <v>2043891668</v>
      </c>
      <c r="D14" s="78">
        <f t="shared" si="2"/>
        <v>2109153684</v>
      </c>
      <c r="E14" s="78">
        <f t="shared" si="2"/>
        <v>1975161115</v>
      </c>
      <c r="F14" s="78">
        <f t="shared" si="2"/>
        <v>1888582828</v>
      </c>
      <c r="G14" s="78">
        <f t="shared" si="2"/>
        <v>1619579679</v>
      </c>
      <c r="H14" s="78">
        <f t="shared" si="2"/>
        <v>1331784094</v>
      </c>
      <c r="I14" s="78">
        <f t="shared" si="2"/>
        <v>1120133557</v>
      </c>
      <c r="J14" s="78">
        <f t="shared" si="2"/>
        <v>1000787835</v>
      </c>
      <c r="K14" s="78">
        <f t="shared" si="2"/>
        <v>946813837</v>
      </c>
    </row>
    <row r="15" spans="1:11" s="68" customFormat="1" ht="20.25">
      <c r="A15" s="113"/>
      <c r="B15" s="113"/>
      <c r="C15" s="108"/>
      <c r="D15" s="109"/>
      <c r="E15" s="109"/>
      <c r="F15" s="70"/>
      <c r="G15" s="70"/>
      <c r="H15" s="70"/>
      <c r="I15" s="70"/>
      <c r="J15" s="70"/>
      <c r="K15" s="70"/>
    </row>
    <row r="16" spans="1:11" ht="20.25">
      <c r="A16" s="113"/>
      <c r="B16" s="113"/>
      <c r="C16" s="108"/>
      <c r="D16" s="109"/>
      <c r="E16" s="109"/>
    </row>
    <row r="17" spans="1:11" ht="20.25">
      <c r="A17" s="108" t="s">
        <v>180</v>
      </c>
      <c r="B17" s="108"/>
      <c r="C17" s="109">
        <v>250000000</v>
      </c>
      <c r="D17" s="109">
        <v>85000000</v>
      </c>
      <c r="E17" s="109">
        <v>85000000</v>
      </c>
      <c r="F17" s="109">
        <v>85000000</v>
      </c>
      <c r="G17" s="111">
        <v>85000000</v>
      </c>
      <c r="H17" s="111">
        <v>85000000</v>
      </c>
      <c r="I17" s="73">
        <v>85000000</v>
      </c>
      <c r="J17" s="111">
        <v>85000000</v>
      </c>
      <c r="K17" s="111">
        <v>85000000</v>
      </c>
    </row>
    <row r="18" spans="1:11" ht="20.25">
      <c r="A18" s="108" t="s">
        <v>181</v>
      </c>
      <c r="B18" s="108"/>
      <c r="C18" s="109">
        <v>49653238</v>
      </c>
      <c r="D18" s="109">
        <v>49653238</v>
      </c>
      <c r="E18" s="109">
        <v>49653238</v>
      </c>
      <c r="F18" s="109">
        <v>49653238</v>
      </c>
      <c r="G18" s="111">
        <v>49653238</v>
      </c>
      <c r="H18" s="111">
        <v>49653238</v>
      </c>
      <c r="I18" s="73">
        <v>49653238</v>
      </c>
      <c r="J18" s="111">
        <v>49653238</v>
      </c>
      <c r="K18" s="111">
        <v>49653238</v>
      </c>
    </row>
    <row r="19" spans="1:11" ht="20.25">
      <c r="A19" s="108" t="s">
        <v>182</v>
      </c>
      <c r="B19" s="108"/>
      <c r="C19" s="109">
        <v>527442349</v>
      </c>
      <c r="D19" s="109">
        <v>826685427</v>
      </c>
      <c r="E19" s="109">
        <v>685506657</v>
      </c>
      <c r="F19" s="109">
        <v>601757356</v>
      </c>
      <c r="G19" s="111">
        <v>530772181</v>
      </c>
      <c r="H19" s="111">
        <v>526879456</v>
      </c>
      <c r="I19" s="73">
        <v>463901688</v>
      </c>
      <c r="J19" s="111">
        <v>401055069</v>
      </c>
      <c r="K19" s="111">
        <v>340369012</v>
      </c>
    </row>
    <row r="20" spans="1:11" ht="20.25">
      <c r="A20" s="108"/>
      <c r="B20" s="108"/>
      <c r="C20" s="108"/>
      <c r="D20" s="109"/>
      <c r="E20" s="109"/>
    </row>
    <row r="21" spans="1:11" s="68" customFormat="1">
      <c r="A21" s="74" t="s">
        <v>113</v>
      </c>
      <c r="B21" s="74"/>
      <c r="C21" s="76">
        <f>SUM(C17:C20)</f>
        <v>827095587</v>
      </c>
      <c r="D21" s="76">
        <f t="shared" ref="D21:E21" si="3">SUM(D17:D20)</f>
        <v>961338665</v>
      </c>
      <c r="E21" s="76">
        <f t="shared" si="3"/>
        <v>820159895</v>
      </c>
      <c r="F21" s="76">
        <f>SUM(F17:F20)</f>
        <v>736410594</v>
      </c>
      <c r="G21" s="76">
        <f t="shared" ref="G21:H21" si="4">SUM(G17:G20)</f>
        <v>665425419</v>
      </c>
      <c r="H21" s="76">
        <f t="shared" si="4"/>
        <v>661532694</v>
      </c>
      <c r="I21" s="76">
        <f>SUM(I17:I20)</f>
        <v>598554926</v>
      </c>
      <c r="J21" s="76">
        <f>SUM(J17:J20)</f>
        <v>535708307</v>
      </c>
      <c r="K21" s="76">
        <f>SUM(K17:K20)</f>
        <v>475022250</v>
      </c>
    </row>
    <row r="22" spans="1:11" s="68" customFormat="1" ht="20.25">
      <c r="A22" s="113"/>
      <c r="B22" s="113"/>
      <c r="C22" s="108"/>
      <c r="D22" s="109"/>
      <c r="E22" s="109"/>
      <c r="F22" s="70"/>
      <c r="G22" s="70"/>
      <c r="H22" s="70"/>
      <c r="I22" s="70"/>
      <c r="J22" s="70"/>
      <c r="K22" s="70"/>
    </row>
    <row r="23" spans="1:11" ht="20.25">
      <c r="A23" s="115" t="s">
        <v>183</v>
      </c>
      <c r="B23" s="115"/>
      <c r="C23" s="109">
        <v>86326531</v>
      </c>
      <c r="D23" s="109">
        <v>143877551</v>
      </c>
      <c r="E23" s="109">
        <v>243703704</v>
      </c>
      <c r="F23" s="109">
        <v>282750000</v>
      </c>
      <c r="G23" s="111">
        <v>204646632</v>
      </c>
      <c r="H23" s="111">
        <v>258750000</v>
      </c>
      <c r="I23" s="73">
        <v>249750000</v>
      </c>
      <c r="J23" s="111">
        <v>22672460</v>
      </c>
      <c r="K23" s="111">
        <v>27479706</v>
      </c>
    </row>
    <row r="24" spans="1:11" ht="20.25">
      <c r="A24" s="115" t="s">
        <v>184</v>
      </c>
      <c r="B24" s="115"/>
      <c r="C24" s="109"/>
      <c r="D24" s="109">
        <v>769267</v>
      </c>
      <c r="E24" s="109">
        <v>1208848</v>
      </c>
      <c r="F24" s="109"/>
      <c r="G24" s="111"/>
      <c r="H24" s="111"/>
      <c r="J24" s="111"/>
      <c r="K24" s="111"/>
    </row>
    <row r="25" spans="1:11" ht="20.25">
      <c r="A25" s="115" t="s">
        <v>185</v>
      </c>
      <c r="B25" s="115"/>
      <c r="C25" s="109"/>
      <c r="D25" s="109">
        <v>2837777</v>
      </c>
      <c r="E25" s="116">
        <v>5403057</v>
      </c>
      <c r="F25" s="109">
        <v>7968338</v>
      </c>
      <c r="G25" s="111">
        <v>10446869</v>
      </c>
      <c r="H25" s="111">
        <v>14663035</v>
      </c>
      <c r="I25" s="73">
        <v>18736625</v>
      </c>
      <c r="J25" s="111">
        <v>3854133</v>
      </c>
      <c r="K25" s="111">
        <v>4978488</v>
      </c>
    </row>
    <row r="26" spans="1:11" ht="20.25">
      <c r="A26" s="115" t="s">
        <v>186</v>
      </c>
      <c r="B26" s="115"/>
      <c r="C26" s="109">
        <v>201991562</v>
      </c>
      <c r="D26" s="109">
        <v>133030596</v>
      </c>
      <c r="E26" s="109">
        <v>156087803</v>
      </c>
      <c r="F26" s="109">
        <v>177863469</v>
      </c>
      <c r="G26" s="111">
        <v>188021560</v>
      </c>
      <c r="H26" s="111">
        <v>31534845</v>
      </c>
      <c r="J26" s="111">
        <v>11030043</v>
      </c>
      <c r="K26" s="111">
        <v>12230043</v>
      </c>
    </row>
    <row r="27" spans="1:11" ht="20.25">
      <c r="A27" s="115" t="s">
        <v>187</v>
      </c>
      <c r="B27" s="115"/>
      <c r="C27" s="109"/>
      <c r="D27" s="109">
        <v>96180</v>
      </c>
      <c r="E27" s="109">
        <v>285284</v>
      </c>
      <c r="F27" s="109">
        <v>929816</v>
      </c>
      <c r="G27" s="111">
        <v>1443023</v>
      </c>
      <c r="H27" s="111">
        <v>2098805</v>
      </c>
      <c r="I27" s="73">
        <v>2892343</v>
      </c>
      <c r="J27" s="111"/>
      <c r="K27" s="111"/>
    </row>
    <row r="28" spans="1:11" ht="20.25">
      <c r="A28" s="115" t="s">
        <v>188</v>
      </c>
      <c r="B28" s="115"/>
      <c r="C28" s="109"/>
      <c r="D28" s="109"/>
      <c r="E28" s="109"/>
      <c r="F28" s="109">
        <v>1647129</v>
      </c>
      <c r="G28" s="111">
        <v>4152157</v>
      </c>
      <c r="H28" s="111">
        <v>6755327</v>
      </c>
      <c r="I28" s="73">
        <v>9940310</v>
      </c>
      <c r="J28" s="111"/>
      <c r="K28" s="111"/>
    </row>
    <row r="29" spans="1:11" ht="20.25">
      <c r="A29" s="115" t="s">
        <v>189</v>
      </c>
      <c r="B29" s="115"/>
      <c r="C29" s="109">
        <v>159552201</v>
      </c>
      <c r="D29" s="109">
        <v>155938697</v>
      </c>
      <c r="E29" s="109">
        <v>147367361</v>
      </c>
      <c r="F29" s="109">
        <v>134284750</v>
      </c>
      <c r="G29" s="111">
        <v>125612417</v>
      </c>
      <c r="H29" s="111">
        <v>111876416</v>
      </c>
      <c r="I29" s="73">
        <v>108172449</v>
      </c>
      <c r="J29" s="111">
        <v>100208000</v>
      </c>
      <c r="K29" s="111">
        <v>88578000</v>
      </c>
    </row>
    <row r="30" spans="1:11" ht="20.25">
      <c r="A30" s="115" t="s">
        <v>190</v>
      </c>
      <c r="B30" s="115"/>
      <c r="C30" s="109">
        <v>329686</v>
      </c>
      <c r="D30" s="109"/>
      <c r="E30" s="109"/>
    </row>
    <row r="31" spans="1:11" s="68" customFormat="1">
      <c r="A31" s="74" t="s">
        <v>114</v>
      </c>
      <c r="B31" s="74"/>
      <c r="C31" s="76">
        <f>SUM(C23:C30)</f>
        <v>448199980</v>
      </c>
      <c r="D31" s="76">
        <f t="shared" ref="D31:I31" si="5">SUM(D23:D30)</f>
        <v>436550068</v>
      </c>
      <c r="E31" s="76">
        <f t="shared" si="5"/>
        <v>554056057</v>
      </c>
      <c r="F31" s="76">
        <f t="shared" si="5"/>
        <v>605443502</v>
      </c>
      <c r="G31" s="76">
        <f t="shared" si="5"/>
        <v>534322658</v>
      </c>
      <c r="H31" s="76">
        <f t="shared" si="5"/>
        <v>425678428</v>
      </c>
      <c r="I31" s="76">
        <f t="shared" si="5"/>
        <v>389491727</v>
      </c>
      <c r="J31" s="76">
        <f>SUM(J23:J30)</f>
        <v>137764636</v>
      </c>
      <c r="K31" s="76">
        <f>SUM(K23:K30)</f>
        <v>133266237</v>
      </c>
    </row>
    <row r="32" spans="1:11" s="68" customFormat="1" ht="20.25">
      <c r="A32" s="113"/>
      <c r="B32" s="113"/>
      <c r="C32" s="108"/>
      <c r="D32" s="109"/>
      <c r="E32" s="109"/>
      <c r="F32" s="70"/>
      <c r="G32" s="70"/>
      <c r="H32" s="70"/>
      <c r="I32" s="70"/>
      <c r="J32" s="70"/>
      <c r="K32" s="70"/>
    </row>
    <row r="33" spans="1:11" ht="20.25">
      <c r="A33" s="108" t="s">
        <v>191</v>
      </c>
      <c r="B33" s="108"/>
      <c r="C33" s="109">
        <v>104158709</v>
      </c>
      <c r="D33" s="109">
        <v>114460690</v>
      </c>
      <c r="E33" s="109">
        <v>108679900</v>
      </c>
      <c r="F33" s="109">
        <v>96383637</v>
      </c>
      <c r="G33" s="111">
        <v>129159972</v>
      </c>
      <c r="H33" s="111">
        <v>86521735</v>
      </c>
      <c r="I33" s="73">
        <v>68822976</v>
      </c>
      <c r="J33" s="111">
        <v>70038287</v>
      </c>
      <c r="K33" s="111">
        <v>70378714</v>
      </c>
    </row>
    <row r="34" spans="1:11" ht="20.25">
      <c r="A34" s="108" t="s">
        <v>192</v>
      </c>
      <c r="B34" s="108"/>
      <c r="C34" s="109">
        <v>490537492</v>
      </c>
      <c r="D34" s="109">
        <v>415000000</v>
      </c>
      <c r="E34" s="109">
        <v>350000000</v>
      </c>
      <c r="F34" s="109">
        <v>335000000</v>
      </c>
      <c r="G34" s="111">
        <v>165000000</v>
      </c>
      <c r="H34" s="111">
        <v>85000000</v>
      </c>
      <c r="J34" s="111">
        <v>196733333</v>
      </c>
      <c r="K34" s="111">
        <v>206733317</v>
      </c>
    </row>
    <row r="35" spans="1:11" ht="20.25">
      <c r="A35" s="108" t="s">
        <v>193</v>
      </c>
      <c r="B35" s="108"/>
      <c r="C35" s="109">
        <v>57551020</v>
      </c>
      <c r="D35" s="109">
        <v>57551020</v>
      </c>
      <c r="E35" s="109">
        <v>36296296</v>
      </c>
      <c r="F35" s="109">
        <v>20000000</v>
      </c>
      <c r="G35" s="111">
        <v>50389104</v>
      </c>
      <c r="H35" s="111">
        <v>21000000</v>
      </c>
      <c r="I35" s="73">
        <v>24133334</v>
      </c>
      <c r="J35" s="111">
        <v>4807246</v>
      </c>
      <c r="K35" s="111">
        <v>4644682</v>
      </c>
    </row>
    <row r="36" spans="1:11" ht="20.25">
      <c r="A36" s="108" t="s">
        <v>194</v>
      </c>
      <c r="B36" s="108"/>
      <c r="C36" s="109"/>
      <c r="D36" s="109">
        <v>439581</v>
      </c>
      <c r="E36" s="109">
        <v>439581</v>
      </c>
      <c r="F36" s="109"/>
      <c r="G36" s="111">
        <v>17427914</v>
      </c>
      <c r="H36" s="111">
        <v>6138140</v>
      </c>
      <c r="J36" s="111"/>
      <c r="K36" s="111"/>
    </row>
    <row r="37" spans="1:11" ht="20.25">
      <c r="A37" s="108" t="s">
        <v>195</v>
      </c>
      <c r="B37" s="108"/>
      <c r="C37" s="109">
        <v>2747992</v>
      </c>
      <c r="D37" s="109">
        <v>2565278</v>
      </c>
      <c r="E37" s="109">
        <v>2565278</v>
      </c>
      <c r="F37" s="109">
        <v>19204845</v>
      </c>
      <c r="G37" s="111">
        <v>4216166</v>
      </c>
      <c r="H37" s="111">
        <v>4073590</v>
      </c>
      <c r="I37" s="73">
        <v>3935835</v>
      </c>
      <c r="J37" s="111">
        <v>1200000</v>
      </c>
      <c r="K37" s="111">
        <v>1000000</v>
      </c>
    </row>
    <row r="38" spans="1:11" ht="20.25">
      <c r="A38" s="108" t="s">
        <v>196</v>
      </c>
      <c r="B38" s="108"/>
      <c r="C38" s="109"/>
      <c r="D38" s="109" t="s">
        <v>197</v>
      </c>
      <c r="E38" s="109">
        <v>1282257</v>
      </c>
      <c r="F38" s="109">
        <v>2478532</v>
      </c>
      <c r="G38" s="111">
        <v>2202024</v>
      </c>
      <c r="H38" s="111">
        <v>2227634</v>
      </c>
      <c r="I38" s="73">
        <v>1866029</v>
      </c>
      <c r="J38" s="111">
        <v>37247141</v>
      </c>
      <c r="K38" s="111">
        <v>40920762</v>
      </c>
    </row>
    <row r="39" spans="1:11" ht="20.25">
      <c r="A39" s="108" t="s">
        <v>198</v>
      </c>
      <c r="B39" s="108"/>
      <c r="C39" s="109">
        <v>23536645</v>
      </c>
      <c r="D39" s="109">
        <v>25086962</v>
      </c>
      <c r="E39" s="109">
        <v>19680458</v>
      </c>
      <c r="F39" s="109">
        <v>2353526</v>
      </c>
      <c r="G39" s="111"/>
      <c r="H39" s="111"/>
      <c r="J39" s="111"/>
      <c r="K39" s="111"/>
    </row>
    <row r="40" spans="1:11" ht="20.25">
      <c r="A40" s="108" t="s">
        <v>199</v>
      </c>
      <c r="B40" s="108"/>
      <c r="C40" s="109">
        <v>96177</v>
      </c>
      <c r="D40" s="109">
        <v>189107</v>
      </c>
      <c r="E40" s="109">
        <v>278892</v>
      </c>
      <c r="F40" s="109"/>
      <c r="G40" s="111"/>
      <c r="H40" s="111"/>
      <c r="J40" s="111"/>
      <c r="K40" s="111"/>
    </row>
    <row r="41" spans="1:11" ht="20.25">
      <c r="A41" s="108" t="s">
        <v>200</v>
      </c>
      <c r="B41" s="108"/>
      <c r="C41" s="109">
        <v>81231888</v>
      </c>
      <c r="D41" s="109">
        <v>89553420</v>
      </c>
      <c r="E41" s="109">
        <v>76662531</v>
      </c>
      <c r="F41" s="109">
        <v>67986990</v>
      </c>
      <c r="G41" s="111">
        <v>49668584</v>
      </c>
      <c r="H41" s="111">
        <v>36907026</v>
      </c>
      <c r="I41" s="73">
        <v>31167435</v>
      </c>
      <c r="J41" s="111">
        <v>13897690</v>
      </c>
      <c r="K41" s="111">
        <v>11665099</v>
      </c>
    </row>
    <row r="42" spans="1:11" ht="20.25">
      <c r="A42" s="108" t="s">
        <v>201</v>
      </c>
      <c r="B42" s="108"/>
      <c r="C42" s="109">
        <v>8351552</v>
      </c>
      <c r="D42" s="109">
        <v>5714642</v>
      </c>
      <c r="E42" s="109">
        <v>3957230</v>
      </c>
      <c r="F42" s="109">
        <v>3321202</v>
      </c>
      <c r="G42" s="111">
        <v>1767838</v>
      </c>
      <c r="H42" s="111">
        <v>2704847</v>
      </c>
      <c r="I42" s="73">
        <v>2161295</v>
      </c>
      <c r="J42" s="111">
        <v>3391195</v>
      </c>
      <c r="K42" s="111">
        <v>3182776</v>
      </c>
    </row>
    <row r="43" spans="1:11" ht="20.25">
      <c r="A43" s="108" t="s">
        <v>202</v>
      </c>
      <c r="B43" s="108"/>
      <c r="C43" s="109">
        <v>384626</v>
      </c>
      <c r="D43" s="109">
        <v>704251</v>
      </c>
      <c r="E43" s="109">
        <v>1102740</v>
      </c>
      <c r="F43" s="109"/>
    </row>
    <row r="44" spans="1:11" ht="20.25">
      <c r="E44" s="109"/>
    </row>
    <row r="45" spans="1:11" s="68" customFormat="1">
      <c r="A45" s="74" t="s">
        <v>107</v>
      </c>
      <c r="B45" s="74"/>
      <c r="C45" s="77">
        <f t="shared" ref="C45:K45" si="6">SUM(C33:C44)</f>
        <v>768596101</v>
      </c>
      <c r="D45" s="77">
        <f t="shared" si="6"/>
        <v>711264951</v>
      </c>
      <c r="E45" s="77">
        <f t="shared" si="6"/>
        <v>600945163</v>
      </c>
      <c r="F45" s="77">
        <f t="shared" si="6"/>
        <v>546728732</v>
      </c>
      <c r="G45" s="77">
        <f t="shared" si="6"/>
        <v>419831602</v>
      </c>
      <c r="H45" s="77">
        <f t="shared" si="6"/>
        <v>244572972</v>
      </c>
      <c r="I45" s="77">
        <f t="shared" si="6"/>
        <v>132086904</v>
      </c>
      <c r="J45" s="77">
        <f t="shared" si="6"/>
        <v>327314892</v>
      </c>
      <c r="K45" s="77">
        <f t="shared" si="6"/>
        <v>338525350</v>
      </c>
    </row>
    <row r="46" spans="1:11" s="68" customFormat="1">
      <c r="A46" s="74" t="s">
        <v>108</v>
      </c>
      <c r="B46" s="74"/>
      <c r="C46" s="118">
        <f t="shared" ref="C46:K46" si="7">C31+C45</f>
        <v>1216796081</v>
      </c>
      <c r="D46" s="118">
        <f t="shared" si="7"/>
        <v>1147815019</v>
      </c>
      <c r="E46" s="118">
        <f t="shared" si="7"/>
        <v>1155001220</v>
      </c>
      <c r="F46" s="76">
        <f t="shared" si="7"/>
        <v>1152172234</v>
      </c>
      <c r="G46" s="76">
        <f t="shared" si="7"/>
        <v>954154260</v>
      </c>
      <c r="H46" s="76">
        <f t="shared" si="7"/>
        <v>670251400</v>
      </c>
      <c r="I46" s="76">
        <f t="shared" si="7"/>
        <v>521578631</v>
      </c>
      <c r="J46" s="76">
        <f t="shared" si="7"/>
        <v>465079528</v>
      </c>
      <c r="K46" s="76">
        <f t="shared" si="7"/>
        <v>471791587</v>
      </c>
    </row>
    <row r="47" spans="1:11" s="68" customFormat="1">
      <c r="A47" s="74" t="s">
        <v>109</v>
      </c>
      <c r="B47" s="74"/>
      <c r="C47" s="119">
        <f t="shared" ref="C47:K47" si="8">C46+C21</f>
        <v>2043891668</v>
      </c>
      <c r="D47" s="119">
        <f t="shared" si="8"/>
        <v>2109153684</v>
      </c>
      <c r="E47" s="119">
        <f t="shared" si="8"/>
        <v>1975161115</v>
      </c>
      <c r="F47" s="79">
        <f t="shared" si="8"/>
        <v>1888582828</v>
      </c>
      <c r="G47" s="79">
        <f t="shared" si="8"/>
        <v>1619579679</v>
      </c>
      <c r="H47" s="79">
        <f t="shared" si="8"/>
        <v>1331784094</v>
      </c>
      <c r="I47" s="79">
        <f t="shared" si="8"/>
        <v>1120133557</v>
      </c>
      <c r="J47" s="79">
        <f t="shared" si="8"/>
        <v>1000787835</v>
      </c>
      <c r="K47" s="79">
        <f t="shared" si="8"/>
        <v>946813837</v>
      </c>
    </row>
    <row r="48" spans="1:11">
      <c r="C48" s="117"/>
    </row>
    <row r="49" spans="1:11">
      <c r="C49" s="119">
        <f t="shared" ref="C49:K49" si="9">C14-C47</f>
        <v>0</v>
      </c>
      <c r="D49" s="119">
        <f t="shared" si="9"/>
        <v>0</v>
      </c>
      <c r="E49" s="119">
        <f t="shared" si="9"/>
        <v>0</v>
      </c>
      <c r="F49" s="78">
        <f t="shared" si="9"/>
        <v>0</v>
      </c>
      <c r="G49" s="78">
        <f t="shared" si="9"/>
        <v>0</v>
      </c>
      <c r="H49" s="78">
        <f t="shared" si="9"/>
        <v>0</v>
      </c>
      <c r="I49" s="78">
        <f t="shared" si="9"/>
        <v>0</v>
      </c>
      <c r="J49" s="78">
        <f t="shared" si="9"/>
        <v>0</v>
      </c>
      <c r="K49" s="78">
        <f t="shared" si="9"/>
        <v>0</v>
      </c>
    </row>
    <row r="51" spans="1:11" ht="18.75">
      <c r="A51" s="81" t="s">
        <v>52</v>
      </c>
      <c r="B51" s="81"/>
      <c r="C51" s="90">
        <v>1439585531</v>
      </c>
      <c r="D51" s="120">
        <v>1404152040</v>
      </c>
      <c r="E51" s="120">
        <v>1212151638</v>
      </c>
      <c r="F51" s="83">
        <v>1056623670</v>
      </c>
      <c r="G51" s="83">
        <v>867235693</v>
      </c>
      <c r="H51" s="83">
        <v>791672945</v>
      </c>
      <c r="I51" s="121">
        <v>818876715</v>
      </c>
      <c r="J51" s="122">
        <v>746445082</v>
      </c>
      <c r="K51" s="122">
        <v>738383264</v>
      </c>
    </row>
    <row r="52" spans="1:11" ht="18.75">
      <c r="A52" s="85" t="s">
        <v>53</v>
      </c>
      <c r="B52" s="85"/>
      <c r="C52" s="123">
        <v>-1047424902</v>
      </c>
      <c r="D52" s="124">
        <v>-1010981945</v>
      </c>
      <c r="E52" s="124">
        <v>-915401279</v>
      </c>
      <c r="F52" s="83">
        <v>-797254371</v>
      </c>
      <c r="G52" s="83">
        <v>-618840103</v>
      </c>
      <c r="H52" s="83">
        <v>-517357849</v>
      </c>
      <c r="I52" s="121">
        <v>-549714684</v>
      </c>
      <c r="J52" s="122">
        <v>-441060087</v>
      </c>
      <c r="K52" s="122">
        <v>-412925399</v>
      </c>
    </row>
    <row r="53" spans="1:11" ht="18.75">
      <c r="A53" s="87" t="s">
        <v>54</v>
      </c>
      <c r="B53" s="87"/>
      <c r="C53" s="125">
        <v>392160629</v>
      </c>
      <c r="D53" s="125">
        <v>393170095</v>
      </c>
      <c r="E53" s="125">
        <v>296750359</v>
      </c>
      <c r="F53" s="89">
        <v>259369299</v>
      </c>
      <c r="G53" s="89">
        <v>248395590</v>
      </c>
      <c r="H53" s="89">
        <v>274315096</v>
      </c>
      <c r="I53" s="89">
        <v>269162031</v>
      </c>
      <c r="J53" s="89">
        <v>305384995</v>
      </c>
      <c r="K53" s="89">
        <v>325457865</v>
      </c>
    </row>
    <row r="54" spans="1:11" ht="18.75">
      <c r="A54" s="90" t="s">
        <v>55</v>
      </c>
      <c r="B54" s="90"/>
      <c r="C54" s="126">
        <v>-143599592</v>
      </c>
      <c r="D54" s="126">
        <v>-141004308</v>
      </c>
      <c r="E54" s="126">
        <v>-126026634</v>
      </c>
      <c r="F54" s="83">
        <v>-5867519</v>
      </c>
      <c r="G54" s="83">
        <v>-108343688</v>
      </c>
      <c r="H54" s="83">
        <v>-155049389</v>
      </c>
      <c r="I54" s="127">
        <v>-163692427</v>
      </c>
      <c r="J54" s="122">
        <v>-169908450</v>
      </c>
      <c r="K54" s="122">
        <v>-168684348</v>
      </c>
    </row>
    <row r="55" spans="1:11" ht="18.75">
      <c r="A55" s="90" t="s">
        <v>203</v>
      </c>
      <c r="B55" s="90"/>
      <c r="C55" s="126">
        <v>-11455956</v>
      </c>
      <c r="D55" s="126">
        <v>-9215406</v>
      </c>
      <c r="E55" s="126">
        <v>-8528951</v>
      </c>
      <c r="F55" s="83">
        <v>-134665662</v>
      </c>
      <c r="G55" s="83">
        <v>-5948846</v>
      </c>
      <c r="H55" s="83">
        <v>-3626549</v>
      </c>
      <c r="I55" s="127">
        <v>-1226573</v>
      </c>
      <c r="J55" s="122">
        <v>-5171523</v>
      </c>
      <c r="K55" s="122">
        <v>-2786596</v>
      </c>
    </row>
    <row r="56" spans="1:11" ht="18.75">
      <c r="A56" s="90" t="s">
        <v>65</v>
      </c>
      <c r="B56" s="90"/>
      <c r="C56" s="126">
        <v>8517698</v>
      </c>
      <c r="D56" s="126">
        <v>10212778</v>
      </c>
      <c r="E56" s="126">
        <v>11885947</v>
      </c>
      <c r="F56" s="83">
        <v>8975596</v>
      </c>
      <c r="G56" s="83">
        <v>8134454</v>
      </c>
      <c r="H56" s="83">
        <v>7959111</v>
      </c>
      <c r="I56" s="121">
        <v>10109971</v>
      </c>
      <c r="J56" s="122">
        <v>12680397</v>
      </c>
      <c r="K56" s="122">
        <v>13135582</v>
      </c>
    </row>
    <row r="57" spans="1:11" ht="18.75">
      <c r="A57" s="90" t="s">
        <v>204</v>
      </c>
      <c r="B57" s="90"/>
      <c r="C57" s="126"/>
      <c r="D57" s="126"/>
      <c r="E57" s="126"/>
      <c r="F57" s="121"/>
      <c r="G57" s="83">
        <v>-22759451</v>
      </c>
      <c r="H57" s="83">
        <v>-6437226</v>
      </c>
      <c r="I57" s="121"/>
      <c r="J57" s="122"/>
      <c r="K57" s="122"/>
    </row>
    <row r="58" spans="1:11" ht="18.75">
      <c r="A58" s="90" t="s">
        <v>205</v>
      </c>
      <c r="B58" s="90"/>
      <c r="C58" s="126"/>
      <c r="D58" s="126"/>
      <c r="E58" s="126"/>
      <c r="F58" s="121"/>
      <c r="G58" s="83">
        <v>-61818339</v>
      </c>
      <c r="H58" s="83">
        <v>-44193974</v>
      </c>
      <c r="I58" s="121">
        <v>-43691417</v>
      </c>
      <c r="J58" s="122">
        <v>-42523043</v>
      </c>
      <c r="K58" s="122">
        <v>-39076955</v>
      </c>
    </row>
    <row r="59" spans="1:11" ht="18.75">
      <c r="A59" s="90" t="s">
        <v>160</v>
      </c>
      <c r="B59" s="90"/>
      <c r="C59" s="126"/>
      <c r="D59" s="124">
        <v>-3605476</v>
      </c>
      <c r="E59" s="124">
        <v>-3280955</v>
      </c>
      <c r="F59" s="83">
        <v>-2555069</v>
      </c>
      <c r="G59" s="83"/>
      <c r="H59" s="121"/>
      <c r="I59" s="121"/>
      <c r="J59" s="121"/>
      <c r="K59" s="121"/>
    </row>
    <row r="60" spans="1:11" ht="18.75">
      <c r="A60" s="87" t="s">
        <v>115</v>
      </c>
      <c r="B60" s="87"/>
      <c r="C60" s="128">
        <v>245622779</v>
      </c>
      <c r="D60" s="128">
        <v>249557683</v>
      </c>
      <c r="E60" s="128">
        <v>170799766</v>
      </c>
      <c r="F60" s="89">
        <v>125256645</v>
      </c>
      <c r="G60" s="89">
        <v>57659720</v>
      </c>
      <c r="H60" s="94">
        <v>72967069</v>
      </c>
      <c r="I60" s="94">
        <v>70661585</v>
      </c>
      <c r="J60" s="89">
        <v>100462376</v>
      </c>
      <c r="K60" s="89">
        <v>128045548</v>
      </c>
    </row>
    <row r="61" spans="1:11" ht="18.75">
      <c r="A61" s="90" t="s">
        <v>161</v>
      </c>
      <c r="B61" s="90"/>
      <c r="C61" s="124">
        <v>-51967712</v>
      </c>
      <c r="D61" s="126">
        <v>-42952951</v>
      </c>
      <c r="E61" s="126">
        <v>-27918942</v>
      </c>
      <c r="F61" s="83">
        <v>-15848428</v>
      </c>
      <c r="G61" s="83">
        <v>-11667543</v>
      </c>
      <c r="H61" s="83">
        <v>-6378423</v>
      </c>
      <c r="I61" s="121">
        <v>-6201782</v>
      </c>
      <c r="J61" s="122">
        <v>-7322124</v>
      </c>
      <c r="K61" s="122">
        <v>-9454870</v>
      </c>
    </row>
    <row r="62" spans="1:11" ht="18.75">
      <c r="A62" s="95" t="s">
        <v>165</v>
      </c>
      <c r="B62" s="95"/>
      <c r="C62" s="89">
        <v>193655067</v>
      </c>
      <c r="D62" s="89">
        <v>206604732</v>
      </c>
      <c r="E62" s="89">
        <v>142880824</v>
      </c>
      <c r="F62" s="89">
        <v>109408217</v>
      </c>
      <c r="G62" s="89">
        <v>45992177</v>
      </c>
      <c r="H62" s="89">
        <v>66588646</v>
      </c>
      <c r="I62" s="89">
        <v>64459803</v>
      </c>
      <c r="J62" s="89">
        <v>93140252</v>
      </c>
      <c r="K62" s="89">
        <v>118590678</v>
      </c>
    </row>
    <row r="63" spans="1:11" ht="18.75">
      <c r="A63" s="90" t="s">
        <v>67</v>
      </c>
      <c r="B63" s="90"/>
      <c r="C63" s="124">
        <v>-8435573</v>
      </c>
      <c r="D63" s="126">
        <v>-6003547</v>
      </c>
      <c r="E63" s="126">
        <v>-4154844</v>
      </c>
      <c r="F63" s="83">
        <v>-3321202</v>
      </c>
      <c r="G63" s="83">
        <v>-1767838</v>
      </c>
      <c r="H63" s="83">
        <v>-2704847</v>
      </c>
      <c r="I63" s="121">
        <v>-2161295</v>
      </c>
      <c r="J63" s="122">
        <v>-3391195</v>
      </c>
      <c r="K63" s="122">
        <v>-3182776</v>
      </c>
    </row>
    <row r="64" spans="1:11" ht="18.75">
      <c r="A64" s="95" t="s">
        <v>166</v>
      </c>
      <c r="B64" s="95"/>
      <c r="C64" s="98">
        <v>185219494</v>
      </c>
      <c r="D64" s="98">
        <v>200601185</v>
      </c>
      <c r="E64" s="98">
        <v>138725980</v>
      </c>
      <c r="F64" s="98">
        <v>106087015</v>
      </c>
      <c r="G64" s="98">
        <v>44224339</v>
      </c>
      <c r="H64" s="98">
        <v>63883799</v>
      </c>
      <c r="I64" s="98">
        <v>62298508</v>
      </c>
      <c r="J64" s="98">
        <v>89749057</v>
      </c>
      <c r="K64" s="98">
        <v>115407902</v>
      </c>
    </row>
    <row r="65" spans="1:11" ht="18.75">
      <c r="A65" s="95" t="s">
        <v>167</v>
      </c>
      <c r="B65" s="95"/>
      <c r="C65" s="95"/>
      <c r="D65" s="95"/>
      <c r="E65" s="99"/>
      <c r="F65" s="99"/>
      <c r="G65" s="121"/>
      <c r="H65" s="121"/>
      <c r="I65" s="121"/>
      <c r="J65" s="121"/>
      <c r="K65" s="121"/>
    </row>
    <row r="66" spans="1:11" ht="18.75">
      <c r="A66" s="95" t="s">
        <v>168</v>
      </c>
      <c r="B66" s="95"/>
      <c r="C66" s="95"/>
      <c r="D66" s="95"/>
      <c r="E66" s="100"/>
      <c r="F66" s="100"/>
      <c r="G66" s="121"/>
      <c r="H66" s="121"/>
      <c r="I66" s="121"/>
      <c r="J66" s="121"/>
      <c r="K66" s="121"/>
    </row>
    <row r="67" spans="1:11" ht="18.75">
      <c r="A67" s="90" t="s">
        <v>169</v>
      </c>
      <c r="B67" s="90"/>
      <c r="C67" s="90"/>
      <c r="D67" s="90"/>
      <c r="E67" s="100"/>
      <c r="F67" s="100"/>
      <c r="G67" s="83"/>
      <c r="H67" s="121"/>
      <c r="I67" s="121"/>
      <c r="J67" s="121"/>
      <c r="K67" s="121"/>
    </row>
    <row r="68" spans="1:11" ht="18.75">
      <c r="A68" s="90" t="s">
        <v>170</v>
      </c>
      <c r="B68" s="90"/>
      <c r="C68" s="124">
        <v>-3173132</v>
      </c>
      <c r="D68" s="126">
        <v>577585</v>
      </c>
      <c r="E68" s="126">
        <v>-4976678</v>
      </c>
      <c r="F68" s="83">
        <v>-101840</v>
      </c>
      <c r="G68" s="97">
        <v>-331614</v>
      </c>
      <c r="H68" s="97">
        <v>-906031</v>
      </c>
      <c r="I68" s="121">
        <v>548111</v>
      </c>
      <c r="J68" s="122">
        <v>937000</v>
      </c>
      <c r="K68" s="122">
        <v>-2927000</v>
      </c>
    </row>
    <row r="69" spans="1:11" ht="18.75">
      <c r="A69" s="101" t="s">
        <v>116</v>
      </c>
      <c r="B69" s="101"/>
      <c r="C69" s="129">
        <v>182046362</v>
      </c>
      <c r="D69" s="130">
        <v>201178770</v>
      </c>
      <c r="E69" s="129">
        <v>133749302</v>
      </c>
      <c r="F69" s="129">
        <v>105985175</v>
      </c>
      <c r="G69" s="129">
        <v>43892725</v>
      </c>
      <c r="H69" s="129">
        <v>62977768</v>
      </c>
      <c r="I69" s="129">
        <v>62846619</v>
      </c>
      <c r="J69" s="129">
        <v>90686057</v>
      </c>
      <c r="K69" s="129">
        <v>112480902</v>
      </c>
    </row>
    <row r="72" spans="1:11">
      <c r="A72" s="71" t="s">
        <v>92</v>
      </c>
      <c r="B72" s="72" t="s">
        <v>93</v>
      </c>
      <c r="C72" s="104">
        <f>C53/C51</f>
        <v>0.27241217736301354</v>
      </c>
      <c r="D72" s="104">
        <f t="shared" ref="D72:K72" si="10">D53/D51</f>
        <v>0.28000535825166056</v>
      </c>
      <c r="E72" s="104">
        <f t="shared" si="10"/>
        <v>0.24481290104068645</v>
      </c>
      <c r="F72" s="104">
        <f t="shared" si="10"/>
        <v>0.24546989279541692</v>
      </c>
      <c r="G72" s="104">
        <f t="shared" si="10"/>
        <v>0.28642224023406287</v>
      </c>
      <c r="H72" s="104">
        <f t="shared" si="10"/>
        <v>0.34650053122631341</v>
      </c>
      <c r="I72" s="104">
        <f t="shared" si="10"/>
        <v>0.32869664757777367</v>
      </c>
      <c r="J72" s="104">
        <f t="shared" si="10"/>
        <v>0.40911917348529064</v>
      </c>
      <c r="K72" s="104">
        <f t="shared" si="10"/>
        <v>0.44077091243498173</v>
      </c>
    </row>
    <row r="73" spans="1:11">
      <c r="A73" s="71" t="s">
        <v>94</v>
      </c>
      <c r="B73" s="72" t="s">
        <v>95</v>
      </c>
      <c r="C73" s="104">
        <f>C69/C51</f>
        <v>0.12645748243492175</v>
      </c>
      <c r="D73" s="104">
        <f t="shared" ref="D73:K73" si="11">D69/D51</f>
        <v>0.14327420697262955</v>
      </c>
      <c r="E73" s="104">
        <f t="shared" si="11"/>
        <v>0.11034040445688859</v>
      </c>
      <c r="F73" s="104">
        <f t="shared" si="11"/>
        <v>0.1003055089613883</v>
      </c>
      <c r="G73" s="104">
        <f t="shared" si="11"/>
        <v>5.0612221515195406E-2</v>
      </c>
      <c r="H73" s="104">
        <f t="shared" si="11"/>
        <v>7.9550233966881365E-2</v>
      </c>
      <c r="I73" s="104">
        <f t="shared" si="11"/>
        <v>7.6747351400753894E-2</v>
      </c>
      <c r="J73" s="104">
        <f t="shared" si="11"/>
        <v>0.12149059480306149</v>
      </c>
      <c r="K73" s="104">
        <f t="shared" si="11"/>
        <v>0.15233403502493253</v>
      </c>
    </row>
    <row r="74" spans="1:11">
      <c r="A74" s="71" t="s">
        <v>96</v>
      </c>
      <c r="B74" s="72" t="s">
        <v>97</v>
      </c>
      <c r="C74" s="105">
        <f>C51/C14</f>
        <v>0.70433553477355826</v>
      </c>
      <c r="D74" s="105">
        <f t="shared" ref="D74:K74" si="12">D51/D14</f>
        <v>0.66574192798366039</v>
      </c>
      <c r="E74" s="105">
        <f t="shared" si="12"/>
        <v>0.61369760106886273</v>
      </c>
      <c r="F74" s="105">
        <f t="shared" si="12"/>
        <v>0.55947965550388878</v>
      </c>
      <c r="G74" s="105">
        <f t="shared" si="12"/>
        <v>0.53546960624714035</v>
      </c>
      <c r="H74" s="105">
        <f t="shared" si="12"/>
        <v>0.59444541241081983</v>
      </c>
      <c r="I74" s="105">
        <f t="shared" si="12"/>
        <v>0.73105274802511788</v>
      </c>
      <c r="J74" s="105">
        <f t="shared" si="12"/>
        <v>0.74585746938061048</v>
      </c>
      <c r="K74" s="105">
        <f t="shared" si="12"/>
        <v>0.779861082659695</v>
      </c>
    </row>
    <row r="75" spans="1:11">
      <c r="A75" s="71" t="s">
        <v>98</v>
      </c>
      <c r="B75" s="72" t="s">
        <v>99</v>
      </c>
      <c r="C75" s="105">
        <f>C14/C21</f>
        <v>2.4711674202174168</v>
      </c>
      <c r="D75" s="105">
        <f t="shared" ref="D75:K75" si="13">D14/D21</f>
        <v>2.1939757140632641</v>
      </c>
      <c r="E75" s="105">
        <f t="shared" si="13"/>
        <v>2.4082634703809798</v>
      </c>
      <c r="F75" s="105">
        <f t="shared" si="13"/>
        <v>2.5645785698732086</v>
      </c>
      <c r="G75" s="105">
        <f t="shared" si="13"/>
        <v>2.4339011296471078</v>
      </c>
      <c r="H75" s="105">
        <f t="shared" si="13"/>
        <v>2.0131795542065833</v>
      </c>
      <c r="I75" s="105">
        <f t="shared" si="13"/>
        <v>1.8713964388959017</v>
      </c>
      <c r="J75" s="105">
        <f t="shared" si="13"/>
        <v>1.8681581411430306</v>
      </c>
      <c r="K75" s="105">
        <f t="shared" si="13"/>
        <v>1.993198922787301</v>
      </c>
    </row>
    <row r="76" spans="1:11">
      <c r="A76" s="71" t="s">
        <v>100</v>
      </c>
      <c r="B76" s="72" t="s">
        <v>118</v>
      </c>
      <c r="C76" s="105">
        <f>C69/C21</f>
        <v>0.2201031717026922</v>
      </c>
      <c r="D76" s="105">
        <f t="shared" ref="D76:K76" si="14">D69/D21</f>
        <v>0.20926940455474138</v>
      </c>
      <c r="E76" s="105">
        <f t="shared" si="14"/>
        <v>0.1630771058367832</v>
      </c>
      <c r="F76" s="105">
        <f t="shared" si="14"/>
        <v>0.14392130675947337</v>
      </c>
      <c r="G76" s="105">
        <f t="shared" si="14"/>
        <v>6.596190008184824E-2</v>
      </c>
      <c r="H76" s="105">
        <f t="shared" si="14"/>
        <v>9.5199781615026277E-2</v>
      </c>
      <c r="I76" s="105">
        <f t="shared" si="14"/>
        <v>0.10499724631787594</v>
      </c>
      <c r="J76" s="105">
        <f t="shared" si="14"/>
        <v>0.16928252897149867</v>
      </c>
      <c r="K76" s="105">
        <f t="shared" si="14"/>
        <v>0.23679080716745374</v>
      </c>
    </row>
    <row r="77" spans="1:11">
      <c r="A77" s="71" t="s">
        <v>101</v>
      </c>
      <c r="B77" s="72" t="s">
        <v>102</v>
      </c>
      <c r="C77" s="105">
        <f>C13/C45</f>
        <v>0.75834366742383463</v>
      </c>
      <c r="D77" s="105">
        <f t="shared" ref="D77:K77" si="15">D13/D45</f>
        <v>1.0487114751701017</v>
      </c>
      <c r="E77" s="105">
        <f t="shared" si="15"/>
        <v>0.97121827736551725</v>
      </c>
      <c r="F77" s="105">
        <f t="shared" si="15"/>
        <v>0.82624431744699312</v>
      </c>
      <c r="G77" s="105">
        <f t="shared" si="15"/>
        <v>0.88413659960738256</v>
      </c>
      <c r="H77" s="105">
        <f t="shared" si="15"/>
        <v>1.581170862167059</v>
      </c>
      <c r="I77" s="105">
        <f t="shared" si="15"/>
        <v>2.4822528658859322</v>
      </c>
      <c r="J77" s="105">
        <f t="shared" si="15"/>
        <v>0.97005969102071898</v>
      </c>
      <c r="K77" s="105">
        <f t="shared" si="15"/>
        <v>1.039745442992674</v>
      </c>
    </row>
    <row r="78" spans="1:11">
      <c r="A78" s="71" t="s">
        <v>103</v>
      </c>
      <c r="B78" s="72" t="s">
        <v>104</v>
      </c>
      <c r="C78" s="105">
        <f>C46/C14</f>
        <v>0.59533296213818709</v>
      </c>
      <c r="D78" s="105">
        <f t="shared" ref="D78:K78" si="16">D46/D14</f>
        <v>0.54420644057723389</v>
      </c>
      <c r="E78" s="105">
        <f t="shared" si="16"/>
        <v>0.58476304096336973</v>
      </c>
      <c r="F78" s="105">
        <f t="shared" si="16"/>
        <v>0.61007238703962208</v>
      </c>
      <c r="G78" s="105">
        <f t="shared" si="16"/>
        <v>0.58913696706119267</v>
      </c>
      <c r="H78" s="105">
        <f t="shared" si="16"/>
        <v>0.50327331811488052</v>
      </c>
      <c r="I78" s="105">
        <f t="shared" si="16"/>
        <v>0.46563967996541328</v>
      </c>
      <c r="J78" s="105">
        <f t="shared" si="16"/>
        <v>0.46471341051023068</v>
      </c>
      <c r="K78" s="105">
        <f t="shared" si="16"/>
        <v>0.49829392913699044</v>
      </c>
    </row>
    <row r="79" spans="1:11">
      <c r="A79" s="71" t="s">
        <v>105</v>
      </c>
      <c r="B79" s="72" t="s">
        <v>106</v>
      </c>
      <c r="C79" s="105">
        <f>C46/C21</f>
        <v>1.4711674202174168</v>
      </c>
      <c r="D79" s="105">
        <f t="shared" ref="D79:K79" si="17">D46/D21</f>
        <v>1.1939757140632641</v>
      </c>
      <c r="E79" s="105">
        <f t="shared" si="17"/>
        <v>1.4082634703809798</v>
      </c>
      <c r="F79" s="105">
        <f t="shared" si="17"/>
        <v>1.5645785698732084</v>
      </c>
      <c r="G79" s="105">
        <f t="shared" si="17"/>
        <v>1.4339011296471078</v>
      </c>
      <c r="H79" s="105">
        <f t="shared" si="17"/>
        <v>1.0131795542065831</v>
      </c>
      <c r="I79" s="105">
        <f t="shared" si="17"/>
        <v>0.87139643889590179</v>
      </c>
      <c r="J79" s="105">
        <f t="shared" si="17"/>
        <v>0.86815814114303069</v>
      </c>
      <c r="K79" s="105">
        <f t="shared" si="17"/>
        <v>0.99319892278730104</v>
      </c>
    </row>
    <row r="80" spans="1:11">
      <c r="A80" s="71" t="s">
        <v>171</v>
      </c>
      <c r="B80" s="72" t="s">
        <v>206</v>
      </c>
      <c r="C80" s="105">
        <f>C69*13.02%</f>
        <v>23702436.332399998</v>
      </c>
      <c r="D80" s="105">
        <f t="shared" ref="D80:K80" si="18">D69*13.02%</f>
        <v>26193475.853999995</v>
      </c>
      <c r="E80" s="105">
        <f t="shared" si="18"/>
        <v>17414159.120399997</v>
      </c>
      <c r="F80" s="105">
        <f t="shared" si="18"/>
        <v>13799269.784999998</v>
      </c>
      <c r="G80" s="105">
        <f t="shared" si="18"/>
        <v>5714832.794999999</v>
      </c>
      <c r="H80" s="105">
        <f t="shared" si="18"/>
        <v>8199705.3935999991</v>
      </c>
      <c r="I80" s="105">
        <f t="shared" si="18"/>
        <v>8182629.7937999992</v>
      </c>
      <c r="J80" s="105">
        <f t="shared" si="18"/>
        <v>11807324.621399999</v>
      </c>
      <c r="K80" s="105">
        <f t="shared" si="18"/>
        <v>14645013.440399999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79D-2C06-4277-8663-F2BECAAE5698}">
  <sheetPr codeName="Sheet4"/>
  <dimension ref="A1:L85"/>
  <sheetViews>
    <sheetView zoomScale="73" zoomScaleNormal="73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B96" sqref="B96"/>
    </sheetView>
  </sheetViews>
  <sheetFormatPr defaultRowHeight="18"/>
  <cols>
    <col min="1" max="1" width="67" style="71" customWidth="1"/>
    <col min="2" max="2" width="39.5" style="71" customWidth="1"/>
    <col min="3" max="3" width="32.33203125" style="73" customWidth="1"/>
    <col min="4" max="4" width="28.1640625" style="117" customWidth="1"/>
    <col min="5" max="5" width="28.6640625" style="117" customWidth="1"/>
    <col min="6" max="6" width="28.6640625" style="73" customWidth="1"/>
    <col min="7" max="7" width="30.33203125" style="155" customWidth="1"/>
    <col min="8" max="8" width="36.1640625" style="155" customWidth="1"/>
    <col min="9" max="9" width="34.1640625" style="155" customWidth="1"/>
    <col min="10" max="10" width="36.1640625" style="155" customWidth="1"/>
    <col min="11" max="11" width="28.1640625" style="155" customWidth="1"/>
    <col min="12" max="12" width="28.1640625" style="73" customWidth="1"/>
    <col min="13" max="16384" width="9.33203125" style="71"/>
  </cols>
  <sheetData>
    <row r="1" spans="1:12" s="134" customFormat="1" ht="39.75" customHeight="1">
      <c r="A1" s="131" t="s">
        <v>0</v>
      </c>
      <c r="B1" s="131"/>
      <c r="C1" s="106" t="s">
        <v>120</v>
      </c>
      <c r="D1" s="132" t="s">
        <v>121</v>
      </c>
      <c r="E1" s="132" t="s">
        <v>122</v>
      </c>
      <c r="F1" s="133" t="s">
        <v>123</v>
      </c>
      <c r="G1" s="133" t="s">
        <v>124</v>
      </c>
      <c r="H1" s="133" t="s">
        <v>125</v>
      </c>
      <c r="I1" s="133" t="s">
        <v>126</v>
      </c>
      <c r="J1" s="107" t="s">
        <v>127</v>
      </c>
      <c r="K1" s="107" t="s">
        <v>128</v>
      </c>
      <c r="L1" s="107" t="s">
        <v>129</v>
      </c>
    </row>
    <row r="2" spans="1:12" s="134" customFormat="1" ht="20.25">
      <c r="A2" s="135" t="s">
        <v>110</v>
      </c>
      <c r="B2" s="135"/>
      <c r="C2" s="136"/>
      <c r="D2" s="137"/>
      <c r="E2" s="138"/>
      <c r="F2" s="139"/>
      <c r="G2" s="140"/>
      <c r="H2" s="140"/>
      <c r="I2" s="140"/>
      <c r="J2" s="140"/>
      <c r="K2" s="140"/>
      <c r="L2" s="139"/>
    </row>
    <row r="3" spans="1:12" s="144" customFormat="1" ht="20.25">
      <c r="A3" s="141" t="s">
        <v>207</v>
      </c>
      <c r="B3" s="141"/>
      <c r="C3" s="142">
        <v>106344898</v>
      </c>
      <c r="D3" s="142">
        <v>135097003</v>
      </c>
      <c r="E3" s="142">
        <v>138483252</v>
      </c>
      <c r="F3" s="141">
        <v>122845381</v>
      </c>
      <c r="G3" s="143">
        <v>69483347</v>
      </c>
      <c r="H3" s="143">
        <v>75493396</v>
      </c>
      <c r="I3" s="143">
        <v>76287489</v>
      </c>
      <c r="J3" s="143">
        <v>92188115</v>
      </c>
      <c r="K3" s="143">
        <v>102292414</v>
      </c>
      <c r="L3" s="142">
        <v>130844495</v>
      </c>
    </row>
    <row r="4" spans="1:12" s="144" customFormat="1" ht="20.25">
      <c r="A4" s="141" t="s">
        <v>208</v>
      </c>
      <c r="B4" s="141"/>
      <c r="C4" s="142">
        <v>13282262</v>
      </c>
      <c r="D4" s="142">
        <v>17354458</v>
      </c>
      <c r="E4" s="142">
        <v>26820702</v>
      </c>
      <c r="F4" s="141">
        <v>10955751</v>
      </c>
      <c r="G4" s="143">
        <v>8777279</v>
      </c>
      <c r="H4" s="143">
        <v>18168889</v>
      </c>
      <c r="I4" s="143" t="s">
        <v>209</v>
      </c>
      <c r="J4" s="143"/>
      <c r="K4" s="143"/>
      <c r="L4" s="142"/>
    </row>
    <row r="5" spans="1:12" ht="20.25">
      <c r="A5" s="108" t="s">
        <v>210</v>
      </c>
      <c r="B5" s="108"/>
      <c r="C5" s="111">
        <v>11888055</v>
      </c>
      <c r="D5" s="111">
        <v>11888055</v>
      </c>
      <c r="E5" s="111">
        <v>12713562</v>
      </c>
      <c r="F5" s="108">
        <v>14240000</v>
      </c>
      <c r="G5" s="145">
        <v>6120000</v>
      </c>
      <c r="H5" s="145">
        <v>3600000</v>
      </c>
      <c r="I5" s="145">
        <v>3609900</v>
      </c>
      <c r="J5" s="145">
        <v>3609900</v>
      </c>
      <c r="K5" s="145">
        <v>909900</v>
      </c>
      <c r="L5" s="111">
        <v>114600</v>
      </c>
    </row>
    <row r="6" spans="1:12" ht="20.25">
      <c r="A6" s="108" t="s">
        <v>211</v>
      </c>
      <c r="B6" s="108"/>
      <c r="C6" s="111">
        <v>2718198</v>
      </c>
      <c r="D6" s="111">
        <v>965457</v>
      </c>
      <c r="E6" s="111">
        <v>864207</v>
      </c>
      <c r="F6" s="108">
        <v>161250</v>
      </c>
      <c r="G6" s="145"/>
      <c r="H6" s="145"/>
      <c r="I6" s="145"/>
      <c r="J6" s="145"/>
      <c r="K6" s="145"/>
      <c r="L6" s="111"/>
    </row>
    <row r="7" spans="1:12" ht="20.25">
      <c r="A7" s="108" t="s">
        <v>140</v>
      </c>
      <c r="B7" s="108"/>
      <c r="C7" s="111">
        <v>136097641</v>
      </c>
      <c r="D7" s="111">
        <v>37241591</v>
      </c>
      <c r="E7" s="111">
        <v>244399861</v>
      </c>
      <c r="F7" s="108"/>
      <c r="G7" s="145"/>
      <c r="H7" s="145"/>
      <c r="I7" s="145"/>
      <c r="J7" s="145"/>
      <c r="K7" s="145"/>
      <c r="L7" s="111"/>
    </row>
    <row r="8" spans="1:12" ht="20.25">
      <c r="A8" s="146" t="s">
        <v>212</v>
      </c>
      <c r="B8" s="146"/>
      <c r="C8" s="111">
        <v>323398614</v>
      </c>
      <c r="D8" s="111"/>
      <c r="E8" s="111"/>
      <c r="F8" s="108"/>
      <c r="G8" s="145"/>
      <c r="H8" s="145"/>
      <c r="I8" s="145"/>
      <c r="J8" s="145"/>
      <c r="K8" s="145"/>
      <c r="L8" s="111"/>
    </row>
    <row r="9" spans="1:12" ht="20.25">
      <c r="A9" s="108" t="s">
        <v>213</v>
      </c>
      <c r="B9" s="108"/>
      <c r="C9" s="111"/>
      <c r="D9" s="111">
        <v>188770692</v>
      </c>
      <c r="E9" s="111">
        <v>226292385</v>
      </c>
      <c r="F9" s="108"/>
      <c r="G9" s="145"/>
      <c r="H9" s="145"/>
      <c r="I9" s="145"/>
      <c r="J9" s="145"/>
      <c r="K9" s="145"/>
      <c r="L9" s="111"/>
    </row>
    <row r="10" spans="1:12" s="68" customFormat="1" ht="20.25">
      <c r="A10" s="113" t="s">
        <v>214</v>
      </c>
      <c r="B10" s="113"/>
      <c r="C10" s="112">
        <f>SUM(C3:C9)</f>
        <v>593729668</v>
      </c>
      <c r="D10" s="112">
        <f t="shared" ref="D10:L10" si="0">SUM(D3:D9)</f>
        <v>391317256</v>
      </c>
      <c r="E10" s="112">
        <f t="shared" si="0"/>
        <v>649573969</v>
      </c>
      <c r="F10" s="76">
        <f t="shared" si="0"/>
        <v>148202382</v>
      </c>
      <c r="G10" s="147">
        <f t="shared" si="0"/>
        <v>84380626</v>
      </c>
      <c r="H10" s="147">
        <f t="shared" si="0"/>
        <v>97262285</v>
      </c>
      <c r="I10" s="147">
        <f t="shared" si="0"/>
        <v>79897389</v>
      </c>
      <c r="J10" s="147">
        <f t="shared" si="0"/>
        <v>95798015</v>
      </c>
      <c r="K10" s="147">
        <f t="shared" si="0"/>
        <v>103202314</v>
      </c>
      <c r="L10" s="76">
        <f t="shared" si="0"/>
        <v>130959095</v>
      </c>
    </row>
    <row r="11" spans="1:12" s="68" customFormat="1" ht="20.25">
      <c r="A11" s="113" t="s">
        <v>111</v>
      </c>
      <c r="B11" s="113"/>
      <c r="C11" s="148"/>
      <c r="D11" s="109"/>
      <c r="E11" s="109"/>
      <c r="F11" s="70"/>
      <c r="G11" s="149"/>
      <c r="H11" s="149"/>
      <c r="I11" s="149"/>
      <c r="J11" s="149"/>
      <c r="K11" s="149"/>
      <c r="L11" s="70"/>
    </row>
    <row r="12" spans="1:12" s="68" customFormat="1" ht="20.25">
      <c r="A12" s="108" t="s">
        <v>140</v>
      </c>
      <c r="B12" s="108"/>
      <c r="C12" s="109">
        <v>2055499989</v>
      </c>
      <c r="D12" s="109">
        <v>2387202269</v>
      </c>
      <c r="E12" s="109">
        <v>1345642099</v>
      </c>
      <c r="F12" s="70"/>
      <c r="G12" s="149"/>
      <c r="H12" s="149"/>
      <c r="I12" s="149"/>
      <c r="J12" s="111"/>
      <c r="K12" s="111"/>
      <c r="L12" s="111"/>
    </row>
    <row r="13" spans="1:12" s="68" customFormat="1" ht="20.25">
      <c r="A13" s="108" t="s">
        <v>213</v>
      </c>
      <c r="B13" s="108"/>
      <c r="C13" s="109"/>
      <c r="D13" s="109">
        <v>154038139</v>
      </c>
      <c r="E13" s="109">
        <v>0</v>
      </c>
      <c r="F13" s="145"/>
      <c r="G13" s="149"/>
      <c r="H13" s="149"/>
      <c r="I13" s="149"/>
      <c r="J13" s="111"/>
      <c r="K13" s="111"/>
      <c r="L13" s="111"/>
    </row>
    <row r="14" spans="1:12" s="68" customFormat="1" ht="20.25">
      <c r="A14" s="146" t="s">
        <v>212</v>
      </c>
      <c r="B14" s="146"/>
      <c r="C14" s="109">
        <v>106004766</v>
      </c>
      <c r="D14" s="109"/>
      <c r="E14" s="109"/>
      <c r="F14" s="145"/>
      <c r="G14" s="149"/>
      <c r="H14" s="149"/>
      <c r="I14" s="149"/>
      <c r="J14" s="111"/>
      <c r="K14" s="111"/>
      <c r="L14" s="111"/>
    </row>
    <row r="15" spans="1:12" ht="20.25">
      <c r="A15" s="108" t="s">
        <v>215</v>
      </c>
      <c r="B15" s="108"/>
      <c r="C15" s="109">
        <v>772563196</v>
      </c>
      <c r="D15" s="109">
        <v>220662013</v>
      </c>
      <c r="E15" s="109">
        <v>217326247</v>
      </c>
      <c r="F15" s="145">
        <v>0</v>
      </c>
      <c r="G15" s="145" t="s">
        <v>209</v>
      </c>
      <c r="H15" s="145">
        <v>3382238</v>
      </c>
      <c r="I15" s="145">
        <v>3041420</v>
      </c>
      <c r="J15" s="111">
        <v>2902895</v>
      </c>
      <c r="K15" s="111">
        <v>0</v>
      </c>
      <c r="L15" s="111">
        <v>33626</v>
      </c>
    </row>
    <row r="16" spans="1:12" ht="20.25">
      <c r="A16" s="108" t="s">
        <v>216</v>
      </c>
      <c r="B16" s="108"/>
      <c r="C16" s="109"/>
      <c r="D16" s="109"/>
      <c r="E16" s="109"/>
      <c r="F16" s="145"/>
      <c r="G16" s="145"/>
      <c r="H16" s="145"/>
      <c r="I16" s="145"/>
      <c r="J16" s="111">
        <v>261341</v>
      </c>
      <c r="K16" s="111">
        <v>263359</v>
      </c>
      <c r="L16" s="111">
        <v>265375</v>
      </c>
    </row>
    <row r="17" spans="1:12" ht="20.25">
      <c r="A17" s="108" t="s">
        <v>217</v>
      </c>
      <c r="B17" s="108"/>
      <c r="C17" s="109"/>
      <c r="D17" s="109"/>
      <c r="E17" s="109"/>
      <c r="F17" s="145"/>
      <c r="G17" s="145"/>
      <c r="H17" s="145"/>
      <c r="I17" s="145"/>
      <c r="J17" s="111">
        <v>35834625</v>
      </c>
      <c r="K17" s="111">
        <v>159549769</v>
      </c>
      <c r="L17" s="111">
        <v>217441279</v>
      </c>
    </row>
    <row r="18" spans="1:12" ht="20.25">
      <c r="A18" s="108" t="s">
        <v>218</v>
      </c>
      <c r="B18" s="108"/>
      <c r="C18" s="109"/>
      <c r="D18" s="109"/>
      <c r="E18" s="109"/>
      <c r="F18" s="145"/>
      <c r="G18" s="145"/>
      <c r="H18" s="145"/>
      <c r="I18" s="145"/>
      <c r="J18" s="111">
        <v>204815047</v>
      </c>
      <c r="K18" s="111">
        <v>253485191</v>
      </c>
      <c r="L18" s="111">
        <v>346674496</v>
      </c>
    </row>
    <row r="19" spans="1:12" ht="20.25">
      <c r="A19" s="108" t="s">
        <v>219</v>
      </c>
      <c r="B19" s="108"/>
      <c r="C19" s="111"/>
      <c r="D19" s="109"/>
      <c r="E19" s="109"/>
      <c r="F19" s="145">
        <v>1266353253</v>
      </c>
      <c r="G19" s="145">
        <v>1212754407</v>
      </c>
      <c r="H19" s="145">
        <v>953597429</v>
      </c>
      <c r="I19" s="145">
        <v>637686357</v>
      </c>
      <c r="J19" s="111"/>
      <c r="K19" s="111"/>
      <c r="L19" s="111"/>
    </row>
    <row r="20" spans="1:12" ht="20.25">
      <c r="A20" s="108" t="s">
        <v>220</v>
      </c>
      <c r="B20" s="108"/>
      <c r="C20" s="109">
        <v>787463520</v>
      </c>
      <c r="D20" s="109">
        <v>1144896245</v>
      </c>
      <c r="E20" s="109">
        <v>809075517</v>
      </c>
      <c r="F20" s="145">
        <v>651167972</v>
      </c>
      <c r="G20" s="145">
        <v>711832561</v>
      </c>
      <c r="H20" s="145">
        <v>897727484</v>
      </c>
      <c r="I20" s="145">
        <v>1197290681</v>
      </c>
      <c r="J20" s="111">
        <f>350000000+1043777402+18656643-10000+1</f>
        <v>1412424046</v>
      </c>
      <c r="K20" s="111">
        <f>375000000+863814464+14555591+1</f>
        <v>1253370056</v>
      </c>
      <c r="L20" s="111">
        <f>855486639+15963523</f>
        <v>871450162</v>
      </c>
    </row>
    <row r="21" spans="1:12" ht="20.25">
      <c r="A21" s="108" t="s">
        <v>175</v>
      </c>
      <c r="B21" s="108"/>
      <c r="C21" s="109">
        <v>29428397</v>
      </c>
      <c r="D21" s="109">
        <v>22750130</v>
      </c>
      <c r="E21" s="109">
        <v>37718699</v>
      </c>
      <c r="F21" s="145">
        <v>68822626</v>
      </c>
      <c r="G21" s="145">
        <v>48042050</v>
      </c>
      <c r="H21" s="145">
        <v>82353626</v>
      </c>
      <c r="I21" s="145">
        <v>230712038</v>
      </c>
      <c r="J21" s="111">
        <v>173659349</v>
      </c>
      <c r="K21" s="111">
        <v>303245708</v>
      </c>
      <c r="L21" s="111">
        <v>365873999</v>
      </c>
    </row>
    <row r="22" spans="1:12" s="68" customFormat="1" ht="20.25">
      <c r="A22" s="113" t="s">
        <v>221</v>
      </c>
      <c r="B22" s="113"/>
      <c r="C22" s="150">
        <f>SUM(C12:C21)</f>
        <v>3750959868</v>
      </c>
      <c r="D22" s="150">
        <f>SUM(D12:D21)</f>
        <v>3929548796</v>
      </c>
      <c r="E22" s="150">
        <f>SUM(E12:E21)</f>
        <v>2409762562</v>
      </c>
      <c r="F22" s="150">
        <f t="shared" ref="F22" si="1">SUM(F15:F21)</f>
        <v>1986343851</v>
      </c>
      <c r="G22" s="150">
        <f>SUM(G15:G21)</f>
        <v>1972629018</v>
      </c>
      <c r="H22" s="150">
        <f t="shared" ref="H22:L22" si="2">SUM(H15:H21)</f>
        <v>1937060777</v>
      </c>
      <c r="I22" s="150">
        <f t="shared" si="2"/>
        <v>2068730496</v>
      </c>
      <c r="J22" s="150">
        <f t="shared" si="2"/>
        <v>1829897303</v>
      </c>
      <c r="K22" s="150">
        <f t="shared" si="2"/>
        <v>1969914083</v>
      </c>
      <c r="L22" s="150">
        <f t="shared" si="2"/>
        <v>1801738937</v>
      </c>
    </row>
    <row r="23" spans="1:12" s="68" customFormat="1" ht="20.25">
      <c r="A23" s="113" t="s">
        <v>112</v>
      </c>
      <c r="B23" s="113"/>
      <c r="C23" s="78">
        <f t="shared" ref="C23:L23" si="3">C10+C22</f>
        <v>4344689536</v>
      </c>
      <c r="D23" s="78">
        <f t="shared" si="3"/>
        <v>4320866052</v>
      </c>
      <c r="E23" s="78">
        <f t="shared" si="3"/>
        <v>3059336531</v>
      </c>
      <c r="F23" s="78">
        <f t="shared" si="3"/>
        <v>2134546233</v>
      </c>
      <c r="G23" s="151">
        <f t="shared" si="3"/>
        <v>2057009644</v>
      </c>
      <c r="H23" s="151">
        <f t="shared" si="3"/>
        <v>2034323062</v>
      </c>
      <c r="I23" s="151">
        <f t="shared" si="3"/>
        <v>2148627885</v>
      </c>
      <c r="J23" s="151">
        <f t="shared" si="3"/>
        <v>1925695318</v>
      </c>
      <c r="K23" s="151">
        <f t="shared" si="3"/>
        <v>2073116397</v>
      </c>
      <c r="L23" s="78">
        <f t="shared" si="3"/>
        <v>1932698032</v>
      </c>
    </row>
    <row r="24" spans="1:12" s="68" customFormat="1" ht="20.25">
      <c r="A24" s="113" t="s">
        <v>222</v>
      </c>
      <c r="B24" s="113"/>
      <c r="C24" s="148"/>
      <c r="D24" s="109"/>
      <c r="E24" s="109"/>
      <c r="F24" s="70"/>
      <c r="G24" s="149"/>
      <c r="H24" s="149"/>
      <c r="I24" s="149"/>
      <c r="J24" s="149"/>
      <c r="K24" s="149"/>
      <c r="L24" s="70"/>
    </row>
    <row r="25" spans="1:12" ht="20.25">
      <c r="A25" s="113" t="s">
        <v>143</v>
      </c>
      <c r="B25" s="113"/>
      <c r="C25" s="148"/>
      <c r="D25" s="109"/>
      <c r="E25" s="109"/>
      <c r="F25" s="111"/>
      <c r="G25" s="145"/>
      <c r="H25" s="145"/>
      <c r="I25" s="145"/>
      <c r="J25" s="145"/>
      <c r="K25" s="145"/>
      <c r="L25" s="111"/>
    </row>
    <row r="26" spans="1:12" ht="20.25">
      <c r="A26" s="111" t="s">
        <v>180</v>
      </c>
      <c r="B26" s="111"/>
      <c r="C26" s="111">
        <v>50000000</v>
      </c>
      <c r="D26" s="111">
        <v>50000000</v>
      </c>
      <c r="E26" s="111">
        <v>50000000</v>
      </c>
      <c r="F26" s="145">
        <v>50000000</v>
      </c>
      <c r="G26" s="145">
        <v>50000000</v>
      </c>
      <c r="H26" s="145">
        <v>50000000</v>
      </c>
      <c r="I26" s="145">
        <v>50000000</v>
      </c>
      <c r="J26" s="145">
        <v>50000000</v>
      </c>
      <c r="K26" s="145">
        <v>50000000</v>
      </c>
      <c r="L26" s="145">
        <v>50000000</v>
      </c>
    </row>
    <row r="27" spans="1:12" ht="20.25">
      <c r="A27" s="111" t="s">
        <v>181</v>
      </c>
      <c r="B27" s="111"/>
      <c r="C27" s="111">
        <v>25000000</v>
      </c>
      <c r="D27" s="111">
        <v>25000000</v>
      </c>
      <c r="E27" s="111">
        <v>25000000</v>
      </c>
      <c r="F27" s="145">
        <v>25000000</v>
      </c>
      <c r="G27" s="145">
        <v>25000000</v>
      </c>
      <c r="H27" s="145">
        <v>25000000</v>
      </c>
      <c r="I27" s="145">
        <v>25000000</v>
      </c>
      <c r="J27" s="145">
        <v>25000000</v>
      </c>
      <c r="K27" s="145">
        <v>25000000</v>
      </c>
      <c r="L27" s="145">
        <v>25000000</v>
      </c>
    </row>
    <row r="28" spans="1:12" ht="20.25">
      <c r="A28" s="111" t="s">
        <v>223</v>
      </c>
      <c r="B28" s="111"/>
      <c r="C28" s="111"/>
      <c r="D28" s="111"/>
      <c r="E28" s="111"/>
      <c r="F28" s="145"/>
      <c r="G28" s="145"/>
      <c r="H28" s="145"/>
      <c r="I28" s="145"/>
      <c r="J28" s="145"/>
      <c r="K28" s="145"/>
      <c r="L28" s="152">
        <v>100000</v>
      </c>
    </row>
    <row r="29" spans="1:12" ht="20.25">
      <c r="A29" s="111" t="s">
        <v>182</v>
      </c>
      <c r="B29" s="111"/>
      <c r="C29" s="111">
        <v>116599207</v>
      </c>
      <c r="D29" s="111">
        <v>152367359</v>
      </c>
      <c r="E29" s="111">
        <v>124808023</v>
      </c>
      <c r="F29" s="111">
        <v>252681451</v>
      </c>
      <c r="G29" s="145">
        <v>147528145</v>
      </c>
      <c r="H29" s="152">
        <v>116778048</v>
      </c>
      <c r="I29" s="145">
        <v>209462288</v>
      </c>
      <c r="J29" s="145">
        <v>239336260</v>
      </c>
      <c r="K29" s="145">
        <v>261360642</v>
      </c>
      <c r="L29" s="111">
        <v>301317261</v>
      </c>
    </row>
    <row r="30" spans="1:12" s="68" customFormat="1" ht="20.25">
      <c r="A30" s="113" t="s">
        <v>113</v>
      </c>
      <c r="B30" s="113"/>
      <c r="C30" s="76">
        <f>SUM(C26:C29)</f>
        <v>191599207</v>
      </c>
      <c r="D30" s="76">
        <f t="shared" ref="D30:F30" si="4">SUM(D26:D29)</f>
        <v>227367359</v>
      </c>
      <c r="E30" s="76">
        <f t="shared" si="4"/>
        <v>199808023</v>
      </c>
      <c r="F30" s="76">
        <f t="shared" si="4"/>
        <v>327681451</v>
      </c>
      <c r="G30" s="147">
        <f>SUM(G26:G29)</f>
        <v>222528145</v>
      </c>
      <c r="H30" s="147">
        <f t="shared" ref="H30:L30" si="5">SUM(H26:H29)</f>
        <v>191778048</v>
      </c>
      <c r="I30" s="147">
        <f t="shared" si="5"/>
        <v>284462288</v>
      </c>
      <c r="J30" s="147">
        <f t="shared" si="5"/>
        <v>314336260</v>
      </c>
      <c r="K30" s="147">
        <f t="shared" si="5"/>
        <v>336360642</v>
      </c>
      <c r="L30" s="76">
        <f t="shared" si="5"/>
        <v>376417261</v>
      </c>
    </row>
    <row r="31" spans="1:12" s="68" customFormat="1" ht="20.25">
      <c r="A31" s="113" t="s">
        <v>114</v>
      </c>
      <c r="B31" s="113"/>
      <c r="C31" s="148"/>
      <c r="D31" s="109"/>
      <c r="E31" s="109"/>
      <c r="F31" s="70"/>
      <c r="G31" s="149"/>
      <c r="H31" s="149"/>
      <c r="I31" s="149"/>
      <c r="J31" s="149"/>
      <c r="K31" s="149"/>
      <c r="L31" s="70"/>
    </row>
    <row r="32" spans="1:12" s="68" customFormat="1" ht="20.25">
      <c r="A32" s="108" t="s">
        <v>224</v>
      </c>
      <c r="B32" s="108"/>
      <c r="C32" s="111"/>
      <c r="D32" s="111">
        <v>400000000</v>
      </c>
      <c r="E32" s="109">
        <v>0</v>
      </c>
      <c r="F32" s="70"/>
      <c r="G32" s="149"/>
      <c r="H32" s="149"/>
      <c r="I32" s="149"/>
      <c r="J32" s="149"/>
      <c r="K32" s="149"/>
      <c r="L32" s="70"/>
    </row>
    <row r="33" spans="1:12" ht="20.25">
      <c r="A33" s="111" t="s">
        <v>225</v>
      </c>
      <c r="B33" s="111"/>
      <c r="C33" s="111"/>
      <c r="D33" s="73">
        <v>9083854</v>
      </c>
      <c r="E33" s="111">
        <v>13610808</v>
      </c>
      <c r="F33" s="111">
        <v>3091787</v>
      </c>
      <c r="G33" s="145">
        <v>2042508</v>
      </c>
      <c r="H33" s="145">
        <v>9929652</v>
      </c>
      <c r="I33" s="145"/>
      <c r="J33" s="145"/>
      <c r="K33" s="145"/>
      <c r="L33" s="111"/>
    </row>
    <row r="34" spans="1:12" ht="20.25">
      <c r="A34" s="111" t="s">
        <v>226</v>
      </c>
      <c r="B34" s="111"/>
      <c r="C34" s="111">
        <v>183048098</v>
      </c>
      <c r="D34" s="73">
        <v>146976126</v>
      </c>
      <c r="E34" s="111">
        <v>122533268</v>
      </c>
      <c r="F34" s="111"/>
      <c r="G34" s="145"/>
      <c r="H34" s="145"/>
      <c r="I34" s="145"/>
      <c r="J34" s="145"/>
      <c r="K34" s="145"/>
      <c r="L34" s="111"/>
    </row>
    <row r="35" spans="1:12" ht="20.25">
      <c r="A35" s="111" t="s">
        <v>227</v>
      </c>
      <c r="B35" s="111"/>
      <c r="C35" s="111">
        <v>132166215</v>
      </c>
      <c r="D35" s="111">
        <v>152047829</v>
      </c>
      <c r="E35" s="111">
        <v>142238962</v>
      </c>
      <c r="F35" s="111">
        <v>127686627</v>
      </c>
      <c r="G35" s="145">
        <v>116989406</v>
      </c>
      <c r="H35" s="145">
        <v>120085918</v>
      </c>
      <c r="I35" s="145">
        <v>93747063</v>
      </c>
      <c r="J35" s="145">
        <v>90619693</v>
      </c>
      <c r="K35" s="145">
        <v>86429185</v>
      </c>
      <c r="L35" s="111">
        <v>81631999</v>
      </c>
    </row>
    <row r="36" spans="1:12" s="68" customFormat="1" ht="20.25">
      <c r="A36" s="113" t="s">
        <v>228</v>
      </c>
      <c r="B36" s="113"/>
      <c r="C36" s="76">
        <f>SUM(C32:C35)</f>
        <v>315214313</v>
      </c>
      <c r="D36" s="76">
        <f>SUM(D32:D35)</f>
        <v>708107809</v>
      </c>
      <c r="E36" s="76">
        <f>SUM(E32:E35)</f>
        <v>278383038</v>
      </c>
      <c r="F36" s="76">
        <f t="shared" ref="F36:L36" si="6">SUM(F33:F35)</f>
        <v>130778414</v>
      </c>
      <c r="G36" s="147">
        <f t="shared" si="6"/>
        <v>119031914</v>
      </c>
      <c r="H36" s="147">
        <f t="shared" si="6"/>
        <v>130015570</v>
      </c>
      <c r="I36" s="147">
        <f t="shared" si="6"/>
        <v>93747063</v>
      </c>
      <c r="J36" s="147">
        <f t="shared" si="6"/>
        <v>90619693</v>
      </c>
      <c r="K36" s="147">
        <f t="shared" si="6"/>
        <v>86429185</v>
      </c>
      <c r="L36" s="76">
        <f t="shared" si="6"/>
        <v>81631999</v>
      </c>
    </row>
    <row r="37" spans="1:12" s="68" customFormat="1" ht="20.25">
      <c r="A37" s="113" t="s">
        <v>107</v>
      </c>
      <c r="B37" s="113"/>
      <c r="C37" s="148"/>
      <c r="D37" s="109"/>
      <c r="E37" s="109"/>
      <c r="F37" s="70"/>
      <c r="G37" s="149"/>
      <c r="H37" s="149"/>
      <c r="I37" s="149"/>
      <c r="J37" s="149"/>
      <c r="K37" s="149"/>
      <c r="L37" s="70"/>
    </row>
    <row r="38" spans="1:12" ht="20.25">
      <c r="A38" s="111" t="s">
        <v>229</v>
      </c>
      <c r="B38" s="111"/>
      <c r="C38" s="153">
        <v>1629925011</v>
      </c>
      <c r="D38" s="111">
        <v>1520317284</v>
      </c>
      <c r="E38" s="111">
        <v>782132061</v>
      </c>
      <c r="F38" s="111">
        <v>275000000</v>
      </c>
      <c r="G38" s="145">
        <v>407425553</v>
      </c>
      <c r="H38" s="145">
        <v>431353948</v>
      </c>
      <c r="I38" s="145" t="s">
        <v>209</v>
      </c>
      <c r="J38" s="145">
        <v>0</v>
      </c>
      <c r="K38" s="145">
        <v>295886731</v>
      </c>
      <c r="L38" s="111">
        <v>268997296</v>
      </c>
    </row>
    <row r="39" spans="1:12" ht="20.25">
      <c r="A39" s="111" t="s">
        <v>230</v>
      </c>
      <c r="B39" s="111"/>
      <c r="C39" s="111"/>
      <c r="D39" s="111"/>
      <c r="E39" s="111"/>
      <c r="F39" s="111"/>
      <c r="G39" s="145"/>
      <c r="H39" s="145"/>
      <c r="I39" s="145"/>
      <c r="J39" s="145">
        <v>24148942</v>
      </c>
      <c r="K39" s="145">
        <v>196322277</v>
      </c>
      <c r="L39" s="111">
        <v>126237578</v>
      </c>
    </row>
    <row r="40" spans="1:12" ht="20.25">
      <c r="A40" s="111" t="s">
        <v>231</v>
      </c>
      <c r="B40" s="111"/>
      <c r="C40" s="111"/>
      <c r="D40" s="111"/>
      <c r="E40" s="111"/>
      <c r="F40" s="111"/>
      <c r="G40" s="145">
        <v>4426663</v>
      </c>
      <c r="H40" s="145" t="s">
        <v>209</v>
      </c>
      <c r="I40" s="145" t="s">
        <v>209</v>
      </c>
      <c r="J40" s="145"/>
      <c r="K40" s="145"/>
      <c r="L40" s="111"/>
    </row>
    <row r="41" spans="1:12" ht="20.25">
      <c r="A41" s="111" t="s">
        <v>232</v>
      </c>
      <c r="B41" s="111"/>
      <c r="C41" s="153">
        <v>303529422</v>
      </c>
      <c r="D41" s="111">
        <v>142373946</v>
      </c>
      <c r="E41" s="111">
        <v>252707225</v>
      </c>
      <c r="F41" s="111">
        <v>48521872</v>
      </c>
      <c r="G41" s="145">
        <v>15339202</v>
      </c>
      <c r="H41" s="145">
        <v>64608248</v>
      </c>
      <c r="I41" s="145">
        <v>39429217</v>
      </c>
      <c r="J41" s="145"/>
      <c r="K41" s="145"/>
      <c r="L41" s="111"/>
    </row>
    <row r="42" spans="1:12" ht="20.25">
      <c r="A42" s="111" t="s">
        <v>233</v>
      </c>
      <c r="B42" s="111"/>
      <c r="C42" s="111">
        <v>13429563</v>
      </c>
      <c r="D42" s="111">
        <v>8872750</v>
      </c>
      <c r="E42" s="111">
        <v>12057091</v>
      </c>
      <c r="F42" s="111">
        <v>4429305</v>
      </c>
      <c r="G42" s="145">
        <v>7611195</v>
      </c>
      <c r="H42" s="152">
        <v>5807178</v>
      </c>
      <c r="I42" s="145" t="s">
        <v>209</v>
      </c>
      <c r="J42" s="145"/>
      <c r="K42" s="145"/>
      <c r="L42" s="111"/>
    </row>
    <row r="43" spans="1:12" ht="30.75" customHeight="1">
      <c r="A43" s="111" t="s">
        <v>234</v>
      </c>
      <c r="B43" s="111"/>
      <c r="C43" s="111">
        <v>1362922099</v>
      </c>
      <c r="D43" s="111">
        <v>1500786781</v>
      </c>
      <c r="E43" s="111">
        <v>1349025893</v>
      </c>
      <c r="F43" s="111">
        <v>967851936</v>
      </c>
      <c r="G43" s="145">
        <v>964293013</v>
      </c>
      <c r="H43" s="145">
        <v>819695368</v>
      </c>
      <c r="I43" s="145">
        <v>903568456</v>
      </c>
      <c r="J43" s="145">
        <f>602375014+311870669+62578867</f>
        <v>976824550</v>
      </c>
      <c r="K43" s="145">
        <f>603689567+404287885+78396120</f>
        <v>1086373572</v>
      </c>
      <c r="L43" s="111">
        <f>478429745+407581495+92299452</f>
        <v>978310692</v>
      </c>
    </row>
    <row r="44" spans="1:12" ht="20.25">
      <c r="A44" s="111" t="s">
        <v>235</v>
      </c>
      <c r="B44" s="111"/>
      <c r="C44" s="111">
        <v>123758347</v>
      </c>
      <c r="D44" s="111">
        <v>42530618</v>
      </c>
      <c r="E44" s="111">
        <v>65923563</v>
      </c>
      <c r="F44" s="111">
        <v>321328514</v>
      </c>
      <c r="G44" s="145">
        <v>266886961</v>
      </c>
      <c r="H44" s="145">
        <v>228853693</v>
      </c>
      <c r="I44" s="145">
        <v>520011859</v>
      </c>
      <c r="J44" s="145"/>
      <c r="K44" s="145"/>
      <c r="L44" s="111"/>
    </row>
    <row r="45" spans="1:12" ht="20.25">
      <c r="A45" s="111" t="s">
        <v>236</v>
      </c>
      <c r="B45" s="111"/>
      <c r="C45" s="153">
        <v>360539907</v>
      </c>
      <c r="D45" s="111">
        <v>34336146</v>
      </c>
      <c r="E45" s="111">
        <v>60482745</v>
      </c>
      <c r="F45" s="111">
        <v>41463382</v>
      </c>
      <c r="G45" s="145">
        <v>38762693</v>
      </c>
      <c r="H45" s="145">
        <v>148505761</v>
      </c>
      <c r="I45" s="145">
        <v>290546849</v>
      </c>
      <c r="J45" s="145"/>
      <c r="K45" s="145"/>
      <c r="L45" s="111"/>
    </row>
    <row r="46" spans="1:12" ht="20.25">
      <c r="A46" s="111" t="s">
        <v>237</v>
      </c>
      <c r="B46" s="111"/>
      <c r="C46" s="111"/>
      <c r="D46" s="111"/>
      <c r="E46" s="111"/>
      <c r="F46" s="111"/>
      <c r="G46" s="145"/>
      <c r="H46" s="145"/>
      <c r="I46" s="145"/>
      <c r="J46" s="145">
        <v>519765873</v>
      </c>
      <c r="K46" s="145">
        <v>62942759</v>
      </c>
      <c r="L46" s="111">
        <v>70512116</v>
      </c>
    </row>
    <row r="47" spans="1:12" ht="20.25">
      <c r="A47" s="111" t="s">
        <v>238</v>
      </c>
      <c r="B47" s="111"/>
      <c r="C47" s="111">
        <v>31319264</v>
      </c>
      <c r="D47" s="111">
        <v>24242816</v>
      </c>
      <c r="E47" s="111">
        <v>17659885</v>
      </c>
      <c r="F47" s="111">
        <v>13338532</v>
      </c>
      <c r="G47" s="145">
        <v>10704305</v>
      </c>
      <c r="H47" s="145">
        <v>13705248</v>
      </c>
      <c r="I47" s="145">
        <v>16862153</v>
      </c>
      <c r="J47" s="145"/>
      <c r="K47" s="145"/>
      <c r="L47" s="111"/>
    </row>
    <row r="48" spans="1:12" ht="20.25">
      <c r="A48" s="108" t="s">
        <v>239</v>
      </c>
      <c r="B48" s="108"/>
      <c r="C48" s="111">
        <v>12452403</v>
      </c>
      <c r="D48" s="117">
        <v>12640420</v>
      </c>
      <c r="E48" s="111">
        <v>12828427</v>
      </c>
      <c r="F48" s="111"/>
      <c r="G48" s="145"/>
      <c r="H48" s="145"/>
      <c r="I48" s="145"/>
      <c r="J48" s="145"/>
      <c r="K48" s="145"/>
      <c r="L48" s="111"/>
    </row>
    <row r="49" spans="1:12" ht="20.25">
      <c r="A49" s="111" t="s">
        <v>240</v>
      </c>
      <c r="B49" s="111"/>
      <c r="C49" s="111"/>
      <c r="D49" s="111">
        <v>98334939</v>
      </c>
      <c r="E49" s="111">
        <v>24175753</v>
      </c>
      <c r="F49" s="111"/>
      <c r="G49" s="145"/>
      <c r="H49" s="145"/>
      <c r="I49" s="145"/>
      <c r="J49" s="145"/>
      <c r="K49" s="145"/>
      <c r="L49" s="111"/>
    </row>
    <row r="50" spans="1:12" ht="20.25">
      <c r="A50" s="111" t="s">
        <v>241</v>
      </c>
      <c r="B50" s="111"/>
      <c r="C50" s="111">
        <v>0</v>
      </c>
      <c r="D50" s="111">
        <v>955184</v>
      </c>
      <c r="E50" s="111">
        <v>4152827</v>
      </c>
      <c r="F50" s="111">
        <v>4152827</v>
      </c>
      <c r="G50" s="145"/>
      <c r="H50" s="145"/>
      <c r="I50" s="145"/>
      <c r="J50" s="145">
        <v>0</v>
      </c>
      <c r="K50" s="145">
        <v>8801231</v>
      </c>
      <c r="L50" s="111">
        <v>30591090</v>
      </c>
    </row>
    <row r="51" spans="1:12" s="68" customFormat="1">
      <c r="A51" s="68" t="s">
        <v>242</v>
      </c>
      <c r="C51" s="77">
        <f>SUM(C38:C50)</f>
        <v>3837876016</v>
      </c>
      <c r="D51" s="77">
        <f t="shared" ref="D51:L51" si="7">SUM(D38:D50)</f>
        <v>3385390884</v>
      </c>
      <c r="E51" s="77">
        <f t="shared" si="7"/>
        <v>2581145470</v>
      </c>
      <c r="F51" s="77">
        <f t="shared" si="7"/>
        <v>1676086368</v>
      </c>
      <c r="G51" s="150">
        <f t="shared" si="7"/>
        <v>1715449585</v>
      </c>
      <c r="H51" s="150">
        <f t="shared" si="7"/>
        <v>1712529444</v>
      </c>
      <c r="I51" s="150">
        <f t="shared" si="7"/>
        <v>1770418534</v>
      </c>
      <c r="J51" s="150">
        <f t="shared" si="7"/>
        <v>1520739365</v>
      </c>
      <c r="K51" s="150">
        <f t="shared" si="7"/>
        <v>1650326570</v>
      </c>
      <c r="L51" s="77">
        <f t="shared" si="7"/>
        <v>1474648772</v>
      </c>
    </row>
    <row r="52" spans="1:12" s="68" customFormat="1">
      <c r="A52" s="68" t="s">
        <v>108</v>
      </c>
      <c r="C52" s="118">
        <f t="shared" ref="C52:L52" si="8">C36+C51</f>
        <v>4153090329</v>
      </c>
      <c r="D52" s="118">
        <f t="shared" si="8"/>
        <v>4093498693</v>
      </c>
      <c r="E52" s="118">
        <f t="shared" si="8"/>
        <v>2859528508</v>
      </c>
      <c r="F52" s="76">
        <f t="shared" si="8"/>
        <v>1806864782</v>
      </c>
      <c r="G52" s="147">
        <f t="shared" si="8"/>
        <v>1834481499</v>
      </c>
      <c r="H52" s="147">
        <f t="shared" si="8"/>
        <v>1842545014</v>
      </c>
      <c r="I52" s="147">
        <f t="shared" si="8"/>
        <v>1864165597</v>
      </c>
      <c r="J52" s="147">
        <f t="shared" si="8"/>
        <v>1611359058</v>
      </c>
      <c r="K52" s="147">
        <f t="shared" si="8"/>
        <v>1736755755</v>
      </c>
      <c r="L52" s="76">
        <f t="shared" si="8"/>
        <v>1556280771</v>
      </c>
    </row>
    <row r="53" spans="1:12" s="68" customFormat="1">
      <c r="A53" s="68" t="s">
        <v>109</v>
      </c>
      <c r="C53" s="119">
        <f t="shared" ref="C53:L53" si="9">C52+C30</f>
        <v>4344689536</v>
      </c>
      <c r="D53" s="119">
        <f t="shared" si="9"/>
        <v>4320866052</v>
      </c>
      <c r="E53" s="119">
        <f t="shared" si="9"/>
        <v>3059336531</v>
      </c>
      <c r="F53" s="79">
        <f t="shared" si="9"/>
        <v>2134546233</v>
      </c>
      <c r="G53" s="154">
        <f t="shared" si="9"/>
        <v>2057009644</v>
      </c>
      <c r="H53" s="154">
        <f t="shared" si="9"/>
        <v>2034323062</v>
      </c>
      <c r="I53" s="154">
        <f t="shared" si="9"/>
        <v>2148627885</v>
      </c>
      <c r="J53" s="154">
        <f t="shared" si="9"/>
        <v>1925695318</v>
      </c>
      <c r="K53" s="154">
        <f t="shared" si="9"/>
        <v>2073116397</v>
      </c>
      <c r="L53" s="79">
        <f t="shared" si="9"/>
        <v>1932698032</v>
      </c>
    </row>
    <row r="54" spans="1:12">
      <c r="C54" s="117"/>
    </row>
    <row r="55" spans="1:12">
      <c r="C55" s="119">
        <f t="shared" ref="C55:L55" si="10">C23-C53</f>
        <v>0</v>
      </c>
      <c r="D55" s="119">
        <f t="shared" si="10"/>
        <v>0</v>
      </c>
      <c r="E55" s="119">
        <f t="shared" si="10"/>
        <v>0</v>
      </c>
      <c r="F55" s="78">
        <f t="shared" si="10"/>
        <v>0</v>
      </c>
      <c r="G55" s="151">
        <f t="shared" si="10"/>
        <v>0</v>
      </c>
      <c r="H55" s="151">
        <f t="shared" si="10"/>
        <v>0</v>
      </c>
      <c r="I55" s="151">
        <f t="shared" si="10"/>
        <v>0</v>
      </c>
      <c r="J55" s="151">
        <f t="shared" si="10"/>
        <v>0</v>
      </c>
      <c r="K55" s="151">
        <f t="shared" si="10"/>
        <v>0</v>
      </c>
      <c r="L55" s="78">
        <f t="shared" si="10"/>
        <v>0</v>
      </c>
    </row>
    <row r="57" spans="1:12" ht="18.75">
      <c r="A57" s="90" t="s">
        <v>52</v>
      </c>
      <c r="B57" s="90"/>
      <c r="C57" s="122">
        <v>2538579613</v>
      </c>
      <c r="D57" s="122">
        <v>3327487391</v>
      </c>
      <c r="E57" s="122">
        <v>3341191082</v>
      </c>
      <c r="F57" s="122">
        <v>2416361454</v>
      </c>
      <c r="G57" s="121">
        <v>2230311005</v>
      </c>
      <c r="H57" s="83">
        <v>2637661645</v>
      </c>
      <c r="I57" s="121">
        <v>2344303062</v>
      </c>
      <c r="J57" s="121">
        <v>3034544403</v>
      </c>
      <c r="K57" s="121">
        <v>3119578866</v>
      </c>
      <c r="L57" s="121">
        <v>3893299787</v>
      </c>
    </row>
    <row r="58" spans="1:12" ht="18.75">
      <c r="A58" s="90" t="s">
        <v>53</v>
      </c>
      <c r="B58" s="90"/>
      <c r="C58" s="156">
        <v>-3246765230</v>
      </c>
      <c r="D58" s="156">
        <v>-3030187746</v>
      </c>
      <c r="E58" s="156">
        <v>-3050961480</v>
      </c>
      <c r="F58" s="122">
        <v>-2166058797</v>
      </c>
      <c r="G58" s="122">
        <v>-2052847136</v>
      </c>
      <c r="H58" s="83">
        <v>-2466606057</v>
      </c>
      <c r="I58" s="121">
        <v>-2006096951</v>
      </c>
      <c r="J58" s="121">
        <v>-2650856788</v>
      </c>
      <c r="K58" s="121">
        <v>-2694352128</v>
      </c>
      <c r="L58" s="121">
        <v>-3425869869</v>
      </c>
    </row>
    <row r="59" spans="1:12" ht="18.75">
      <c r="A59" s="95" t="s">
        <v>243</v>
      </c>
      <c r="B59" s="95"/>
      <c r="C59" s="125">
        <v>-708185617</v>
      </c>
      <c r="D59" s="125">
        <v>297299645</v>
      </c>
      <c r="E59" s="125">
        <v>290229602</v>
      </c>
      <c r="F59" s="89">
        <v>250302657</v>
      </c>
      <c r="G59" s="89">
        <v>177463869</v>
      </c>
      <c r="H59" s="89">
        <v>171055588</v>
      </c>
      <c r="I59" s="89">
        <v>338206111</v>
      </c>
      <c r="J59" s="89">
        <v>383687615</v>
      </c>
      <c r="K59" s="89">
        <v>425226738</v>
      </c>
      <c r="L59" s="89">
        <v>467429918</v>
      </c>
    </row>
    <row r="60" spans="1:12" ht="18.75">
      <c r="A60" s="90" t="s">
        <v>55</v>
      </c>
      <c r="B60" s="90"/>
      <c r="C60" s="156">
        <v>-145457456</v>
      </c>
      <c r="D60" s="156">
        <v>-150352017</v>
      </c>
      <c r="E60" s="156">
        <v>-133069301</v>
      </c>
      <c r="F60" s="122">
        <v>-124024327</v>
      </c>
      <c r="G60" s="121">
        <v>-108900536</v>
      </c>
      <c r="H60" s="121">
        <v>-146987650</v>
      </c>
      <c r="I60" s="83">
        <v>-152457162</v>
      </c>
      <c r="J60" s="83">
        <v>-160824883</v>
      </c>
      <c r="K60" s="83">
        <v>-168798505</v>
      </c>
      <c r="L60" s="83">
        <v>-191699213</v>
      </c>
    </row>
    <row r="61" spans="1:12" ht="18.75">
      <c r="A61" s="95" t="s">
        <v>244</v>
      </c>
      <c r="B61" s="95"/>
      <c r="C61" s="128">
        <v>-853643073</v>
      </c>
      <c r="D61" s="128">
        <v>146947628</v>
      </c>
      <c r="E61" s="128">
        <v>157160301</v>
      </c>
      <c r="F61" s="89">
        <v>126278330</v>
      </c>
      <c r="G61" s="89">
        <v>68563333</v>
      </c>
      <c r="H61" s="94">
        <v>24067938</v>
      </c>
      <c r="I61" s="94">
        <v>185748949</v>
      </c>
      <c r="J61" s="94">
        <v>222862732</v>
      </c>
      <c r="K61" s="94">
        <v>256428233</v>
      </c>
      <c r="L61" s="94">
        <v>275730705</v>
      </c>
    </row>
    <row r="62" spans="1:12" ht="20.25">
      <c r="A62" s="157" t="s">
        <v>245</v>
      </c>
      <c r="B62" s="157"/>
      <c r="C62" s="122">
        <v>-157187470</v>
      </c>
      <c r="D62" s="122">
        <v>-107269383</v>
      </c>
      <c r="E62" s="122">
        <v>-37939778</v>
      </c>
      <c r="F62" s="122">
        <v>-24580837</v>
      </c>
      <c r="G62" s="121">
        <v>-28739104</v>
      </c>
      <c r="H62" s="121">
        <v>-20829464</v>
      </c>
      <c r="I62" s="83"/>
      <c r="J62" s="83"/>
      <c r="K62" s="83"/>
      <c r="L62" s="83"/>
    </row>
    <row r="63" spans="1:12" ht="20.25">
      <c r="A63" s="157" t="s">
        <v>246</v>
      </c>
      <c r="B63" s="157"/>
      <c r="C63" s="122">
        <v>-4071972</v>
      </c>
      <c r="D63" s="122">
        <v>-24442858</v>
      </c>
      <c r="E63" s="122">
        <v>-41099361</v>
      </c>
      <c r="F63" s="122"/>
      <c r="G63" s="121"/>
      <c r="H63" s="121"/>
      <c r="I63" s="83"/>
      <c r="J63" s="83"/>
      <c r="K63" s="83"/>
      <c r="L63" s="83"/>
    </row>
    <row r="64" spans="1:12" ht="18.75">
      <c r="A64" s="90" t="s">
        <v>247</v>
      </c>
      <c r="B64" s="90"/>
      <c r="C64" s="158">
        <v>-18162797</v>
      </c>
      <c r="D64" s="122"/>
      <c r="E64" s="122">
        <v>-13321359</v>
      </c>
      <c r="F64" s="122"/>
      <c r="G64" s="121"/>
      <c r="H64" s="121"/>
      <c r="I64" s="83"/>
      <c r="J64" s="83"/>
      <c r="K64" s="83"/>
      <c r="L64" s="83"/>
    </row>
    <row r="65" spans="1:12" ht="18.75">
      <c r="A65" s="90" t="s">
        <v>160</v>
      </c>
      <c r="B65" s="90"/>
      <c r="C65" s="122">
        <v>-7803312</v>
      </c>
      <c r="D65" s="122"/>
      <c r="E65" s="122">
        <v>-1773920</v>
      </c>
      <c r="F65" s="122"/>
      <c r="G65" s="121"/>
      <c r="H65" s="121"/>
      <c r="I65" s="83"/>
      <c r="J65" s="83"/>
      <c r="K65" s="83"/>
      <c r="L65" s="83"/>
    </row>
    <row r="66" spans="1:12" ht="20.25">
      <c r="A66" s="157" t="s">
        <v>248</v>
      </c>
      <c r="B66" s="157"/>
      <c r="C66" s="158">
        <v>-360539907</v>
      </c>
      <c r="D66" s="122"/>
      <c r="E66" s="122">
        <v>-40175222</v>
      </c>
      <c r="F66" s="122">
        <v>-12565072</v>
      </c>
      <c r="G66" s="121">
        <v>-4654663</v>
      </c>
      <c r="H66" s="121">
        <v>-5844723</v>
      </c>
      <c r="I66" s="83"/>
      <c r="J66" s="83"/>
      <c r="K66" s="83"/>
      <c r="L66" s="83"/>
    </row>
    <row r="67" spans="1:12" ht="20.25">
      <c r="A67" s="157" t="s">
        <v>249</v>
      </c>
      <c r="B67" s="157"/>
      <c r="C67" s="122">
        <v>20376666</v>
      </c>
      <c r="D67" s="122">
        <v>27617996</v>
      </c>
      <c r="E67" s="122">
        <v>17124128</v>
      </c>
      <c r="F67" s="122">
        <v>26408622</v>
      </c>
      <c r="G67" s="121">
        <v>9235631</v>
      </c>
      <c r="H67" s="121">
        <v>20659839</v>
      </c>
      <c r="I67" s="83">
        <v>38494716</v>
      </c>
      <c r="J67" s="83">
        <v>35843463</v>
      </c>
      <c r="K67" s="83">
        <v>31911837</v>
      </c>
      <c r="L67" s="83">
        <v>9019254</v>
      </c>
    </row>
    <row r="68" spans="1:12" ht="18.75">
      <c r="A68" s="95" t="s">
        <v>165</v>
      </c>
      <c r="B68" s="95"/>
      <c r="C68" s="89">
        <v>-1381031865</v>
      </c>
      <c r="D68" s="89">
        <v>42853383</v>
      </c>
      <c r="E68" s="89">
        <v>39974789</v>
      </c>
      <c r="F68" s="89">
        <v>115541043</v>
      </c>
      <c r="G68" s="89">
        <v>44405197</v>
      </c>
      <c r="H68" s="89">
        <v>18053590</v>
      </c>
      <c r="I68" s="89">
        <v>224243665</v>
      </c>
      <c r="J68" s="89">
        <v>258706195</v>
      </c>
      <c r="K68" s="89">
        <v>288340070</v>
      </c>
      <c r="L68" s="89">
        <v>284749959</v>
      </c>
    </row>
    <row r="69" spans="1:12" ht="18.75">
      <c r="A69" s="90" t="s">
        <v>67</v>
      </c>
      <c r="B69" s="90"/>
      <c r="C69" s="159">
        <v>-22717268</v>
      </c>
      <c r="D69" s="122">
        <v>-14486601</v>
      </c>
      <c r="E69" s="122">
        <v>-17493726</v>
      </c>
      <c r="F69" s="122">
        <v>-13338532</v>
      </c>
      <c r="G69" s="121">
        <v>-10704305</v>
      </c>
      <c r="H69" s="83">
        <v>-13705248</v>
      </c>
      <c r="I69" s="83">
        <v>-14306651</v>
      </c>
      <c r="J69" s="83">
        <v>-20730575</v>
      </c>
      <c r="K69" s="83">
        <v>-8296689</v>
      </c>
      <c r="L69" s="83">
        <v>-8442071</v>
      </c>
    </row>
    <row r="70" spans="1:12" ht="18.75">
      <c r="A70" s="95" t="s">
        <v>166</v>
      </c>
      <c r="B70" s="95"/>
      <c r="C70" s="98">
        <v>-1403749133</v>
      </c>
      <c r="D70" s="98">
        <v>28366782</v>
      </c>
      <c r="E70" s="98">
        <v>22481063</v>
      </c>
      <c r="F70" s="98">
        <v>102202511</v>
      </c>
      <c r="G70" s="98">
        <v>33700892</v>
      </c>
      <c r="H70" s="98">
        <v>4348342</v>
      </c>
      <c r="I70" s="98">
        <v>209937014</v>
      </c>
      <c r="J70" s="98">
        <v>237975620</v>
      </c>
      <c r="K70" s="98">
        <v>280043381</v>
      </c>
      <c r="L70" s="98">
        <v>276307888</v>
      </c>
    </row>
    <row r="71" spans="1:12" ht="18.75">
      <c r="A71" s="95" t="s">
        <v>167</v>
      </c>
      <c r="B71" s="95"/>
      <c r="C71" s="160"/>
      <c r="D71" s="160"/>
      <c r="E71" s="99"/>
      <c r="F71" s="99"/>
      <c r="G71" s="121"/>
      <c r="H71" s="121"/>
      <c r="I71" s="121"/>
      <c r="J71" s="121"/>
      <c r="K71" s="121"/>
      <c r="L71" s="121"/>
    </row>
    <row r="72" spans="1:12" ht="18.75">
      <c r="A72" s="95" t="s">
        <v>168</v>
      </c>
      <c r="B72" s="95"/>
      <c r="C72" s="160"/>
      <c r="D72" s="122"/>
      <c r="E72" s="122"/>
      <c r="F72" s="100"/>
      <c r="G72" s="121"/>
      <c r="H72" s="121"/>
      <c r="I72" s="121"/>
      <c r="J72" s="121"/>
      <c r="K72" s="121"/>
      <c r="L72" s="121"/>
    </row>
    <row r="73" spans="1:12" ht="20.25">
      <c r="A73" s="157" t="s">
        <v>250</v>
      </c>
      <c r="B73" s="157"/>
      <c r="C73" s="161"/>
      <c r="D73" s="122">
        <v>-825507</v>
      </c>
      <c r="E73" s="122">
        <v>0</v>
      </c>
      <c r="F73" s="162"/>
      <c r="G73" s="121" t="s">
        <v>3</v>
      </c>
      <c r="H73" s="121">
        <v>16623</v>
      </c>
      <c r="I73" s="121"/>
      <c r="J73" s="121"/>
      <c r="K73" s="121"/>
      <c r="L73" s="121"/>
    </row>
    <row r="74" spans="1:12" ht="18.75">
      <c r="A74" s="90" t="s">
        <v>170</v>
      </c>
      <c r="B74" s="90"/>
      <c r="C74" s="122">
        <v>-19019</v>
      </c>
      <c r="D74" s="122">
        <v>18061</v>
      </c>
      <c r="E74" s="122">
        <v>1532173</v>
      </c>
      <c r="F74" s="122"/>
      <c r="G74" s="121"/>
      <c r="H74" s="83"/>
      <c r="I74" s="83"/>
      <c r="J74" s="83"/>
      <c r="K74" s="83"/>
      <c r="L74" s="83"/>
    </row>
    <row r="75" spans="1:12" ht="18.75">
      <c r="A75" s="95" t="s">
        <v>251</v>
      </c>
      <c r="B75" s="95"/>
      <c r="C75" s="129">
        <v>-1403768152</v>
      </c>
      <c r="D75" s="129">
        <v>27559336</v>
      </c>
      <c r="E75" s="129">
        <v>24013236</v>
      </c>
      <c r="F75" s="129">
        <v>102202511</v>
      </c>
      <c r="G75" s="129">
        <v>33700892</v>
      </c>
      <c r="H75" s="129">
        <v>4364965</v>
      </c>
      <c r="I75" s="129">
        <v>209937014</v>
      </c>
      <c r="J75" s="129">
        <v>237975620</v>
      </c>
      <c r="K75" s="129">
        <v>280043381</v>
      </c>
      <c r="L75" s="129">
        <v>276307888</v>
      </c>
    </row>
    <row r="77" spans="1:12">
      <c r="A77" s="71" t="s">
        <v>92</v>
      </c>
      <c r="B77" s="72" t="s">
        <v>93</v>
      </c>
      <c r="C77" s="104">
        <f>C59/C57</f>
        <v>-0.27896923672332352</v>
      </c>
      <c r="D77" s="104">
        <f t="shared" ref="D77:L77" si="11">D59/D57</f>
        <v>8.9346588000339025E-2</v>
      </c>
      <c r="E77" s="104">
        <f t="shared" si="11"/>
        <v>8.6864113687946207E-2</v>
      </c>
      <c r="F77" s="104">
        <f t="shared" si="11"/>
        <v>0.10358659569976736</v>
      </c>
      <c r="G77" s="104">
        <f t="shared" si="11"/>
        <v>7.9569113277096523E-2</v>
      </c>
      <c r="H77" s="104">
        <f t="shared" si="11"/>
        <v>6.485122469148237E-2</v>
      </c>
      <c r="I77" s="104">
        <f t="shared" si="11"/>
        <v>0.14426723083809204</v>
      </c>
      <c r="J77" s="104">
        <f t="shared" si="11"/>
        <v>0.12643994090865179</v>
      </c>
      <c r="K77" s="104">
        <f t="shared" si="11"/>
        <v>0.13630901998808451</v>
      </c>
      <c r="L77" s="104">
        <f t="shared" si="11"/>
        <v>0.12006008876089665</v>
      </c>
    </row>
    <row r="78" spans="1:12">
      <c r="A78" s="71" t="s">
        <v>94</v>
      </c>
      <c r="B78" s="72" t="s">
        <v>95</v>
      </c>
      <c r="C78" s="104">
        <f>C75/C57</f>
        <v>-0.5529738538871658</v>
      </c>
      <c r="D78" s="104">
        <f t="shared" ref="D78:L78" si="12">D75/D57</f>
        <v>8.2823262004060282E-3</v>
      </c>
      <c r="E78" s="104">
        <f t="shared" si="12"/>
        <v>7.187028640584645E-3</v>
      </c>
      <c r="F78" s="104">
        <f t="shared" si="12"/>
        <v>4.2296035980385241E-2</v>
      </c>
      <c r="G78" s="104">
        <f t="shared" si="12"/>
        <v>1.5110400264558619E-2</v>
      </c>
      <c r="H78" s="104">
        <f t="shared" si="12"/>
        <v>1.654861611334535E-3</v>
      </c>
      <c r="I78" s="104">
        <f t="shared" si="12"/>
        <v>8.9551994109881003E-2</v>
      </c>
      <c r="J78" s="104">
        <f t="shared" si="12"/>
        <v>7.842219074623967E-2</v>
      </c>
      <c r="K78" s="104">
        <f t="shared" si="12"/>
        <v>8.9769610908756556E-2</v>
      </c>
      <c r="L78" s="104">
        <f t="shared" si="12"/>
        <v>7.0970103284265784E-2</v>
      </c>
    </row>
    <row r="79" spans="1:12">
      <c r="A79" s="71" t="s">
        <v>96</v>
      </c>
      <c r="B79" s="72" t="s">
        <v>97</v>
      </c>
      <c r="C79" s="105">
        <f>C57/C23</f>
        <v>0.58429482520336296</v>
      </c>
      <c r="D79" s="105">
        <f t="shared" ref="D79:L79" si="13">D57/D23</f>
        <v>0.77009732561827626</v>
      </c>
      <c r="E79" s="105">
        <f t="shared" si="13"/>
        <v>1.0921293058622323</v>
      </c>
      <c r="F79" s="105">
        <f t="shared" si="13"/>
        <v>1.1320258219958639</v>
      </c>
      <c r="G79" s="105">
        <f t="shared" si="13"/>
        <v>1.0842491728249768</v>
      </c>
      <c r="H79" s="105">
        <f t="shared" si="13"/>
        <v>1.2965795326563525</v>
      </c>
      <c r="I79" s="105">
        <f t="shared" si="13"/>
        <v>1.0910698303629249</v>
      </c>
      <c r="J79" s="105">
        <f t="shared" si="13"/>
        <v>1.5758175110233092</v>
      </c>
      <c r="K79" s="105">
        <f t="shared" si="13"/>
        <v>1.5047774792164745</v>
      </c>
      <c r="L79" s="105">
        <f t="shared" si="13"/>
        <v>2.0144377044618422</v>
      </c>
    </row>
    <row r="80" spans="1:12">
      <c r="A80" s="71" t="s">
        <v>98</v>
      </c>
      <c r="B80" s="72" t="s">
        <v>99</v>
      </c>
      <c r="C80" s="105">
        <f>C23/C30</f>
        <v>22.675926503182239</v>
      </c>
      <c r="D80" s="105">
        <f t="shared" ref="D80:L80" si="14">D23/D30</f>
        <v>19.003897793438327</v>
      </c>
      <c r="E80" s="105">
        <f t="shared" si="14"/>
        <v>15.311379818817386</v>
      </c>
      <c r="F80" s="105">
        <f t="shared" si="14"/>
        <v>6.5140892976575593</v>
      </c>
      <c r="G80" s="105">
        <f t="shared" si="14"/>
        <v>9.2438178730155691</v>
      </c>
      <c r="H80" s="105">
        <f t="shared" si="14"/>
        <v>10.607695110130644</v>
      </c>
      <c r="I80" s="105">
        <f t="shared" si="14"/>
        <v>7.5532960804983755</v>
      </c>
      <c r="J80" s="105">
        <f t="shared" si="14"/>
        <v>6.1262271110561661</v>
      </c>
      <c r="K80" s="105">
        <f t="shared" si="14"/>
        <v>6.1633738854619029</v>
      </c>
      <c r="L80" s="105">
        <f t="shared" si="14"/>
        <v>5.1344564456623045</v>
      </c>
    </row>
    <row r="81" spans="1:12">
      <c r="A81" s="71" t="s">
        <v>100</v>
      </c>
      <c r="B81" s="72" t="s">
        <v>118</v>
      </c>
      <c r="C81" s="105">
        <f>C75/C30</f>
        <v>-7.326586440412564</v>
      </c>
      <c r="D81" s="105">
        <f t="shared" ref="D81:L81" si="15">D75/D30</f>
        <v>0.12121060877520243</v>
      </c>
      <c r="E81" s="105">
        <f t="shared" si="15"/>
        <v>0.12018154045796249</v>
      </c>
      <c r="F81" s="105">
        <f t="shared" si="15"/>
        <v>0.31189593029481549</v>
      </c>
      <c r="G81" s="105">
        <f t="shared" si="15"/>
        <v>0.15144552613782855</v>
      </c>
      <c r="H81" s="105">
        <f t="shared" si="15"/>
        <v>2.276050385078484E-2</v>
      </c>
      <c r="I81" s="105">
        <f t="shared" si="15"/>
        <v>0.73801351833322804</v>
      </c>
      <c r="J81" s="105">
        <f t="shared" si="15"/>
        <v>0.75707339649584171</v>
      </c>
      <c r="K81" s="105">
        <f t="shared" si="15"/>
        <v>0.83256881463557197</v>
      </c>
      <c r="L81" s="105">
        <f t="shared" si="15"/>
        <v>0.73404680557409396</v>
      </c>
    </row>
    <row r="82" spans="1:12">
      <c r="A82" s="71" t="s">
        <v>101</v>
      </c>
      <c r="B82" s="72" t="s">
        <v>102</v>
      </c>
      <c r="C82" s="105">
        <f>C22/C51</f>
        <v>0.97735305996398814</v>
      </c>
      <c r="D82" s="105">
        <f t="shared" ref="D82:L82" si="16">D22/D51</f>
        <v>1.1607370996867137</v>
      </c>
      <c r="E82" s="105">
        <f t="shared" si="16"/>
        <v>0.93360199570619318</v>
      </c>
      <c r="F82" s="105">
        <f t="shared" si="16"/>
        <v>1.1851082909111759</v>
      </c>
      <c r="G82" s="105">
        <f t="shared" si="16"/>
        <v>1.1499195518473952</v>
      </c>
      <c r="H82" s="105">
        <f t="shared" si="16"/>
        <v>1.1311109328874114</v>
      </c>
      <c r="I82" s="105">
        <f t="shared" si="16"/>
        <v>1.1684979886230675</v>
      </c>
      <c r="J82" s="105">
        <f t="shared" si="16"/>
        <v>1.2032944928732083</v>
      </c>
      <c r="K82" s="105">
        <f t="shared" si="16"/>
        <v>1.193651074162855</v>
      </c>
      <c r="L82" s="105">
        <f t="shared" si="16"/>
        <v>1.2218088613442388</v>
      </c>
    </row>
    <row r="83" spans="1:12">
      <c r="A83" s="71" t="s">
        <v>103</v>
      </c>
      <c r="B83" s="72" t="s">
        <v>104</v>
      </c>
      <c r="C83" s="105">
        <f>C52/C23</f>
        <v>0.95590036861957262</v>
      </c>
      <c r="D83" s="105">
        <f t="shared" ref="D83:L83" si="17">D52/D23</f>
        <v>0.94737921604981057</v>
      </c>
      <c r="E83" s="105">
        <f t="shared" si="17"/>
        <v>0.93468909975239334</v>
      </c>
      <c r="F83" s="105">
        <f t="shared" si="17"/>
        <v>0.84648659938395443</v>
      </c>
      <c r="G83" s="105">
        <f t="shared" si="17"/>
        <v>0.89181959080790774</v>
      </c>
      <c r="H83" s="105">
        <f t="shared" si="17"/>
        <v>0.90572881388295445</v>
      </c>
      <c r="I83" s="105">
        <f t="shared" si="17"/>
        <v>0.867607467078926</v>
      </c>
      <c r="J83" s="105">
        <f t="shared" si="17"/>
        <v>0.83676739665833266</v>
      </c>
      <c r="K83" s="105">
        <f t="shared" si="17"/>
        <v>0.83775120273673664</v>
      </c>
      <c r="L83" s="105">
        <f t="shared" si="17"/>
        <v>0.8052374169334281</v>
      </c>
    </row>
    <row r="84" spans="1:12">
      <c r="A84" s="71" t="s">
        <v>105</v>
      </c>
      <c r="B84" s="72" t="s">
        <v>106</v>
      </c>
      <c r="C84" s="105">
        <f>C52/C30</f>
        <v>21.675926503182239</v>
      </c>
      <c r="D84" s="105">
        <f t="shared" ref="D84:L84" si="18">D52/D30</f>
        <v>18.003897793438327</v>
      </c>
      <c r="E84" s="105">
        <f t="shared" si="18"/>
        <v>14.311379818817386</v>
      </c>
      <c r="F84" s="105">
        <f t="shared" si="18"/>
        <v>5.5140892976575593</v>
      </c>
      <c r="G84" s="105">
        <f t="shared" si="18"/>
        <v>8.2438178730155691</v>
      </c>
      <c r="H84" s="105">
        <f t="shared" si="18"/>
        <v>9.6076951101306438</v>
      </c>
      <c r="I84" s="105">
        <f t="shared" si="18"/>
        <v>6.5532960804983755</v>
      </c>
      <c r="J84" s="105">
        <f t="shared" si="18"/>
        <v>5.1262271110561661</v>
      </c>
      <c r="K84" s="105">
        <f t="shared" si="18"/>
        <v>5.1633738854619029</v>
      </c>
      <c r="L84" s="105">
        <f t="shared" si="18"/>
        <v>4.1344564456623045</v>
      </c>
    </row>
    <row r="85" spans="1:12">
      <c r="A85" s="71" t="s">
        <v>171</v>
      </c>
      <c r="B85" s="72" t="s">
        <v>252</v>
      </c>
      <c r="C85" s="73">
        <f>C75*25%</f>
        <v>-350942038</v>
      </c>
      <c r="D85" s="73">
        <f t="shared" ref="D85:L85" si="19">D75*25%</f>
        <v>6889834</v>
      </c>
      <c r="E85" s="73">
        <f t="shared" si="19"/>
        <v>6003309</v>
      </c>
      <c r="F85" s="73">
        <f t="shared" si="19"/>
        <v>25550627.75</v>
      </c>
      <c r="G85" s="73">
        <f t="shared" si="19"/>
        <v>8425223</v>
      </c>
      <c r="H85" s="73">
        <f t="shared" si="19"/>
        <v>1091241.25</v>
      </c>
      <c r="I85" s="73">
        <f t="shared" si="19"/>
        <v>52484253.5</v>
      </c>
      <c r="J85" s="73">
        <f t="shared" si="19"/>
        <v>59493905</v>
      </c>
      <c r="K85" s="73">
        <f t="shared" si="19"/>
        <v>70010845.25</v>
      </c>
      <c r="L85" s="73">
        <f t="shared" si="19"/>
        <v>69076972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517C-2AAF-47A7-82A2-CD94D98F3833}">
  <sheetPr codeName="Sheet5"/>
  <dimension ref="A1:K88"/>
  <sheetViews>
    <sheetView zoomScale="87" zoomScaleNormal="87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C88" sqref="C88"/>
    </sheetView>
  </sheetViews>
  <sheetFormatPr defaultRowHeight="18"/>
  <cols>
    <col min="1" max="1" width="67" style="71" customWidth="1"/>
    <col min="2" max="2" width="44.5" style="71" customWidth="1"/>
    <col min="3" max="4" width="28.6640625" style="73" customWidth="1"/>
    <col min="5" max="5" width="25" style="73" customWidth="1"/>
    <col min="6" max="6" width="24.33203125" style="73" customWidth="1"/>
    <col min="7" max="7" width="25" style="73" customWidth="1"/>
    <col min="8" max="8" width="26" style="73" customWidth="1"/>
    <col min="9" max="9" width="28.33203125" style="73" customWidth="1"/>
    <col min="10" max="11" width="30.5" style="73" customWidth="1"/>
    <col min="12" max="16384" width="9.33203125" style="71"/>
  </cols>
  <sheetData>
    <row r="1" spans="1:11" s="67" customFormat="1" ht="54">
      <c r="A1" s="64" t="s">
        <v>0</v>
      </c>
      <c r="B1" s="64"/>
      <c r="C1" s="107" t="s">
        <v>122</v>
      </c>
      <c r="D1" s="107" t="s">
        <v>123</v>
      </c>
      <c r="E1" s="107" t="s">
        <v>124</v>
      </c>
      <c r="F1" s="107" t="s">
        <v>125</v>
      </c>
      <c r="G1" s="107" t="s">
        <v>126</v>
      </c>
      <c r="H1" s="107" t="s">
        <v>127</v>
      </c>
      <c r="I1" s="107" t="s">
        <v>128</v>
      </c>
      <c r="J1" s="107" t="s">
        <v>129</v>
      </c>
      <c r="K1" s="107" t="s">
        <v>253</v>
      </c>
    </row>
    <row r="2" spans="1:11" s="68" customFormat="1"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71" t="s">
        <v>1</v>
      </c>
      <c r="C3" s="73">
        <v>15614549</v>
      </c>
      <c r="D3" s="73">
        <v>9599153</v>
      </c>
      <c r="E3" s="73">
        <v>10579369</v>
      </c>
      <c r="F3" s="73">
        <v>11623411</v>
      </c>
      <c r="G3" s="73">
        <v>12132426</v>
      </c>
      <c r="H3" s="73">
        <v>3154212</v>
      </c>
      <c r="I3" s="73">
        <v>1470212</v>
      </c>
      <c r="J3" s="73">
        <v>1745591</v>
      </c>
      <c r="K3" s="73">
        <v>1924024</v>
      </c>
    </row>
    <row r="4" spans="1:11">
      <c r="A4" s="71" t="s">
        <v>254</v>
      </c>
      <c r="K4" s="73">
        <v>500486</v>
      </c>
    </row>
    <row r="5" spans="1:11">
      <c r="A5" s="71" t="s">
        <v>2</v>
      </c>
    </row>
    <row r="6" spans="1:11">
      <c r="A6" s="71" t="s">
        <v>130</v>
      </c>
    </row>
    <row r="7" spans="1:11">
      <c r="A7" s="71" t="s">
        <v>4</v>
      </c>
      <c r="C7" s="73">
        <v>6492</v>
      </c>
      <c r="D7" s="73">
        <v>16231</v>
      </c>
      <c r="E7" s="73">
        <v>25970</v>
      </c>
      <c r="F7" s="73">
        <v>35709</v>
      </c>
    </row>
    <row r="8" spans="1:11">
      <c r="A8" s="71" t="s">
        <v>131</v>
      </c>
    </row>
    <row r="9" spans="1:11">
      <c r="A9" s="71" t="s">
        <v>132</v>
      </c>
    </row>
    <row r="10" spans="1:11">
      <c r="A10" s="71" t="s">
        <v>133</v>
      </c>
    </row>
    <row r="11" spans="1:11">
      <c r="A11" s="71" t="s">
        <v>134</v>
      </c>
      <c r="I11" s="71"/>
    </row>
    <row r="12" spans="1:11">
      <c r="A12" s="71" t="s">
        <v>135</v>
      </c>
    </row>
    <row r="13" spans="1:11">
      <c r="A13" s="71" t="s">
        <v>136</v>
      </c>
    </row>
    <row r="14" spans="1:11">
      <c r="A14" s="71" t="s">
        <v>137</v>
      </c>
    </row>
    <row r="15" spans="1:11">
      <c r="A15" s="71" t="s">
        <v>138</v>
      </c>
    </row>
    <row r="16" spans="1:11" s="68" customFormat="1">
      <c r="A16" s="74" t="s">
        <v>110</v>
      </c>
      <c r="B16" s="74"/>
      <c r="C16" s="76">
        <f>SUM(C3:C15)</f>
        <v>15621041</v>
      </c>
      <c r="D16" s="76">
        <f>SUM(D3:D15)</f>
        <v>9615384</v>
      </c>
      <c r="E16" s="76">
        <f>SUM(E3:E14)</f>
        <v>10605339</v>
      </c>
      <c r="F16" s="76">
        <f t="shared" ref="F16:K16" si="0">SUM(F3:F15)</f>
        <v>11659120</v>
      </c>
      <c r="G16" s="76">
        <f t="shared" si="0"/>
        <v>12132426</v>
      </c>
      <c r="H16" s="76">
        <f t="shared" si="0"/>
        <v>3154212</v>
      </c>
      <c r="I16" s="76">
        <f t="shared" si="0"/>
        <v>1470212</v>
      </c>
      <c r="J16" s="76">
        <f t="shared" si="0"/>
        <v>1745591</v>
      </c>
      <c r="K16" s="76">
        <f t="shared" si="0"/>
        <v>2424510</v>
      </c>
    </row>
    <row r="17" spans="1:11" s="68" customFormat="1">
      <c r="C17" s="70"/>
      <c r="D17" s="70"/>
      <c r="E17" s="70"/>
      <c r="F17" s="70"/>
      <c r="G17" s="70"/>
      <c r="H17" s="70"/>
      <c r="I17" s="70"/>
      <c r="J17" s="70"/>
      <c r="K17" s="70"/>
    </row>
    <row r="18" spans="1:11">
      <c r="A18" s="71" t="s">
        <v>255</v>
      </c>
      <c r="G18" s="73">
        <v>356364</v>
      </c>
      <c r="H18" s="73">
        <v>322470</v>
      </c>
      <c r="I18" s="73">
        <v>312280</v>
      </c>
      <c r="J18" s="73">
        <v>289309</v>
      </c>
      <c r="K18" s="73">
        <v>314481</v>
      </c>
    </row>
    <row r="19" spans="1:11">
      <c r="A19" s="71" t="s">
        <v>10</v>
      </c>
      <c r="C19" s="73">
        <v>813849</v>
      </c>
      <c r="D19" s="73">
        <v>1429913</v>
      </c>
      <c r="E19" s="73">
        <v>1909670</v>
      </c>
      <c r="F19" s="73">
        <v>2079899</v>
      </c>
      <c r="G19" s="73">
        <v>1744943</v>
      </c>
      <c r="H19" s="73">
        <v>1780918</v>
      </c>
      <c r="I19" s="73">
        <v>2002474</v>
      </c>
      <c r="J19" s="73">
        <v>2193221</v>
      </c>
      <c r="K19" s="73">
        <v>2755245</v>
      </c>
    </row>
    <row r="20" spans="1:11">
      <c r="A20" s="71" t="s">
        <v>139</v>
      </c>
      <c r="C20" s="73">
        <v>13293595</v>
      </c>
      <c r="D20" s="73">
        <v>7282313</v>
      </c>
      <c r="E20" s="73">
        <v>7329485</v>
      </c>
      <c r="F20" s="73">
        <v>5006423</v>
      </c>
      <c r="G20" s="73">
        <v>7699813</v>
      </c>
      <c r="H20" s="73">
        <f>4284286+6302496</f>
        <v>10586782</v>
      </c>
      <c r="I20" s="73">
        <f>9986701+11321799</f>
        <v>21308500</v>
      </c>
      <c r="J20" s="73">
        <v>46529419</v>
      </c>
      <c r="K20" s="73">
        <v>56212730</v>
      </c>
    </row>
    <row r="21" spans="1:11">
      <c r="A21" s="71" t="s">
        <v>140</v>
      </c>
    </row>
    <row r="22" spans="1:11">
      <c r="A22" s="71" t="s">
        <v>256</v>
      </c>
      <c r="H22" s="73">
        <v>891282</v>
      </c>
      <c r="I22" s="73">
        <v>2963242</v>
      </c>
      <c r="J22" s="73">
        <v>5906760</v>
      </c>
      <c r="K22" s="73">
        <v>4958860</v>
      </c>
    </row>
    <row r="23" spans="1:11">
      <c r="A23" s="71" t="s">
        <v>142</v>
      </c>
    </row>
    <row r="24" spans="1:11">
      <c r="A24" s="71" t="s">
        <v>14</v>
      </c>
      <c r="C24" s="73">
        <v>2068438</v>
      </c>
      <c r="D24" s="73">
        <v>1218776</v>
      </c>
      <c r="E24" s="73">
        <v>2374660</v>
      </c>
      <c r="F24" s="73">
        <v>2066895</v>
      </c>
      <c r="G24" s="73">
        <v>541033</v>
      </c>
      <c r="H24" s="73">
        <v>1134176</v>
      </c>
      <c r="I24" s="73">
        <v>546096</v>
      </c>
      <c r="J24" s="73">
        <v>484120</v>
      </c>
      <c r="K24" s="73">
        <v>633464</v>
      </c>
    </row>
    <row r="25" spans="1:11" s="68" customFormat="1">
      <c r="A25" s="74" t="s">
        <v>111</v>
      </c>
      <c r="B25" s="74"/>
      <c r="C25" s="77">
        <f t="shared" ref="C25:E25" si="1">SUM(C19:C24)</f>
        <v>16175882</v>
      </c>
      <c r="D25" s="77">
        <f t="shared" si="1"/>
        <v>9931002</v>
      </c>
      <c r="E25" s="77">
        <f t="shared" si="1"/>
        <v>11613815</v>
      </c>
      <c r="F25" s="77">
        <f>SUM(F18:F24)</f>
        <v>9153217</v>
      </c>
      <c r="G25" s="77">
        <f t="shared" ref="G25:K25" si="2">SUM(G18:G24)</f>
        <v>10342153</v>
      </c>
      <c r="H25" s="77">
        <f t="shared" si="2"/>
        <v>14715628</v>
      </c>
      <c r="I25" s="77">
        <f t="shared" si="2"/>
        <v>27132592</v>
      </c>
      <c r="J25" s="77">
        <f t="shared" si="2"/>
        <v>55402829</v>
      </c>
      <c r="K25" s="77">
        <f t="shared" si="2"/>
        <v>64874780</v>
      </c>
    </row>
    <row r="26" spans="1:11" s="68" customFormat="1">
      <c r="A26" s="74" t="s">
        <v>112</v>
      </c>
      <c r="B26" s="74"/>
      <c r="C26" s="78">
        <f t="shared" ref="C26:K26" si="3">C16+C25</f>
        <v>31796923</v>
      </c>
      <c r="D26" s="78">
        <f t="shared" si="3"/>
        <v>19546386</v>
      </c>
      <c r="E26" s="78">
        <f t="shared" si="3"/>
        <v>22219154</v>
      </c>
      <c r="F26" s="78">
        <f t="shared" si="3"/>
        <v>20812337</v>
      </c>
      <c r="G26" s="78">
        <f t="shared" si="3"/>
        <v>22474579</v>
      </c>
      <c r="H26" s="78">
        <f t="shared" si="3"/>
        <v>17869840</v>
      </c>
      <c r="I26" s="78">
        <f t="shared" si="3"/>
        <v>28602804</v>
      </c>
      <c r="J26" s="78">
        <f t="shared" si="3"/>
        <v>57148420</v>
      </c>
      <c r="K26" s="78">
        <f t="shared" si="3"/>
        <v>67299290</v>
      </c>
    </row>
    <row r="27" spans="1:11" s="68" customFormat="1">
      <c r="C27" s="70"/>
      <c r="D27" s="70"/>
      <c r="E27" s="70"/>
      <c r="F27" s="70"/>
      <c r="G27" s="70"/>
      <c r="H27" s="70"/>
      <c r="I27" s="70"/>
      <c r="J27" s="70"/>
      <c r="K27" s="70"/>
    </row>
    <row r="28" spans="1:11">
      <c r="A28" s="71" t="s">
        <v>143</v>
      </c>
    </row>
    <row r="29" spans="1:11">
      <c r="A29" s="71" t="s">
        <v>144</v>
      </c>
      <c r="C29" s="73">
        <v>3000000</v>
      </c>
      <c r="D29" s="73">
        <v>3000000</v>
      </c>
      <c r="E29" s="73">
        <v>3000000</v>
      </c>
      <c r="F29" s="73">
        <v>3000000</v>
      </c>
      <c r="G29" s="73">
        <v>3000000</v>
      </c>
      <c r="H29" s="73">
        <v>3000000</v>
      </c>
      <c r="I29" s="73">
        <v>3000000</v>
      </c>
      <c r="J29" s="73">
        <v>3000000</v>
      </c>
      <c r="K29" s="73">
        <v>3000000</v>
      </c>
    </row>
    <row r="30" spans="1:11">
      <c r="A30" s="71" t="s">
        <v>18</v>
      </c>
      <c r="C30" s="73">
        <v>1500000</v>
      </c>
      <c r="D30" s="73">
        <v>1500000</v>
      </c>
      <c r="E30" s="73">
        <v>1500000</v>
      </c>
      <c r="F30" s="73">
        <v>1500000</v>
      </c>
      <c r="G30" s="73">
        <v>1500000</v>
      </c>
      <c r="H30" s="73">
        <v>1500000</v>
      </c>
      <c r="I30" s="73">
        <v>1500000</v>
      </c>
      <c r="J30" s="73">
        <v>1500000</v>
      </c>
      <c r="K30" s="73">
        <v>1500000</v>
      </c>
    </row>
    <row r="31" spans="1:11">
      <c r="A31" s="71" t="s">
        <v>145</v>
      </c>
    </row>
    <row r="32" spans="1:11">
      <c r="A32" s="71" t="s">
        <v>146</v>
      </c>
    </row>
    <row r="33" spans="1:11">
      <c r="A33" s="71" t="s">
        <v>21</v>
      </c>
      <c r="C33" s="73">
        <v>-14410020</v>
      </c>
      <c r="D33" s="73">
        <v>-6858233</v>
      </c>
      <c r="E33" s="73">
        <v>-3894424</v>
      </c>
      <c r="F33" s="73">
        <v>-5022100</v>
      </c>
      <c r="G33" s="73">
        <v>-6429659</v>
      </c>
      <c r="H33" s="73">
        <v>-7051651</v>
      </c>
      <c r="I33" s="73">
        <v>-6697237</v>
      </c>
      <c r="J33" s="73">
        <v>4332246</v>
      </c>
      <c r="K33" s="73">
        <v>3425283</v>
      </c>
    </row>
    <row r="34" spans="1:11" s="68" customFormat="1">
      <c r="A34" s="74" t="s">
        <v>113</v>
      </c>
      <c r="B34" s="74"/>
      <c r="C34" s="76">
        <f>SUM(C29:C33)</f>
        <v>-9910020</v>
      </c>
      <c r="D34" s="76">
        <f>SUM(D29:D33)</f>
        <v>-2358233</v>
      </c>
      <c r="E34" s="76">
        <f t="shared" ref="E34:K34" si="4">SUM(E29:E33)</f>
        <v>605576</v>
      </c>
      <c r="F34" s="76">
        <f t="shared" si="4"/>
        <v>-522100</v>
      </c>
      <c r="G34" s="76">
        <f t="shared" si="4"/>
        <v>-1929659</v>
      </c>
      <c r="H34" s="76">
        <f t="shared" si="4"/>
        <v>-2551651</v>
      </c>
      <c r="I34" s="76">
        <f t="shared" si="4"/>
        <v>-2197237</v>
      </c>
      <c r="J34" s="76">
        <f t="shared" si="4"/>
        <v>8832246</v>
      </c>
      <c r="K34" s="76">
        <f t="shared" si="4"/>
        <v>7925283</v>
      </c>
    </row>
    <row r="35" spans="1:11" s="68" customFormat="1">
      <c r="C35" s="70"/>
      <c r="D35" s="70"/>
      <c r="E35" s="70"/>
      <c r="F35" s="70"/>
      <c r="G35" s="70"/>
      <c r="H35" s="70"/>
      <c r="I35" s="70"/>
      <c r="J35" s="70"/>
      <c r="K35" s="70"/>
    </row>
    <row r="36" spans="1:11">
      <c r="A36" s="71" t="s">
        <v>147</v>
      </c>
      <c r="C36" s="73">
        <v>3913887</v>
      </c>
      <c r="D36" s="73">
        <v>2822111</v>
      </c>
      <c r="E36" s="73">
        <v>2832095</v>
      </c>
      <c r="F36" s="73">
        <v>2338237</v>
      </c>
      <c r="G36" s="73">
        <v>1871758</v>
      </c>
      <c r="H36" s="73">
        <v>1154431</v>
      </c>
      <c r="I36" s="73">
        <v>987405</v>
      </c>
      <c r="J36" s="73">
        <v>1921750</v>
      </c>
      <c r="K36" s="73">
        <v>1691519</v>
      </c>
    </row>
    <row r="37" spans="1:11">
      <c r="A37" s="71" t="s">
        <v>148</v>
      </c>
    </row>
    <row r="38" spans="1:11">
      <c r="A38" s="71" t="s">
        <v>257</v>
      </c>
      <c r="H38" s="73">
        <v>0</v>
      </c>
      <c r="I38" s="73">
        <v>2362119</v>
      </c>
    </row>
    <row r="39" spans="1:11">
      <c r="A39" s="71" t="s">
        <v>150</v>
      </c>
    </row>
    <row r="40" spans="1:11">
      <c r="A40" s="71" t="s">
        <v>151</v>
      </c>
    </row>
    <row r="41" spans="1:11" s="68" customFormat="1">
      <c r="A41" s="74" t="s">
        <v>114</v>
      </c>
      <c r="B41" s="74"/>
      <c r="C41" s="76">
        <f t="shared" ref="C41:K41" si="5">SUM(C36:C40)</f>
        <v>3913887</v>
      </c>
      <c r="D41" s="76">
        <f t="shared" si="5"/>
        <v>2822111</v>
      </c>
      <c r="E41" s="76">
        <f t="shared" si="5"/>
        <v>2832095</v>
      </c>
      <c r="F41" s="76">
        <f t="shared" si="5"/>
        <v>2338237</v>
      </c>
      <c r="G41" s="76">
        <f t="shared" si="5"/>
        <v>1871758</v>
      </c>
      <c r="H41" s="76">
        <f t="shared" si="5"/>
        <v>1154431</v>
      </c>
      <c r="I41" s="76">
        <f t="shared" si="5"/>
        <v>3349524</v>
      </c>
      <c r="J41" s="76">
        <f t="shared" si="5"/>
        <v>1921750</v>
      </c>
      <c r="K41" s="76">
        <f t="shared" si="5"/>
        <v>1691519</v>
      </c>
    </row>
    <row r="42" spans="1:11" s="68" customFormat="1">
      <c r="C42" s="70"/>
      <c r="D42" s="70"/>
      <c r="E42" s="70"/>
      <c r="F42" s="70"/>
      <c r="G42" s="70"/>
      <c r="H42" s="70"/>
      <c r="I42" s="70"/>
      <c r="J42" s="70"/>
      <c r="K42" s="70"/>
    </row>
    <row r="43" spans="1:11" ht="54">
      <c r="A43" s="163" t="s">
        <v>258</v>
      </c>
      <c r="B43" s="163"/>
      <c r="C43" s="73">
        <v>13061538</v>
      </c>
      <c r="D43" s="73">
        <v>8192309</v>
      </c>
      <c r="E43" s="73">
        <v>7368325</v>
      </c>
      <c r="F43" s="73">
        <v>6405803</v>
      </c>
      <c r="G43" s="73">
        <v>5366236</v>
      </c>
      <c r="H43" s="73">
        <v>6851711</v>
      </c>
      <c r="I43" s="73">
        <v>2333375</v>
      </c>
      <c r="J43" s="73">
        <v>7600609</v>
      </c>
      <c r="K43" s="73">
        <v>20563724</v>
      </c>
    </row>
    <row r="44" spans="1:11">
      <c r="A44" s="71" t="s">
        <v>259</v>
      </c>
      <c r="C44" s="73">
        <v>1937201</v>
      </c>
      <c r="D44" s="73">
        <v>0</v>
      </c>
      <c r="E44" s="73">
        <v>20213</v>
      </c>
    </row>
    <row r="45" spans="1:11">
      <c r="A45" s="71" t="s">
        <v>154</v>
      </c>
    </row>
    <row r="46" spans="1:11">
      <c r="A46" s="71" t="s">
        <v>155</v>
      </c>
      <c r="C46" s="73">
        <v>22794317</v>
      </c>
      <c r="D46" s="73">
        <v>10890199</v>
      </c>
      <c r="E46" s="73">
        <v>11340480</v>
      </c>
      <c r="F46" s="73">
        <v>12537150</v>
      </c>
      <c r="G46" s="73">
        <v>17124525</v>
      </c>
      <c r="H46" s="73">
        <v>12415349</v>
      </c>
      <c r="I46" s="73">
        <v>25117142</v>
      </c>
      <c r="J46" s="73">
        <v>35524758</v>
      </c>
      <c r="K46" s="73">
        <v>31472735</v>
      </c>
    </row>
    <row r="47" spans="1:11">
      <c r="A47" s="71" t="s">
        <v>260</v>
      </c>
      <c r="J47" s="73">
        <v>2962120</v>
      </c>
      <c r="K47" s="73">
        <v>5362120</v>
      </c>
    </row>
    <row r="48" spans="1:11">
      <c r="A48" s="71" t="s">
        <v>157</v>
      </c>
    </row>
    <row r="49" spans="1:11">
      <c r="A49" s="71" t="s">
        <v>158</v>
      </c>
      <c r="E49" s="73">
        <v>52465</v>
      </c>
      <c r="F49" s="73">
        <v>53247</v>
      </c>
      <c r="G49" s="73">
        <v>41719</v>
      </c>
      <c r="J49" s="73">
        <v>306937</v>
      </c>
      <c r="K49" s="73">
        <v>283909</v>
      </c>
    </row>
    <row r="50" spans="1:11" s="68" customFormat="1">
      <c r="A50" s="74" t="s">
        <v>107</v>
      </c>
      <c r="B50" s="74"/>
      <c r="C50" s="77">
        <f>SUM(C43:C49)</f>
        <v>37793056</v>
      </c>
      <c r="D50" s="77">
        <f>SUM(D43:D49)</f>
        <v>19082508</v>
      </c>
      <c r="E50" s="77">
        <f>SUM(E43:E49)</f>
        <v>18781483</v>
      </c>
      <c r="F50" s="77">
        <f t="shared" ref="F50:K50" si="6">SUM(F43:F49)</f>
        <v>18996200</v>
      </c>
      <c r="G50" s="77">
        <f t="shared" si="6"/>
        <v>22532480</v>
      </c>
      <c r="H50" s="77">
        <f t="shared" si="6"/>
        <v>19267060</v>
      </c>
      <c r="I50" s="77">
        <f t="shared" si="6"/>
        <v>27450517</v>
      </c>
      <c r="J50" s="77">
        <f t="shared" si="6"/>
        <v>46394424</v>
      </c>
      <c r="K50" s="77">
        <f t="shared" si="6"/>
        <v>57682488</v>
      </c>
    </row>
    <row r="51" spans="1:11" s="68" customFormat="1">
      <c r="A51" s="74" t="s">
        <v>108</v>
      </c>
      <c r="B51" s="74"/>
      <c r="C51" s="76">
        <f t="shared" ref="C51:K51" si="7">C41+C50</f>
        <v>41706943</v>
      </c>
      <c r="D51" s="76">
        <f t="shared" si="7"/>
        <v>21904619</v>
      </c>
      <c r="E51" s="76">
        <f t="shared" si="7"/>
        <v>21613578</v>
      </c>
      <c r="F51" s="76">
        <f t="shared" si="7"/>
        <v>21334437</v>
      </c>
      <c r="G51" s="76">
        <f t="shared" si="7"/>
        <v>24404238</v>
      </c>
      <c r="H51" s="76">
        <f t="shared" si="7"/>
        <v>20421491</v>
      </c>
      <c r="I51" s="76">
        <f t="shared" si="7"/>
        <v>30800041</v>
      </c>
      <c r="J51" s="76">
        <f t="shared" si="7"/>
        <v>48316174</v>
      </c>
      <c r="K51" s="76">
        <f t="shared" si="7"/>
        <v>59374007</v>
      </c>
    </row>
    <row r="52" spans="1:11" s="68" customFormat="1">
      <c r="A52" s="74" t="s">
        <v>109</v>
      </c>
      <c r="B52" s="74"/>
      <c r="C52" s="79">
        <f t="shared" ref="C52:K52" si="8">C51+C34</f>
        <v>31796923</v>
      </c>
      <c r="D52" s="79">
        <f t="shared" si="8"/>
        <v>19546386</v>
      </c>
      <c r="E52" s="79">
        <f t="shared" si="8"/>
        <v>22219154</v>
      </c>
      <c r="F52" s="79">
        <f t="shared" si="8"/>
        <v>20812337</v>
      </c>
      <c r="G52" s="79">
        <f t="shared" si="8"/>
        <v>22474579</v>
      </c>
      <c r="H52" s="79">
        <f t="shared" si="8"/>
        <v>17869840</v>
      </c>
      <c r="I52" s="79">
        <f t="shared" si="8"/>
        <v>28602804</v>
      </c>
      <c r="J52" s="79">
        <f t="shared" si="8"/>
        <v>57148420</v>
      </c>
      <c r="K52" s="79">
        <f t="shared" si="8"/>
        <v>67299290</v>
      </c>
    </row>
    <row r="54" spans="1:11">
      <c r="C54" s="78">
        <f t="shared" ref="C54:K54" si="9">C26-C52</f>
        <v>0</v>
      </c>
      <c r="D54" s="78">
        <f t="shared" si="9"/>
        <v>0</v>
      </c>
      <c r="E54" s="78">
        <f t="shared" si="9"/>
        <v>0</v>
      </c>
      <c r="F54" s="78">
        <f t="shared" si="9"/>
        <v>0</v>
      </c>
      <c r="G54" s="78">
        <f t="shared" si="9"/>
        <v>0</v>
      </c>
      <c r="H54" s="78">
        <f t="shared" si="9"/>
        <v>0</v>
      </c>
      <c r="I54" s="78">
        <f t="shared" si="9"/>
        <v>0</v>
      </c>
      <c r="J54" s="78">
        <f t="shared" si="9"/>
        <v>0</v>
      </c>
      <c r="K54" s="78">
        <f t="shared" si="9"/>
        <v>0</v>
      </c>
    </row>
    <row r="55" spans="1:11">
      <c r="A55" s="164"/>
      <c r="B55" s="164"/>
      <c r="C55" s="165"/>
      <c r="D55" s="165"/>
      <c r="E55" s="165"/>
      <c r="F55" s="165"/>
      <c r="G55" s="165"/>
      <c r="H55" s="165"/>
      <c r="I55" s="165"/>
      <c r="J55" s="165"/>
      <c r="K55" s="165"/>
    </row>
    <row r="56" spans="1:11" ht="18.75">
      <c r="A56" s="81" t="s">
        <v>52</v>
      </c>
      <c r="B56" s="81"/>
      <c r="C56" s="83">
        <v>25107639</v>
      </c>
      <c r="D56" s="83">
        <v>20111624</v>
      </c>
      <c r="E56" s="83">
        <v>20111624</v>
      </c>
      <c r="F56" s="121">
        <v>27995850</v>
      </c>
      <c r="G56" s="121">
        <v>25218995</v>
      </c>
      <c r="H56" s="121">
        <v>16577790</v>
      </c>
      <c r="I56" s="121">
        <v>17862721</v>
      </c>
      <c r="J56" s="121">
        <v>41544931</v>
      </c>
      <c r="K56" s="121">
        <v>56089362</v>
      </c>
    </row>
    <row r="57" spans="1:11" ht="18.75">
      <c r="A57" s="85" t="s">
        <v>53</v>
      </c>
      <c r="B57" s="85"/>
      <c r="C57" s="83">
        <v>-19506646</v>
      </c>
      <c r="D57" s="83">
        <v>-12343910</v>
      </c>
      <c r="E57" s="83">
        <v>-17175462</v>
      </c>
      <c r="F57" s="121">
        <v>-20954190</v>
      </c>
      <c r="G57" s="121">
        <v>-20019891</v>
      </c>
      <c r="H57" s="121">
        <v>-13045784</v>
      </c>
      <c r="I57" s="121">
        <v>-21801803</v>
      </c>
      <c r="J57" s="121">
        <v>-33232918</v>
      </c>
      <c r="K57" s="121">
        <v>-44763703</v>
      </c>
    </row>
    <row r="58" spans="1:11" ht="18.75">
      <c r="A58" s="87" t="s">
        <v>54</v>
      </c>
      <c r="B58" s="87"/>
      <c r="C58" s="89">
        <v>5600993</v>
      </c>
      <c r="D58" s="89">
        <v>7767714</v>
      </c>
      <c r="E58" s="89">
        <v>2936162</v>
      </c>
      <c r="F58" s="89">
        <v>7041660</v>
      </c>
      <c r="G58" s="89">
        <v>5199104</v>
      </c>
      <c r="H58" s="89">
        <v>3532006</v>
      </c>
      <c r="I58" s="89">
        <v>-3939082</v>
      </c>
      <c r="J58" s="89">
        <v>8312013</v>
      </c>
      <c r="K58" s="89">
        <v>11325659</v>
      </c>
    </row>
    <row r="59" spans="1:11" ht="18.75">
      <c r="A59" s="90" t="s">
        <v>55</v>
      </c>
      <c r="B59" s="90"/>
      <c r="C59" s="83">
        <v>-7705455</v>
      </c>
      <c r="D59" s="83">
        <v>-5787348</v>
      </c>
      <c r="E59" s="83">
        <v>-5208144</v>
      </c>
      <c r="F59" s="127">
        <v>-4797926</v>
      </c>
      <c r="G59" s="127">
        <v>-3097597</v>
      </c>
      <c r="H59" s="127">
        <v>-3199481</v>
      </c>
      <c r="I59" s="127">
        <v>-4771514</v>
      </c>
      <c r="J59" s="127">
        <v>-6860545</v>
      </c>
      <c r="K59" s="127">
        <v>-7205606</v>
      </c>
    </row>
    <row r="60" spans="1:11" ht="18.75">
      <c r="A60" s="90" t="s">
        <v>203</v>
      </c>
      <c r="B60" s="90"/>
      <c r="C60" s="83">
        <v>-4106912</v>
      </c>
      <c r="D60" s="83">
        <v>-4258068</v>
      </c>
      <c r="E60" s="83"/>
      <c r="F60" s="127"/>
      <c r="G60" s="127"/>
      <c r="H60" s="127"/>
      <c r="I60" s="127"/>
      <c r="J60" s="127"/>
      <c r="K60" s="127"/>
    </row>
    <row r="61" spans="1:11" ht="18.75">
      <c r="A61" s="90" t="s">
        <v>65</v>
      </c>
      <c r="B61" s="90"/>
      <c r="C61" s="83">
        <v>38848</v>
      </c>
      <c r="D61" s="83">
        <v>40814</v>
      </c>
      <c r="E61" s="83">
        <v>40814</v>
      </c>
      <c r="F61" s="121">
        <v>17866</v>
      </c>
      <c r="G61" s="121"/>
      <c r="H61" s="121">
        <v>31675</v>
      </c>
      <c r="I61" s="121">
        <v>229599</v>
      </c>
      <c r="J61" s="121"/>
      <c r="K61" s="121">
        <v>17598</v>
      </c>
    </row>
    <row r="62" spans="1:11" ht="18.75">
      <c r="A62" s="90" t="s">
        <v>261</v>
      </c>
      <c r="B62" s="90"/>
      <c r="C62" s="83"/>
      <c r="D62" s="83"/>
      <c r="E62" s="83"/>
      <c r="F62" s="121"/>
      <c r="G62" s="121"/>
      <c r="H62" s="121"/>
      <c r="I62" s="121"/>
      <c r="J62" s="121">
        <v>-355613</v>
      </c>
      <c r="K62" s="121">
        <v>-174648</v>
      </c>
    </row>
    <row r="63" spans="1:11" ht="18.75">
      <c r="A63" s="90" t="s">
        <v>262</v>
      </c>
      <c r="B63" s="90"/>
      <c r="C63" s="83"/>
      <c r="D63" s="83"/>
      <c r="E63" s="83"/>
      <c r="F63" s="121"/>
      <c r="G63" s="121">
        <v>33894</v>
      </c>
      <c r="H63" s="121">
        <v>10190</v>
      </c>
      <c r="I63" s="121">
        <v>22971</v>
      </c>
      <c r="J63" s="121">
        <v>-25173</v>
      </c>
      <c r="K63" s="121">
        <v>28308</v>
      </c>
    </row>
    <row r="64" spans="1:11" ht="18.75">
      <c r="A64" s="90" t="s">
        <v>263</v>
      </c>
      <c r="B64" s="90"/>
      <c r="C64" s="83"/>
      <c r="D64" s="83"/>
      <c r="E64" s="83"/>
      <c r="F64" s="121"/>
      <c r="G64" s="121"/>
      <c r="H64" s="121"/>
      <c r="I64" s="121"/>
      <c r="J64" s="121">
        <v>127598</v>
      </c>
      <c r="K64" s="121"/>
    </row>
    <row r="65" spans="1:11" ht="18.75">
      <c r="A65" s="90" t="s">
        <v>159</v>
      </c>
      <c r="B65" s="90"/>
      <c r="C65" s="83"/>
      <c r="D65" s="83"/>
      <c r="E65" s="83"/>
      <c r="F65" s="121"/>
      <c r="G65" s="121"/>
      <c r="H65" s="121"/>
      <c r="I65" s="121"/>
      <c r="J65" s="121"/>
      <c r="K65" s="121"/>
    </row>
    <row r="66" spans="1:11" ht="18.75">
      <c r="A66" s="90" t="s">
        <v>160</v>
      </c>
      <c r="B66" s="90"/>
      <c r="C66" s="83"/>
      <c r="D66" s="83"/>
      <c r="E66" s="83"/>
      <c r="F66" s="121"/>
      <c r="G66" s="121">
        <v>-133118</v>
      </c>
      <c r="H66" s="121"/>
      <c r="I66" s="121"/>
      <c r="J66" s="121"/>
      <c r="K66" s="121"/>
    </row>
    <row r="67" spans="1:11" ht="18.75">
      <c r="A67" s="87" t="s">
        <v>115</v>
      </c>
      <c r="B67" s="87"/>
      <c r="C67" s="93">
        <v>-6172526</v>
      </c>
      <c r="D67" s="93">
        <v>-2236888</v>
      </c>
      <c r="E67" s="89">
        <v>-2231168</v>
      </c>
      <c r="F67" s="94">
        <v>2261600</v>
      </c>
      <c r="G67" s="94">
        <v>2002283</v>
      </c>
      <c r="H67" s="94">
        <v>374390</v>
      </c>
      <c r="I67" s="94">
        <v>-8458026</v>
      </c>
      <c r="J67" s="94">
        <v>1198280</v>
      </c>
      <c r="K67" s="94">
        <v>3991311</v>
      </c>
    </row>
    <row r="68" spans="1:11" ht="18.75">
      <c r="A68" s="90" t="s">
        <v>161</v>
      </c>
      <c r="B68" s="90"/>
      <c r="C68" s="83">
        <v>-563385</v>
      </c>
      <c r="D68" s="83">
        <v>-504839</v>
      </c>
      <c r="E68" s="83">
        <v>-510556</v>
      </c>
      <c r="F68" s="121">
        <v>-967090</v>
      </c>
      <c r="G68" s="121">
        <v>-745012</v>
      </c>
      <c r="H68" s="121">
        <v>-1507102</v>
      </c>
      <c r="I68" s="121">
        <v>-1279023</v>
      </c>
      <c r="J68" s="121"/>
      <c r="K68" s="121"/>
    </row>
    <row r="69" spans="1:11" ht="18.75">
      <c r="A69" s="90" t="s">
        <v>163</v>
      </c>
      <c r="B69" s="90"/>
      <c r="C69" s="83"/>
      <c r="D69" s="83"/>
      <c r="E69" s="83"/>
      <c r="F69" s="121"/>
      <c r="G69" s="121"/>
      <c r="H69" s="121"/>
      <c r="I69" s="121"/>
      <c r="J69" s="121"/>
      <c r="K69" s="121"/>
    </row>
    <row r="70" spans="1:11" ht="18.75">
      <c r="A70" s="90" t="s">
        <v>164</v>
      </c>
      <c r="B70" s="90"/>
      <c r="C70" s="83"/>
      <c r="D70" s="83"/>
      <c r="E70" s="83"/>
      <c r="F70" s="121"/>
      <c r="G70" s="121"/>
      <c r="H70" s="121"/>
      <c r="I70" s="121"/>
      <c r="J70" s="121"/>
      <c r="K70" s="121"/>
    </row>
    <row r="71" spans="1:11" ht="18.75">
      <c r="A71" s="95" t="s">
        <v>165</v>
      </c>
      <c r="B71" s="95"/>
      <c r="C71" s="89">
        <v>-6735911</v>
      </c>
      <c r="D71" s="89">
        <v>-2741727</v>
      </c>
      <c r="E71" s="89">
        <v>-2741724</v>
      </c>
      <c r="F71" s="89">
        <v>1294510</v>
      </c>
      <c r="G71" s="89">
        <v>1257271</v>
      </c>
      <c r="H71" s="89">
        <v>-1132712</v>
      </c>
      <c r="I71" s="89">
        <v>-9737049</v>
      </c>
      <c r="J71" s="89">
        <v>1198280</v>
      </c>
      <c r="K71" s="89">
        <v>3991311</v>
      </c>
    </row>
    <row r="72" spans="1:11" ht="18.75">
      <c r="A72" s="90" t="s">
        <v>67</v>
      </c>
      <c r="B72" s="90"/>
      <c r="C72" s="97"/>
      <c r="D72" s="97"/>
      <c r="E72" s="83"/>
      <c r="F72" s="121">
        <v>-52465</v>
      </c>
      <c r="G72" s="121">
        <v>-41719</v>
      </c>
      <c r="H72" s="121"/>
      <c r="I72" s="121"/>
      <c r="J72" s="121">
        <v>-291317</v>
      </c>
      <c r="K72" s="121">
        <v>-283909</v>
      </c>
    </row>
    <row r="73" spans="1:11" ht="18.75">
      <c r="A73" s="95" t="s">
        <v>166</v>
      </c>
      <c r="B73" s="95"/>
      <c r="C73" s="98">
        <v>-6735911</v>
      </c>
      <c r="D73" s="98">
        <v>-2741727</v>
      </c>
      <c r="E73" s="98">
        <v>-2741724</v>
      </c>
      <c r="F73" s="98">
        <v>1242045</v>
      </c>
      <c r="G73" s="98">
        <v>1215552</v>
      </c>
      <c r="H73" s="98">
        <v>-1132712</v>
      </c>
      <c r="I73" s="98">
        <v>-9737049</v>
      </c>
      <c r="J73" s="98">
        <v>906963</v>
      </c>
      <c r="K73" s="98">
        <v>3707402</v>
      </c>
    </row>
    <row r="74" spans="1:11" ht="18.75">
      <c r="A74" s="95" t="s">
        <v>167</v>
      </c>
      <c r="B74" s="95"/>
      <c r="C74" s="99"/>
      <c r="D74" s="99"/>
      <c r="E74" s="121"/>
      <c r="F74" s="121"/>
      <c r="G74" s="121"/>
      <c r="H74" s="121"/>
      <c r="I74" s="121"/>
      <c r="J74" s="121"/>
      <c r="K74" s="121"/>
    </row>
    <row r="75" spans="1:11" ht="18.75">
      <c r="A75" s="95" t="s">
        <v>168</v>
      </c>
      <c r="B75" s="95"/>
      <c r="C75" s="100"/>
      <c r="D75" s="100"/>
      <c r="E75" s="121"/>
      <c r="F75" s="121"/>
      <c r="G75" s="121"/>
      <c r="H75" s="121"/>
      <c r="I75" s="121"/>
      <c r="J75" s="121"/>
      <c r="K75" s="121"/>
    </row>
    <row r="76" spans="1:11" ht="18.75">
      <c r="A76" s="90" t="s">
        <v>169</v>
      </c>
      <c r="B76" s="90"/>
      <c r="C76" s="100"/>
      <c r="D76" s="100"/>
      <c r="E76" s="83"/>
      <c r="F76" s="121"/>
      <c r="G76" s="121"/>
      <c r="H76" s="121"/>
      <c r="I76" s="121"/>
      <c r="J76" s="121"/>
      <c r="K76" s="121"/>
    </row>
    <row r="77" spans="1:11" ht="18.75">
      <c r="A77" s="90" t="s">
        <v>170</v>
      </c>
      <c r="B77" s="90"/>
      <c r="C77" s="97">
        <v>-815876</v>
      </c>
      <c r="D77" s="97">
        <v>-222082</v>
      </c>
      <c r="E77" s="97">
        <v>-222085</v>
      </c>
      <c r="F77" s="121">
        <v>-114369</v>
      </c>
      <c r="G77" s="121">
        <v>-10644</v>
      </c>
      <c r="H77" s="121"/>
      <c r="I77" s="121"/>
      <c r="J77" s="121"/>
      <c r="K77" s="121"/>
    </row>
    <row r="78" spans="1:11" ht="18.75">
      <c r="A78" s="101" t="s">
        <v>116</v>
      </c>
      <c r="B78" s="101"/>
      <c r="C78" s="103">
        <v>-7551787</v>
      </c>
      <c r="D78" s="103">
        <v>-2963809</v>
      </c>
      <c r="E78" s="103">
        <v>-2963809</v>
      </c>
      <c r="F78" s="103">
        <v>1127676</v>
      </c>
      <c r="G78" s="103">
        <v>1204908</v>
      </c>
      <c r="H78" s="103">
        <v>-1132712</v>
      </c>
      <c r="I78" s="103">
        <v>-9737049</v>
      </c>
      <c r="J78" s="129">
        <v>906963</v>
      </c>
      <c r="K78" s="129">
        <v>3707402</v>
      </c>
    </row>
    <row r="80" spans="1:11">
      <c r="A80" s="71" t="s">
        <v>92</v>
      </c>
      <c r="B80" s="72" t="s">
        <v>93</v>
      </c>
      <c r="C80" s="104">
        <f>C58/C56</f>
        <v>0.2230792389519381</v>
      </c>
      <c r="D80" s="104">
        <f t="shared" ref="D80:K80" si="10">D58/D56</f>
        <v>0.38623007271814547</v>
      </c>
      <c r="E80" s="104">
        <f t="shared" si="10"/>
        <v>0.14599328229286704</v>
      </c>
      <c r="F80" s="104">
        <f t="shared" si="10"/>
        <v>0.25152513676134142</v>
      </c>
      <c r="G80" s="104">
        <f t="shared" si="10"/>
        <v>0.20615825491856435</v>
      </c>
      <c r="H80" s="104">
        <f t="shared" si="10"/>
        <v>0.21305650511919863</v>
      </c>
      <c r="I80" s="104">
        <f t="shared" si="10"/>
        <v>-0.22051970693602616</v>
      </c>
      <c r="J80" s="104">
        <f t="shared" si="10"/>
        <v>0.20007285606034583</v>
      </c>
      <c r="K80" s="104">
        <f t="shared" si="10"/>
        <v>0.20192169417081263</v>
      </c>
    </row>
    <row r="81" spans="1:11">
      <c r="A81" s="71" t="s">
        <v>94</v>
      </c>
      <c r="B81" s="72" t="s">
        <v>95</v>
      </c>
      <c r="C81" s="104">
        <f>C78/C56</f>
        <v>-0.30077646886670628</v>
      </c>
      <c r="D81" s="104">
        <f t="shared" ref="D81:K81" si="11">D78/D56</f>
        <v>-0.14736795994197185</v>
      </c>
      <c r="E81" s="104">
        <f t="shared" si="11"/>
        <v>-0.14736795994197185</v>
      </c>
      <c r="F81" s="104">
        <f t="shared" si="11"/>
        <v>4.0280112945311537E-2</v>
      </c>
      <c r="G81" s="104">
        <f t="shared" si="11"/>
        <v>4.7777796062055608E-2</v>
      </c>
      <c r="H81" s="104">
        <f t="shared" si="11"/>
        <v>-6.8327080992098471E-2</v>
      </c>
      <c r="I81" s="104">
        <f t="shared" si="11"/>
        <v>-0.54510446644718913</v>
      </c>
      <c r="J81" s="104">
        <f t="shared" si="11"/>
        <v>2.1830894363502492E-2</v>
      </c>
      <c r="K81" s="104">
        <f t="shared" si="11"/>
        <v>6.6098131050233738E-2</v>
      </c>
    </row>
    <row r="82" spans="1:11">
      <c r="A82" s="71" t="s">
        <v>96</v>
      </c>
      <c r="B82" s="72" t="s">
        <v>97</v>
      </c>
      <c r="C82" s="105">
        <f>C56/C26</f>
        <v>0.78962480111676214</v>
      </c>
      <c r="D82" s="105">
        <f t="shared" ref="D82:K82" si="12">D56/D26</f>
        <v>1.0289177753882481</v>
      </c>
      <c r="E82" s="105">
        <f t="shared" si="12"/>
        <v>0.90514805379178698</v>
      </c>
      <c r="F82" s="105">
        <f t="shared" si="12"/>
        <v>1.3451564809852925</v>
      </c>
      <c r="G82" s="105">
        <f t="shared" si="12"/>
        <v>1.1221120093061587</v>
      </c>
      <c r="H82" s="105">
        <f t="shared" si="12"/>
        <v>0.9276966106019976</v>
      </c>
      <c r="I82" s="105">
        <f t="shared" si="12"/>
        <v>0.62450943620772281</v>
      </c>
      <c r="J82" s="105">
        <f t="shared" si="12"/>
        <v>0.72696552240639378</v>
      </c>
      <c r="K82" s="105">
        <f t="shared" si="12"/>
        <v>0.83343170485156681</v>
      </c>
    </row>
    <row r="83" spans="1:11">
      <c r="A83" s="71" t="s">
        <v>98</v>
      </c>
      <c r="B83" s="72" t="s">
        <v>99</v>
      </c>
      <c r="C83" s="105">
        <f>C26/C34</f>
        <v>-3.2085629494188712</v>
      </c>
      <c r="D83" s="105">
        <f t="shared" ref="D83:K83" si="13">D26/D34</f>
        <v>-8.2885728424629797</v>
      </c>
      <c r="E83" s="105">
        <f t="shared" si="13"/>
        <v>36.690942177365024</v>
      </c>
      <c r="F83" s="105">
        <f t="shared" si="13"/>
        <v>-39.862740854242482</v>
      </c>
      <c r="G83" s="105">
        <f t="shared" si="13"/>
        <v>-11.64691740872351</v>
      </c>
      <c r="H83" s="105">
        <f t="shared" si="13"/>
        <v>-7.0032461335817473</v>
      </c>
      <c r="I83" s="105">
        <f t="shared" si="13"/>
        <v>-13.017623497146644</v>
      </c>
      <c r="J83" s="105">
        <f t="shared" si="13"/>
        <v>6.4704289260059102</v>
      </c>
      <c r="K83" s="105">
        <f t="shared" si="13"/>
        <v>8.4917207372910219</v>
      </c>
    </row>
    <row r="84" spans="1:11">
      <c r="A84" s="71" t="s">
        <v>100</v>
      </c>
      <c r="B84" s="72" t="s">
        <v>118</v>
      </c>
      <c r="C84" s="105">
        <f>C78/C34</f>
        <v>0.76203549538749671</v>
      </c>
      <c r="D84" s="105">
        <f t="shared" ref="D84:K84" si="14">D78/D34</f>
        <v>1.2567922677699785</v>
      </c>
      <c r="E84" s="105">
        <f t="shared" si="14"/>
        <v>-4.8941982509214368</v>
      </c>
      <c r="F84" s="105">
        <f t="shared" si="14"/>
        <v>-2.1598850794866884</v>
      </c>
      <c r="G84" s="105">
        <f t="shared" si="14"/>
        <v>-0.62441498731122957</v>
      </c>
      <c r="H84" s="105">
        <f t="shared" si="14"/>
        <v>0.44391337216570759</v>
      </c>
      <c r="I84" s="105">
        <f t="shared" si="14"/>
        <v>4.4314969209056647</v>
      </c>
      <c r="J84" s="105">
        <f t="shared" si="14"/>
        <v>0.10268769687800815</v>
      </c>
      <c r="K84" s="105">
        <f t="shared" si="14"/>
        <v>0.46779427308778754</v>
      </c>
    </row>
    <row r="85" spans="1:11">
      <c r="A85" s="71" t="s">
        <v>101</v>
      </c>
      <c r="B85" s="72" t="s">
        <v>102</v>
      </c>
      <c r="C85" s="105">
        <f>C25/C50</f>
        <v>0.42801201363552077</v>
      </c>
      <c r="D85" s="105">
        <f t="shared" ref="D85:K85" si="15">D25/D50</f>
        <v>0.52042435931377573</v>
      </c>
      <c r="E85" s="105">
        <f t="shared" si="15"/>
        <v>0.61836517382573042</v>
      </c>
      <c r="F85" s="105">
        <f t="shared" si="15"/>
        <v>0.48184463208431161</v>
      </c>
      <c r="G85" s="105">
        <f t="shared" si="15"/>
        <v>0.45898866880165878</v>
      </c>
      <c r="H85" s="105">
        <f t="shared" si="15"/>
        <v>0.76377132785178437</v>
      </c>
      <c r="I85" s="105">
        <f t="shared" si="15"/>
        <v>0.98841825092037428</v>
      </c>
      <c r="J85" s="105">
        <f t="shared" si="15"/>
        <v>1.1941699933595469</v>
      </c>
      <c r="K85" s="105">
        <f t="shared" si="15"/>
        <v>1.1246876174966656</v>
      </c>
    </row>
    <row r="86" spans="1:11">
      <c r="A86" s="71" t="s">
        <v>103</v>
      </c>
      <c r="B86" s="72" t="s">
        <v>104</v>
      </c>
      <c r="C86" s="105">
        <f>C51/C26</f>
        <v>1.3116660061729872</v>
      </c>
      <c r="D86" s="105">
        <f t="shared" ref="D86:K86" si="16">D51/D26</f>
        <v>1.1206480318151908</v>
      </c>
      <c r="E86" s="105">
        <f t="shared" si="16"/>
        <v>0.97274531694591071</v>
      </c>
      <c r="F86" s="105">
        <f t="shared" si="16"/>
        <v>1.0250860823558643</v>
      </c>
      <c r="G86" s="105">
        <f t="shared" si="16"/>
        <v>1.0858596283383106</v>
      </c>
      <c r="H86" s="105">
        <f t="shared" si="16"/>
        <v>1.1427909259400195</v>
      </c>
      <c r="I86" s="105">
        <f t="shared" si="16"/>
        <v>1.0768189370524652</v>
      </c>
      <c r="J86" s="105">
        <f t="shared" si="16"/>
        <v>0.84545074037042489</v>
      </c>
      <c r="K86" s="105">
        <f t="shared" si="16"/>
        <v>0.88223823758021813</v>
      </c>
    </row>
    <row r="87" spans="1:11">
      <c r="A87" s="71" t="s">
        <v>105</v>
      </c>
      <c r="B87" s="72" t="s">
        <v>106</v>
      </c>
      <c r="C87" s="105">
        <f>C51/C34</f>
        <v>-4.2085629494188712</v>
      </c>
      <c r="D87" s="105">
        <f t="shared" ref="D87:K87" si="17">D51/D34</f>
        <v>-9.2885728424629797</v>
      </c>
      <c r="E87" s="105">
        <f t="shared" si="17"/>
        <v>35.690942177365024</v>
      </c>
      <c r="F87" s="105">
        <f t="shared" si="17"/>
        <v>-40.862740854242482</v>
      </c>
      <c r="G87" s="105">
        <f t="shared" si="17"/>
        <v>-12.64691740872351</v>
      </c>
      <c r="H87" s="105">
        <f t="shared" si="17"/>
        <v>-8.0032461335817473</v>
      </c>
      <c r="I87" s="105">
        <f t="shared" si="17"/>
        <v>-14.017623497146644</v>
      </c>
      <c r="J87" s="105">
        <f t="shared" si="17"/>
        <v>5.4704289260059102</v>
      </c>
      <c r="K87" s="105">
        <f t="shared" si="17"/>
        <v>7.4917207372910219</v>
      </c>
    </row>
    <row r="88" spans="1:11">
      <c r="A88" s="71" t="s">
        <v>171</v>
      </c>
      <c r="B88" s="72" t="s">
        <v>264</v>
      </c>
      <c r="C88" s="73">
        <f>C78*50%</f>
        <v>-3775893.5</v>
      </c>
      <c r="D88" s="73">
        <f t="shared" ref="D88:K88" si="18">D78*50%</f>
        <v>-1481904.5</v>
      </c>
      <c r="E88" s="73">
        <f t="shared" si="18"/>
        <v>-1481904.5</v>
      </c>
      <c r="F88" s="73">
        <f t="shared" si="18"/>
        <v>563838</v>
      </c>
      <c r="G88" s="73">
        <f t="shared" si="18"/>
        <v>602454</v>
      </c>
      <c r="H88" s="73">
        <f t="shared" si="18"/>
        <v>-566356</v>
      </c>
      <c r="I88" s="73">
        <f t="shared" si="18"/>
        <v>-4868524.5</v>
      </c>
      <c r="J88" s="73">
        <f t="shared" si="18"/>
        <v>453481.5</v>
      </c>
      <c r="K88" s="73">
        <f t="shared" si="18"/>
        <v>1853701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1648-D724-489D-B195-FF11580B097C}">
  <sheetPr codeName="Sheet6"/>
  <dimension ref="A1:H89"/>
  <sheetViews>
    <sheetView zoomScale="78" zoomScaleNormal="78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D96" sqref="D96"/>
    </sheetView>
  </sheetViews>
  <sheetFormatPr defaultRowHeight="18"/>
  <cols>
    <col min="1" max="1" width="67" style="71" customWidth="1"/>
    <col min="2" max="2" width="30" style="71" customWidth="1"/>
    <col min="3" max="3" width="27.83203125" style="117" customWidth="1"/>
    <col min="4" max="4" width="28.6640625" style="117" customWidth="1"/>
    <col min="5" max="5" width="28.6640625" style="73" customWidth="1"/>
    <col min="6" max="6" width="30.33203125" style="73" customWidth="1"/>
    <col min="7" max="7" width="36.1640625" style="73" customWidth="1"/>
    <col min="8" max="8" width="25" style="73" customWidth="1"/>
    <col min="9" max="16384" width="9.33203125" style="71"/>
  </cols>
  <sheetData>
    <row r="1" spans="1:8" s="67" customFormat="1" ht="54">
      <c r="A1" s="64" t="s">
        <v>0</v>
      </c>
      <c r="B1" s="64"/>
      <c r="C1" s="106" t="s">
        <v>121</v>
      </c>
      <c r="D1" s="106" t="s">
        <v>122</v>
      </c>
      <c r="E1" s="107" t="s">
        <v>123</v>
      </c>
      <c r="F1" s="107" t="s">
        <v>124</v>
      </c>
      <c r="G1" s="107" t="s">
        <v>125</v>
      </c>
      <c r="H1" s="107" t="s">
        <v>126</v>
      </c>
    </row>
    <row r="2" spans="1:8" s="68" customFormat="1" ht="20.25">
      <c r="A2" s="113"/>
      <c r="B2" s="113"/>
      <c r="C2" s="109"/>
      <c r="D2" s="110"/>
      <c r="E2" s="70"/>
      <c r="F2" s="70"/>
      <c r="G2" s="70"/>
      <c r="H2" s="70"/>
    </row>
    <row r="3" spans="1:8" ht="20.25">
      <c r="A3" s="108" t="s">
        <v>265</v>
      </c>
      <c r="B3" s="108"/>
      <c r="C3" s="111">
        <v>15446746</v>
      </c>
      <c r="D3" s="111">
        <v>13717568</v>
      </c>
      <c r="E3" s="111">
        <v>11950939</v>
      </c>
      <c r="F3" s="111">
        <v>11283610</v>
      </c>
      <c r="G3" s="108">
        <v>10329366</v>
      </c>
      <c r="H3" s="111">
        <v>40476357</v>
      </c>
    </row>
    <row r="4" spans="1:8" ht="20.25">
      <c r="A4" s="108" t="s">
        <v>266</v>
      </c>
      <c r="B4" s="108"/>
      <c r="C4" s="111">
        <v>50911</v>
      </c>
      <c r="D4" s="111">
        <v>56587</v>
      </c>
      <c r="E4" s="111">
        <v>88846</v>
      </c>
      <c r="F4" s="111">
        <v>143624</v>
      </c>
      <c r="G4" s="108">
        <v>272025</v>
      </c>
      <c r="H4" s="111">
        <v>452048</v>
      </c>
    </row>
    <row r="5" spans="1:8" ht="20.25">
      <c r="A5" s="108" t="s">
        <v>267</v>
      </c>
      <c r="B5" s="108"/>
      <c r="C5" s="111"/>
      <c r="D5" s="111"/>
      <c r="E5" s="111"/>
      <c r="F5" s="111"/>
      <c r="G5" s="108"/>
      <c r="H5" s="111"/>
    </row>
    <row r="6" spans="1:8" ht="20.25">
      <c r="A6" s="108" t="s">
        <v>268</v>
      </c>
      <c r="B6" s="108"/>
      <c r="C6" s="111"/>
      <c r="D6" s="111"/>
      <c r="E6" s="111"/>
      <c r="F6" s="111"/>
      <c r="G6" s="108"/>
      <c r="H6" s="111"/>
    </row>
    <row r="7" spans="1:8" ht="20.25">
      <c r="A7" s="108" t="s">
        <v>269</v>
      </c>
      <c r="B7" s="108"/>
      <c r="C7" s="111"/>
      <c r="D7" s="111"/>
      <c r="E7" s="111"/>
      <c r="F7" s="111"/>
      <c r="G7" s="108"/>
      <c r="H7" s="111"/>
    </row>
    <row r="8" spans="1:8" ht="20.25">
      <c r="A8" s="108" t="s">
        <v>270</v>
      </c>
      <c r="B8" s="108"/>
      <c r="C8" s="111"/>
      <c r="D8" s="111"/>
      <c r="E8" s="111"/>
      <c r="F8" s="111"/>
      <c r="G8" s="108"/>
      <c r="H8" s="111"/>
    </row>
    <row r="9" spans="1:8" ht="20.25">
      <c r="A9" s="108" t="s">
        <v>174</v>
      </c>
      <c r="B9" s="108"/>
      <c r="C9" s="109"/>
      <c r="D9" s="109"/>
      <c r="E9" s="111"/>
      <c r="F9" s="111"/>
    </row>
    <row r="10" spans="1:8" s="68" customFormat="1" ht="20.25">
      <c r="A10" s="74" t="s">
        <v>110</v>
      </c>
      <c r="B10" s="74"/>
      <c r="C10" s="112">
        <f t="shared" ref="C10:H10" si="0">SUM(C3:C9)</f>
        <v>15497657</v>
      </c>
      <c r="D10" s="112">
        <f t="shared" si="0"/>
        <v>13774155</v>
      </c>
      <c r="E10" s="76">
        <f t="shared" si="0"/>
        <v>12039785</v>
      </c>
      <c r="F10" s="76">
        <f t="shared" si="0"/>
        <v>11427234</v>
      </c>
      <c r="G10" s="76">
        <f t="shared" si="0"/>
        <v>10601391</v>
      </c>
      <c r="H10" s="76">
        <f t="shared" si="0"/>
        <v>40928405</v>
      </c>
    </row>
    <row r="11" spans="1:8" s="68" customFormat="1" ht="20.25">
      <c r="A11" s="113"/>
      <c r="B11" s="113"/>
      <c r="C11" s="109"/>
      <c r="D11" s="109"/>
      <c r="E11" s="70"/>
      <c r="F11" s="70"/>
      <c r="G11" s="70"/>
      <c r="H11" s="70"/>
    </row>
    <row r="12" spans="1:8" ht="20.25">
      <c r="A12" s="108" t="s">
        <v>175</v>
      </c>
      <c r="B12" s="108"/>
      <c r="C12" s="111">
        <v>1305588</v>
      </c>
      <c r="D12" s="111">
        <v>980442</v>
      </c>
      <c r="E12" s="111">
        <v>1474090</v>
      </c>
      <c r="F12" s="111">
        <v>1712027</v>
      </c>
      <c r="G12" s="108">
        <v>1290458</v>
      </c>
      <c r="H12" s="108">
        <v>2295095</v>
      </c>
    </row>
    <row r="13" spans="1:8" ht="20.25">
      <c r="A13" s="108" t="s">
        <v>271</v>
      </c>
      <c r="B13" s="108"/>
      <c r="C13" s="111">
        <v>39540966</v>
      </c>
      <c r="D13" s="111">
        <v>32151512</v>
      </c>
      <c r="E13" s="111">
        <v>35096641</v>
      </c>
      <c r="F13" s="111">
        <v>13991850</v>
      </c>
      <c r="G13" s="108">
        <v>12799879</v>
      </c>
      <c r="H13" s="108">
        <v>12086739</v>
      </c>
    </row>
    <row r="14" spans="1:8" ht="20.25">
      <c r="A14" s="108" t="s">
        <v>272</v>
      </c>
      <c r="B14" s="108"/>
      <c r="C14" s="111"/>
      <c r="D14" s="111"/>
      <c r="E14" s="111"/>
      <c r="F14" s="111"/>
      <c r="G14" s="108"/>
      <c r="H14" s="108"/>
    </row>
    <row r="15" spans="1:8" ht="20.25">
      <c r="A15" s="108" t="s">
        <v>273</v>
      </c>
      <c r="B15" s="108"/>
      <c r="C15" s="111"/>
      <c r="D15" s="111"/>
      <c r="E15" s="111"/>
      <c r="F15" s="111"/>
      <c r="G15" s="108"/>
      <c r="H15" s="108"/>
    </row>
    <row r="16" spans="1:8" ht="20.25">
      <c r="A16" s="108" t="s">
        <v>274</v>
      </c>
      <c r="B16" s="108"/>
      <c r="C16" s="111"/>
      <c r="D16" s="111"/>
      <c r="E16" s="111"/>
      <c r="F16" s="111"/>
      <c r="G16" s="108"/>
      <c r="H16" s="108"/>
    </row>
    <row r="17" spans="1:8" ht="20.25">
      <c r="A17" s="108" t="s">
        <v>275</v>
      </c>
      <c r="B17" s="108"/>
      <c r="C17" s="111">
        <v>14699437</v>
      </c>
      <c r="D17" s="111">
        <v>9809975</v>
      </c>
      <c r="E17" s="111">
        <v>7314842</v>
      </c>
      <c r="F17" s="111">
        <v>9429014</v>
      </c>
      <c r="G17" s="108">
        <v>8371652</v>
      </c>
      <c r="H17" s="108">
        <v>9769250</v>
      </c>
    </row>
    <row r="18" spans="1:8" ht="20.25">
      <c r="A18" s="108" t="s">
        <v>276</v>
      </c>
      <c r="B18" s="108"/>
      <c r="C18" s="111">
        <v>7563449</v>
      </c>
      <c r="D18" s="111">
        <v>7417622</v>
      </c>
      <c r="E18" s="111">
        <v>5455678</v>
      </c>
      <c r="F18" s="111">
        <v>4318636</v>
      </c>
      <c r="G18" s="108">
        <v>4704093</v>
      </c>
      <c r="H18" s="108">
        <v>3907039</v>
      </c>
    </row>
    <row r="19" spans="1:8" s="68" customFormat="1">
      <c r="A19" s="74" t="s">
        <v>111</v>
      </c>
      <c r="B19" s="74"/>
      <c r="C19" s="77">
        <f t="shared" ref="C19:H19" si="1">SUM(C12:C18)</f>
        <v>63109440</v>
      </c>
      <c r="D19" s="77">
        <f t="shared" si="1"/>
        <v>50359551</v>
      </c>
      <c r="E19" s="77">
        <f t="shared" si="1"/>
        <v>49341251</v>
      </c>
      <c r="F19" s="77">
        <f t="shared" si="1"/>
        <v>29451527</v>
      </c>
      <c r="G19" s="77">
        <f t="shared" si="1"/>
        <v>27166082</v>
      </c>
      <c r="H19" s="77">
        <f t="shared" si="1"/>
        <v>28058123</v>
      </c>
    </row>
    <row r="20" spans="1:8" s="68" customFormat="1">
      <c r="A20" s="74" t="s">
        <v>112</v>
      </c>
      <c r="B20" s="74"/>
      <c r="C20" s="78">
        <f t="shared" ref="C20:H20" si="2">C10+C19</f>
        <v>78607097</v>
      </c>
      <c r="D20" s="78">
        <f t="shared" si="2"/>
        <v>64133706</v>
      </c>
      <c r="E20" s="78">
        <f t="shared" si="2"/>
        <v>61381036</v>
      </c>
      <c r="F20" s="78">
        <f t="shared" si="2"/>
        <v>40878761</v>
      </c>
      <c r="G20" s="78">
        <f t="shared" si="2"/>
        <v>37767473</v>
      </c>
      <c r="H20" s="78">
        <f t="shared" si="2"/>
        <v>68986528</v>
      </c>
    </row>
    <row r="21" spans="1:8" s="68" customFormat="1" ht="20.25">
      <c r="A21" s="113"/>
      <c r="B21" s="113"/>
      <c r="C21" s="109"/>
      <c r="D21" s="109"/>
      <c r="E21" s="70"/>
      <c r="F21" s="70"/>
      <c r="G21" s="70"/>
      <c r="H21" s="70"/>
    </row>
    <row r="22" spans="1:8" ht="20.25">
      <c r="A22" s="148"/>
      <c r="B22" s="148"/>
      <c r="C22" s="111"/>
      <c r="D22" s="111"/>
      <c r="E22" s="111"/>
      <c r="F22" s="111"/>
      <c r="G22" s="111"/>
    </row>
    <row r="23" spans="1:8" ht="20.25">
      <c r="A23" s="111" t="s">
        <v>277</v>
      </c>
      <c r="B23" s="111"/>
      <c r="C23" s="111">
        <v>2900000</v>
      </c>
      <c r="D23" s="111">
        <v>2900000</v>
      </c>
      <c r="E23" s="111">
        <v>2900000</v>
      </c>
      <c r="F23" s="111">
        <v>2900000</v>
      </c>
      <c r="G23" s="111">
        <v>2900000</v>
      </c>
      <c r="H23" s="111">
        <v>2900000</v>
      </c>
    </row>
    <row r="24" spans="1:8" ht="20.25">
      <c r="A24" s="111" t="s">
        <v>278</v>
      </c>
      <c r="B24" s="111"/>
      <c r="C24" s="111">
        <v>1450000</v>
      </c>
      <c r="D24" s="111">
        <v>1450000</v>
      </c>
      <c r="E24" s="111">
        <v>1450000</v>
      </c>
      <c r="F24" s="111">
        <v>1450000</v>
      </c>
      <c r="G24" s="111">
        <v>1450000</v>
      </c>
      <c r="H24" s="111">
        <v>1450000</v>
      </c>
    </row>
    <row r="25" spans="1:8" ht="20.25">
      <c r="A25" s="111" t="s">
        <v>279</v>
      </c>
      <c r="B25" s="111"/>
      <c r="C25" s="111"/>
      <c r="D25" s="111"/>
      <c r="E25" s="111"/>
      <c r="F25" s="111"/>
      <c r="G25" s="111"/>
      <c r="H25" s="111"/>
    </row>
    <row r="26" spans="1:8" ht="20.25">
      <c r="A26" s="111" t="s">
        <v>280</v>
      </c>
      <c r="B26" s="111"/>
      <c r="C26" s="111">
        <v>18858589</v>
      </c>
      <c r="D26" s="111">
        <v>15119188</v>
      </c>
      <c r="E26" s="111">
        <v>13026909</v>
      </c>
      <c r="F26" s="111">
        <v>6271239</v>
      </c>
      <c r="G26" s="111">
        <v>4194190</v>
      </c>
      <c r="H26" s="111">
        <v>3876648</v>
      </c>
    </row>
    <row r="27" spans="1:8" s="68" customFormat="1">
      <c r="A27" s="74" t="s">
        <v>113</v>
      </c>
      <c r="B27" s="74"/>
      <c r="C27" s="76">
        <f t="shared" ref="C27:H27" si="3">SUM(C23:C26)</f>
        <v>23208589</v>
      </c>
      <c r="D27" s="76">
        <f t="shared" si="3"/>
        <v>19469188</v>
      </c>
      <c r="E27" s="76">
        <f t="shared" si="3"/>
        <v>17376909</v>
      </c>
      <c r="F27" s="76">
        <f t="shared" si="3"/>
        <v>10621239</v>
      </c>
      <c r="G27" s="76">
        <f t="shared" si="3"/>
        <v>8544190</v>
      </c>
      <c r="H27" s="76">
        <f t="shared" si="3"/>
        <v>8226648</v>
      </c>
    </row>
    <row r="28" spans="1:8" s="68" customFormat="1" ht="20.25">
      <c r="A28" s="113"/>
      <c r="B28" s="113"/>
      <c r="C28" s="109"/>
      <c r="D28" s="109"/>
      <c r="E28" s="70"/>
      <c r="F28" s="70"/>
      <c r="G28" s="70"/>
      <c r="H28" s="70"/>
    </row>
    <row r="29" spans="1:8" ht="20.25">
      <c r="A29" s="111" t="s">
        <v>281</v>
      </c>
      <c r="B29" s="111"/>
      <c r="C29" s="111"/>
      <c r="D29" s="111"/>
      <c r="E29" s="111"/>
      <c r="F29" s="111"/>
      <c r="G29" s="111"/>
      <c r="H29" s="111"/>
    </row>
    <row r="30" spans="1:8" ht="20.25">
      <c r="A30" s="111" t="s">
        <v>282</v>
      </c>
      <c r="B30" s="111"/>
      <c r="C30" s="111">
        <v>1826128</v>
      </c>
      <c r="D30" s="111">
        <v>1605384</v>
      </c>
      <c r="E30" s="111">
        <v>1392589</v>
      </c>
      <c r="F30" s="111">
        <v>1341879</v>
      </c>
      <c r="G30" s="111">
        <v>1218372</v>
      </c>
      <c r="H30" s="111">
        <v>1162539</v>
      </c>
    </row>
    <row r="31" spans="1:8" ht="20.25">
      <c r="A31" s="111" t="s">
        <v>283</v>
      </c>
      <c r="B31" s="111"/>
      <c r="C31" s="111"/>
      <c r="D31" s="111"/>
      <c r="E31" s="111"/>
      <c r="F31" s="111"/>
      <c r="G31" s="111"/>
      <c r="H31" s="111"/>
    </row>
    <row r="32" spans="1:8" ht="20.25">
      <c r="A32" s="111" t="s">
        <v>284</v>
      </c>
      <c r="B32" s="111"/>
      <c r="C32" s="111"/>
      <c r="D32" s="111"/>
      <c r="E32" s="111"/>
      <c r="F32" s="111"/>
      <c r="G32" s="111"/>
      <c r="H32" s="111"/>
    </row>
    <row r="33" spans="1:8" ht="20.25">
      <c r="A33" s="111" t="s">
        <v>285</v>
      </c>
      <c r="B33" s="111"/>
      <c r="C33" s="111"/>
      <c r="D33" s="111"/>
      <c r="E33" s="111"/>
      <c r="F33" s="111"/>
      <c r="G33" s="111"/>
      <c r="H33" s="111"/>
    </row>
    <row r="34" spans="1:8" ht="20.25">
      <c r="A34" s="111" t="s">
        <v>273</v>
      </c>
      <c r="B34" s="111"/>
      <c r="C34" s="111">
        <v>26075927</v>
      </c>
      <c r="D34" s="111">
        <v>30259625</v>
      </c>
      <c r="E34" s="111">
        <v>28502418</v>
      </c>
      <c r="F34" s="111">
        <v>25212194</v>
      </c>
      <c r="G34" s="111">
        <v>24961010</v>
      </c>
      <c r="H34" s="111">
        <v>55999603</v>
      </c>
    </row>
    <row r="35" spans="1:8" ht="20.25">
      <c r="A35" s="111" t="s">
        <v>286</v>
      </c>
      <c r="B35" s="111"/>
      <c r="C35" s="111"/>
      <c r="D35" s="111"/>
      <c r="E35" s="111"/>
      <c r="F35" s="111"/>
      <c r="G35" s="111"/>
      <c r="H35" s="111"/>
    </row>
    <row r="36" spans="1:8" ht="20.25">
      <c r="A36" s="111" t="s">
        <v>287</v>
      </c>
      <c r="B36" s="111"/>
      <c r="C36" s="111"/>
      <c r="D36" s="111"/>
      <c r="E36" s="111"/>
      <c r="F36" s="111"/>
      <c r="G36" s="111"/>
      <c r="H36" s="111"/>
    </row>
    <row r="37" spans="1:8" ht="20.25">
      <c r="A37" s="111"/>
      <c r="B37" s="111"/>
      <c r="C37" s="111"/>
      <c r="D37" s="111"/>
      <c r="E37" s="111"/>
      <c r="F37" s="111"/>
      <c r="G37" s="111"/>
      <c r="H37" s="111"/>
    </row>
    <row r="38" spans="1:8" s="68" customFormat="1">
      <c r="A38" s="74" t="s">
        <v>114</v>
      </c>
      <c r="B38" s="74"/>
      <c r="C38" s="76">
        <f t="shared" ref="C38:H38" si="4">SUM(C29:C37)</f>
        <v>27902055</v>
      </c>
      <c r="D38" s="76">
        <f t="shared" si="4"/>
        <v>31865009</v>
      </c>
      <c r="E38" s="76">
        <f t="shared" si="4"/>
        <v>29895007</v>
      </c>
      <c r="F38" s="76">
        <f t="shared" si="4"/>
        <v>26554073</v>
      </c>
      <c r="G38" s="76">
        <f t="shared" si="4"/>
        <v>26179382</v>
      </c>
      <c r="H38" s="76">
        <f t="shared" si="4"/>
        <v>57162142</v>
      </c>
    </row>
    <row r="39" spans="1:8" s="68" customFormat="1" ht="20.25">
      <c r="A39" s="113"/>
      <c r="B39" s="113"/>
      <c r="C39" s="109"/>
      <c r="D39" s="109"/>
      <c r="E39" s="70"/>
      <c r="F39" s="70"/>
      <c r="G39" s="70"/>
      <c r="H39" s="70"/>
    </row>
    <row r="40" spans="1:8" ht="20.25">
      <c r="A40" s="111" t="s">
        <v>288</v>
      </c>
      <c r="B40" s="111"/>
      <c r="C40" s="111"/>
      <c r="D40" s="111"/>
      <c r="E40" s="111"/>
      <c r="F40" s="111"/>
      <c r="G40" s="111"/>
      <c r="H40" s="111"/>
    </row>
    <row r="41" spans="1:8" ht="20.25">
      <c r="A41" s="111" t="s">
        <v>289</v>
      </c>
      <c r="B41" s="111"/>
      <c r="C41" s="111">
        <v>8877165</v>
      </c>
      <c r="D41" s="111">
        <v>6029852</v>
      </c>
      <c r="E41" s="111"/>
      <c r="F41" s="111"/>
      <c r="G41" s="111">
        <v>1863321</v>
      </c>
      <c r="H41" s="111">
        <v>1780142</v>
      </c>
    </row>
    <row r="42" spans="1:8" ht="20.25">
      <c r="A42" s="111" t="s">
        <v>290</v>
      </c>
      <c r="B42" s="111"/>
      <c r="C42" s="111"/>
      <c r="D42" s="111"/>
      <c r="E42" s="111"/>
      <c r="F42" s="111"/>
      <c r="G42" s="111"/>
      <c r="H42" s="111"/>
    </row>
    <row r="43" spans="1:8" ht="20.25">
      <c r="A43" s="111" t="s">
        <v>291</v>
      </c>
      <c r="B43" s="111"/>
      <c r="C43" s="71"/>
      <c r="D43" s="71"/>
      <c r="E43" s="111">
        <v>5336479</v>
      </c>
      <c r="F43" s="111">
        <v>2119809</v>
      </c>
      <c r="G43" s="111"/>
      <c r="H43" s="111"/>
    </row>
    <row r="44" spans="1:8" ht="20.25">
      <c r="A44" s="111" t="s">
        <v>292</v>
      </c>
      <c r="B44" s="111"/>
      <c r="C44" s="111">
        <v>5000000</v>
      </c>
      <c r="D44" s="111"/>
      <c r="E44" s="111"/>
      <c r="F44" s="111"/>
      <c r="G44" s="111"/>
      <c r="H44" s="111"/>
    </row>
    <row r="45" spans="1:8" ht="20.25">
      <c r="A45" s="111" t="s">
        <v>293</v>
      </c>
      <c r="B45" s="111"/>
      <c r="C45" s="111">
        <v>12898687</v>
      </c>
      <c r="D45" s="111">
        <v>6169323</v>
      </c>
      <c r="E45" s="111">
        <v>8254398</v>
      </c>
      <c r="F45" s="111">
        <v>1252104</v>
      </c>
      <c r="G45" s="111">
        <v>915921</v>
      </c>
      <c r="H45" s="111">
        <v>1207387</v>
      </c>
    </row>
    <row r="46" spans="1:8" ht="20.25">
      <c r="A46" s="111" t="s">
        <v>294</v>
      </c>
      <c r="B46" s="111"/>
      <c r="C46" s="111">
        <v>720601</v>
      </c>
      <c r="D46" s="111">
        <v>600334</v>
      </c>
      <c r="E46" s="111">
        <v>518243</v>
      </c>
      <c r="F46" s="111">
        <v>331536</v>
      </c>
      <c r="G46" s="111">
        <v>264659</v>
      </c>
      <c r="H46" s="111">
        <v>610209</v>
      </c>
    </row>
    <row r="47" spans="1:8" ht="20.25">
      <c r="A47" s="111" t="s">
        <v>273</v>
      </c>
      <c r="B47" s="111"/>
      <c r="C47" s="111"/>
      <c r="D47" s="111"/>
      <c r="E47" s="111"/>
      <c r="F47" s="111"/>
      <c r="G47" s="111"/>
      <c r="H47" s="111"/>
    </row>
    <row r="48" spans="1:8" ht="20.25">
      <c r="A48" s="111" t="s">
        <v>284</v>
      </c>
      <c r="B48" s="111"/>
      <c r="C48" s="111"/>
      <c r="D48" s="111"/>
      <c r="E48" s="111"/>
      <c r="F48" s="111"/>
      <c r="G48" s="111"/>
      <c r="H48" s="111"/>
    </row>
    <row r="49" spans="1:8" ht="20.25">
      <c r="A49" s="111" t="s">
        <v>295</v>
      </c>
      <c r="B49" s="111"/>
      <c r="C49" s="111"/>
      <c r="D49" s="111"/>
      <c r="E49" s="111"/>
      <c r="F49" s="111"/>
      <c r="G49" s="111"/>
      <c r="H49" s="111"/>
    </row>
    <row r="50" spans="1:8" s="68" customFormat="1">
      <c r="A50" s="74" t="s">
        <v>107</v>
      </c>
      <c r="B50" s="74"/>
      <c r="C50" s="77">
        <f t="shared" ref="C50:H50" si="5">SUM(C40:C49)</f>
        <v>27496453</v>
      </c>
      <c r="D50" s="77">
        <f t="shared" si="5"/>
        <v>12799509</v>
      </c>
      <c r="E50" s="77">
        <f t="shared" si="5"/>
        <v>14109120</v>
      </c>
      <c r="F50" s="77">
        <f t="shared" si="5"/>
        <v>3703449</v>
      </c>
      <c r="G50" s="77">
        <f t="shared" si="5"/>
        <v>3043901</v>
      </c>
      <c r="H50" s="77">
        <f t="shared" si="5"/>
        <v>3597738</v>
      </c>
    </row>
    <row r="51" spans="1:8" s="68" customFormat="1">
      <c r="A51" s="74" t="s">
        <v>108</v>
      </c>
      <c r="B51" s="74"/>
      <c r="C51" s="118">
        <f t="shared" ref="C51:H51" si="6">C38+C50</f>
        <v>55398508</v>
      </c>
      <c r="D51" s="118">
        <f t="shared" si="6"/>
        <v>44664518</v>
      </c>
      <c r="E51" s="76">
        <f t="shared" si="6"/>
        <v>44004127</v>
      </c>
      <c r="F51" s="76">
        <f t="shared" si="6"/>
        <v>30257522</v>
      </c>
      <c r="G51" s="76">
        <f t="shared" si="6"/>
        <v>29223283</v>
      </c>
      <c r="H51" s="76">
        <f t="shared" si="6"/>
        <v>60759880</v>
      </c>
    </row>
    <row r="52" spans="1:8" s="68" customFormat="1">
      <c r="A52" s="74" t="s">
        <v>109</v>
      </c>
      <c r="B52" s="74"/>
      <c r="C52" s="119">
        <f t="shared" ref="C52:H52" si="7">C51+C27</f>
        <v>78607097</v>
      </c>
      <c r="D52" s="119">
        <f t="shared" si="7"/>
        <v>64133706</v>
      </c>
      <c r="E52" s="79">
        <f t="shared" si="7"/>
        <v>61381036</v>
      </c>
      <c r="F52" s="79">
        <f t="shared" si="7"/>
        <v>40878761</v>
      </c>
      <c r="G52" s="79">
        <f t="shared" si="7"/>
        <v>37767473</v>
      </c>
      <c r="H52" s="79">
        <f t="shared" si="7"/>
        <v>68986528</v>
      </c>
    </row>
    <row r="54" spans="1:8">
      <c r="C54" s="119">
        <f t="shared" ref="C54:H54" si="8">C20-C52</f>
        <v>0</v>
      </c>
      <c r="D54" s="119">
        <f t="shared" si="8"/>
        <v>0</v>
      </c>
      <c r="E54" s="78">
        <f t="shared" si="8"/>
        <v>0</v>
      </c>
      <c r="F54" s="78">
        <f t="shared" si="8"/>
        <v>0</v>
      </c>
      <c r="G54" s="78">
        <f t="shared" si="8"/>
        <v>0</v>
      </c>
      <c r="H54" s="78">
        <f t="shared" si="8"/>
        <v>0</v>
      </c>
    </row>
    <row r="55" spans="1:8">
      <c r="A55" s="164"/>
      <c r="B55" s="164"/>
      <c r="C55" s="166"/>
      <c r="D55" s="166"/>
      <c r="E55" s="165"/>
      <c r="F55" s="165"/>
      <c r="G55" s="165"/>
      <c r="H55" s="165"/>
    </row>
    <row r="56" spans="1:8" ht="18.75">
      <c r="A56" s="81" t="s">
        <v>52</v>
      </c>
      <c r="B56" s="81"/>
      <c r="C56" s="122">
        <v>56731697</v>
      </c>
      <c r="D56" s="122">
        <v>51143740</v>
      </c>
      <c r="E56" s="122">
        <v>50429093</v>
      </c>
      <c r="F56" s="122">
        <v>26711621</v>
      </c>
      <c r="G56" s="121">
        <v>28413603</v>
      </c>
      <c r="H56" s="83">
        <v>24434278</v>
      </c>
    </row>
    <row r="57" spans="1:8" ht="18.75">
      <c r="A57" s="85" t="s">
        <v>53</v>
      </c>
      <c r="B57" s="85"/>
      <c r="C57" s="156">
        <v>-39149364</v>
      </c>
      <c r="D57" s="156">
        <v>-37769074</v>
      </c>
      <c r="E57" s="122">
        <v>-35458091</v>
      </c>
      <c r="F57" s="83">
        <v>-18413241</v>
      </c>
      <c r="G57" s="121">
        <v>-21529736</v>
      </c>
      <c r="H57" s="121">
        <v>-17791135</v>
      </c>
    </row>
    <row r="58" spans="1:8" ht="18.75">
      <c r="A58" s="87" t="s">
        <v>54</v>
      </c>
      <c r="B58" s="87"/>
      <c r="C58" s="125">
        <v>17582333</v>
      </c>
      <c r="D58" s="125">
        <v>13374666</v>
      </c>
      <c r="E58" s="89">
        <v>14971002</v>
      </c>
      <c r="F58" s="89">
        <v>8298380</v>
      </c>
      <c r="G58" s="89">
        <v>6883867</v>
      </c>
      <c r="H58" s="89">
        <v>6643143</v>
      </c>
    </row>
    <row r="59" spans="1:8" ht="18.75">
      <c r="A59" s="90" t="s">
        <v>55</v>
      </c>
      <c r="B59" s="90"/>
      <c r="C59" s="122">
        <v>-6120988</v>
      </c>
      <c r="D59" s="122">
        <v>-3874072</v>
      </c>
      <c r="E59" s="122">
        <v>-3920824</v>
      </c>
      <c r="F59" s="122">
        <v>-1280313</v>
      </c>
      <c r="G59" s="121">
        <v>-1421946</v>
      </c>
      <c r="H59" s="121">
        <v>-1146041</v>
      </c>
    </row>
    <row r="60" spans="1:8" ht="18.75">
      <c r="A60" s="90" t="s">
        <v>203</v>
      </c>
      <c r="B60" s="90"/>
      <c r="C60" s="122">
        <v>-765310</v>
      </c>
      <c r="D60" s="122">
        <v>-798070</v>
      </c>
      <c r="E60" s="122">
        <v>-405746</v>
      </c>
      <c r="F60" s="122">
        <v>-436995</v>
      </c>
      <c r="G60" s="121">
        <v>-617900</v>
      </c>
      <c r="H60" s="83">
        <v>-531017</v>
      </c>
    </row>
    <row r="61" spans="1:8" ht="20.25">
      <c r="A61" s="157" t="s">
        <v>296</v>
      </c>
      <c r="B61" s="157"/>
      <c r="C61" s="121"/>
      <c r="D61" s="121"/>
      <c r="E61" s="122"/>
      <c r="F61" s="122"/>
      <c r="G61" s="122">
        <v>-174743</v>
      </c>
      <c r="H61" s="83"/>
    </row>
    <row r="62" spans="1:8" ht="20.25">
      <c r="A62" s="157" t="s">
        <v>297</v>
      </c>
      <c r="B62" s="157"/>
      <c r="C62" s="121"/>
      <c r="D62" s="121"/>
      <c r="E62" s="122"/>
      <c r="F62" s="122"/>
      <c r="G62" s="122">
        <v>-342709</v>
      </c>
      <c r="H62" s="83">
        <v>-134953</v>
      </c>
    </row>
    <row r="63" spans="1:8" ht="18.75">
      <c r="A63" s="90" t="s">
        <v>65</v>
      </c>
      <c r="B63" s="90"/>
      <c r="C63" s="122"/>
      <c r="D63" s="122"/>
      <c r="E63" s="122"/>
      <c r="F63" s="122"/>
      <c r="G63" s="122">
        <v>528850</v>
      </c>
      <c r="H63" s="83"/>
    </row>
    <row r="64" spans="1:8" ht="18.75">
      <c r="A64" s="90" t="s">
        <v>298</v>
      </c>
      <c r="B64" s="90"/>
      <c r="C64" s="122"/>
      <c r="D64" s="122"/>
      <c r="E64" s="122"/>
      <c r="F64" s="122"/>
      <c r="G64" s="122">
        <v>-180023</v>
      </c>
      <c r="H64" s="83">
        <v>-192386</v>
      </c>
    </row>
    <row r="65" spans="1:8" ht="18.75">
      <c r="A65" s="90" t="s">
        <v>205</v>
      </c>
      <c r="B65" s="90"/>
      <c r="C65" s="122"/>
      <c r="D65" s="122"/>
      <c r="E65" s="122"/>
      <c r="F65" s="122"/>
      <c r="G65" s="122">
        <v>-72431</v>
      </c>
      <c r="H65" s="83">
        <v>-72356</v>
      </c>
    </row>
    <row r="66" spans="1:8" ht="18.75">
      <c r="A66" s="90" t="s">
        <v>160</v>
      </c>
      <c r="B66" s="90"/>
      <c r="C66" s="124"/>
      <c r="D66" s="124"/>
      <c r="E66" s="122"/>
      <c r="F66" s="122"/>
      <c r="G66" s="122">
        <v>-156035</v>
      </c>
      <c r="H66" s="121"/>
    </row>
    <row r="67" spans="1:8" ht="18.75">
      <c r="A67" s="87" t="s">
        <v>115</v>
      </c>
      <c r="B67" s="87"/>
      <c r="C67" s="128">
        <v>10696035</v>
      </c>
      <c r="D67" s="128">
        <v>8702524</v>
      </c>
      <c r="E67" s="89">
        <v>10644432</v>
      </c>
      <c r="F67" s="89">
        <v>6581072</v>
      </c>
      <c r="G67" s="94">
        <v>4446930</v>
      </c>
      <c r="H67" s="94">
        <v>4566390</v>
      </c>
    </row>
    <row r="68" spans="1:8" ht="18.75">
      <c r="A68" s="122" t="s">
        <v>161</v>
      </c>
      <c r="B68" s="122"/>
      <c r="C68" s="121">
        <v>-160013</v>
      </c>
      <c r="D68" s="121"/>
      <c r="E68" s="122"/>
      <c r="F68" s="122"/>
      <c r="G68" s="122"/>
      <c r="H68" s="83"/>
    </row>
    <row r="69" spans="1:8" ht="18.75">
      <c r="A69" s="122" t="s">
        <v>299</v>
      </c>
      <c r="B69" s="122"/>
      <c r="C69" s="122">
        <v>24800</v>
      </c>
      <c r="D69" s="122">
        <v>85000</v>
      </c>
      <c r="E69" s="122">
        <v>426993</v>
      </c>
      <c r="F69" s="121"/>
      <c r="G69" s="122"/>
      <c r="H69" s="83">
        <v>-79533</v>
      </c>
    </row>
    <row r="70" spans="1:8" ht="18.75">
      <c r="A70" s="122" t="s">
        <v>300</v>
      </c>
      <c r="B70" s="122"/>
      <c r="C70" s="122"/>
      <c r="D70" s="122"/>
      <c r="E70" s="122"/>
      <c r="F70" s="122"/>
      <c r="G70" s="122"/>
      <c r="H70" s="121"/>
    </row>
    <row r="71" spans="1:8" ht="18.75">
      <c r="A71" s="122" t="s">
        <v>162</v>
      </c>
      <c r="B71" s="122"/>
      <c r="C71" s="122"/>
      <c r="D71" s="122"/>
      <c r="E71" s="122"/>
      <c r="F71" s="122"/>
      <c r="G71" s="83"/>
      <c r="H71" s="121"/>
    </row>
    <row r="72" spans="1:8" ht="18.75">
      <c r="A72" s="95" t="s">
        <v>165</v>
      </c>
      <c r="B72" s="95"/>
      <c r="C72" s="89">
        <v>10560822</v>
      </c>
      <c r="D72" s="89">
        <v>8787524</v>
      </c>
      <c r="E72" s="89">
        <v>11071425</v>
      </c>
      <c r="F72" s="89">
        <v>6581072</v>
      </c>
      <c r="G72" s="89">
        <v>4446930</v>
      </c>
      <c r="H72" s="89">
        <v>4486857</v>
      </c>
    </row>
    <row r="73" spans="1:8" ht="18.75">
      <c r="A73" s="90" t="s">
        <v>67</v>
      </c>
      <c r="B73" s="90"/>
      <c r="C73" s="122">
        <v>-720601</v>
      </c>
      <c r="D73" s="122">
        <v>-600334</v>
      </c>
      <c r="E73" s="122">
        <v>-518243</v>
      </c>
      <c r="F73" s="122">
        <v>-331536</v>
      </c>
      <c r="G73" s="121">
        <v>-264659</v>
      </c>
      <c r="H73" s="83">
        <v>-610209</v>
      </c>
    </row>
    <row r="74" spans="1:8" ht="18.75">
      <c r="A74" s="95" t="s">
        <v>166</v>
      </c>
      <c r="B74" s="95"/>
      <c r="C74" s="98">
        <v>9840221</v>
      </c>
      <c r="D74" s="98">
        <v>8187190</v>
      </c>
      <c r="E74" s="98">
        <v>10553182</v>
      </c>
      <c r="F74" s="98">
        <v>6249536</v>
      </c>
      <c r="G74" s="98">
        <v>4182271</v>
      </c>
      <c r="H74" s="98">
        <v>3876648</v>
      </c>
    </row>
    <row r="75" spans="1:8" ht="18.75">
      <c r="A75" s="95" t="s">
        <v>167</v>
      </c>
      <c r="B75" s="95"/>
      <c r="C75" s="160"/>
      <c r="D75" s="99"/>
      <c r="E75" s="99"/>
      <c r="F75" s="121"/>
      <c r="G75" s="121"/>
      <c r="H75" s="121"/>
    </row>
    <row r="76" spans="1:8" ht="18.75">
      <c r="A76" s="95" t="s">
        <v>168</v>
      </c>
      <c r="B76" s="95"/>
      <c r="C76" s="160"/>
      <c r="D76" s="100"/>
      <c r="E76" s="100"/>
      <c r="F76" s="121"/>
      <c r="G76" s="121"/>
      <c r="H76" s="121"/>
    </row>
    <row r="77" spans="1:8" ht="18.75">
      <c r="A77" s="90" t="s">
        <v>169</v>
      </c>
      <c r="B77" s="90"/>
      <c r="C77" s="122"/>
      <c r="D77" s="100"/>
      <c r="E77" s="100"/>
      <c r="F77" s="83"/>
      <c r="G77" s="121"/>
      <c r="H77" s="121"/>
    </row>
    <row r="78" spans="1:8" ht="18.75">
      <c r="A78" s="90" t="s">
        <v>170</v>
      </c>
      <c r="B78" s="90"/>
      <c r="C78" s="122">
        <v>-100820</v>
      </c>
      <c r="D78" s="122">
        <v>-94911</v>
      </c>
      <c r="E78" s="122">
        <v>18962</v>
      </c>
      <c r="F78" s="122">
        <v>22293</v>
      </c>
      <c r="G78" s="121"/>
      <c r="H78" s="83"/>
    </row>
    <row r="79" spans="1:8" ht="18.75">
      <c r="A79" s="101" t="s">
        <v>116</v>
      </c>
      <c r="B79" s="101"/>
      <c r="C79" s="129">
        <v>9739401</v>
      </c>
      <c r="D79" s="129">
        <v>8092279</v>
      </c>
      <c r="E79" s="129">
        <v>10572144</v>
      </c>
      <c r="F79" s="129">
        <v>6271829</v>
      </c>
      <c r="G79" s="129">
        <v>4182271</v>
      </c>
      <c r="H79" s="129">
        <v>3876648</v>
      </c>
    </row>
    <row r="81" spans="1:8">
      <c r="A81" s="71" t="s">
        <v>92</v>
      </c>
      <c r="B81" s="72" t="s">
        <v>93</v>
      </c>
      <c r="C81" s="167">
        <f>C58/C56</f>
        <v>0.30992080141723949</v>
      </c>
      <c r="D81" s="167">
        <f t="shared" ref="D81:H81" si="9">D58/D56</f>
        <v>0.26151130128535771</v>
      </c>
      <c r="E81" s="167">
        <f t="shared" si="9"/>
        <v>0.2968723232837045</v>
      </c>
      <c r="F81" s="167">
        <f t="shared" si="9"/>
        <v>0.31066553392622637</v>
      </c>
      <c r="G81" s="167">
        <f t="shared" si="9"/>
        <v>0.24227363914389879</v>
      </c>
      <c r="H81" s="167">
        <f t="shared" si="9"/>
        <v>0.27187801497551922</v>
      </c>
    </row>
    <row r="82" spans="1:8">
      <c r="A82" s="71" t="s">
        <v>94</v>
      </c>
      <c r="B82" s="72" t="s">
        <v>95</v>
      </c>
      <c r="C82" s="167">
        <f>C79/C56</f>
        <v>0.17167476939743226</v>
      </c>
      <c r="D82" s="167">
        <f t="shared" ref="D82:H82" si="10">D79/D56</f>
        <v>0.15822618760380058</v>
      </c>
      <c r="E82" s="167">
        <f t="shared" si="10"/>
        <v>0.20964374671580946</v>
      </c>
      <c r="F82" s="167">
        <f t="shared" si="10"/>
        <v>0.23479776835707575</v>
      </c>
      <c r="G82" s="167">
        <f t="shared" si="10"/>
        <v>0.14719256125314342</v>
      </c>
      <c r="H82" s="167">
        <f t="shared" si="10"/>
        <v>0.15865613053923672</v>
      </c>
    </row>
    <row r="83" spans="1:8">
      <c r="A83" s="71" t="s">
        <v>96</v>
      </c>
      <c r="B83" s="72" t="s">
        <v>97</v>
      </c>
      <c r="C83" s="168">
        <f>C56/C20</f>
        <v>0.72171215024007307</v>
      </c>
      <c r="D83" s="168">
        <f t="shared" ref="D83:H83" si="11">D56/D20</f>
        <v>0.79745492954983765</v>
      </c>
      <c r="E83" s="168">
        <f t="shared" si="11"/>
        <v>0.82157448434073355</v>
      </c>
      <c r="F83" s="168">
        <f t="shared" si="11"/>
        <v>0.65343519095405067</v>
      </c>
      <c r="G83" s="168">
        <f t="shared" si="11"/>
        <v>0.75233000100377379</v>
      </c>
      <c r="H83" s="168">
        <f t="shared" si="11"/>
        <v>0.35418912515788592</v>
      </c>
    </row>
    <row r="84" spans="1:8">
      <c r="A84" s="71" t="s">
        <v>98</v>
      </c>
      <c r="B84" s="72" t="s">
        <v>99</v>
      </c>
      <c r="C84" s="168">
        <f>C20/C27</f>
        <v>3.3869830259823206</v>
      </c>
      <c r="D84" s="168">
        <f t="shared" ref="D84:H84" si="12">D20/D27</f>
        <v>3.2941130364553466</v>
      </c>
      <c r="E84" s="168">
        <f t="shared" si="12"/>
        <v>3.5323333971536597</v>
      </c>
      <c r="F84" s="168">
        <f t="shared" si="12"/>
        <v>3.8487751758528361</v>
      </c>
      <c r="G84" s="168">
        <f t="shared" si="12"/>
        <v>4.4202520075045149</v>
      </c>
      <c r="H84" s="168">
        <f t="shared" si="12"/>
        <v>8.3857396110785345</v>
      </c>
    </row>
    <row r="85" spans="1:8">
      <c r="A85" s="71" t="s">
        <v>100</v>
      </c>
      <c r="B85" s="72" t="s">
        <v>118</v>
      </c>
      <c r="C85" s="168">
        <f>C79/C27</f>
        <v>0.41964640762952027</v>
      </c>
      <c r="D85" s="168">
        <f t="shared" ref="D85:H85" si="13">D79/D27</f>
        <v>0.41564542907490543</v>
      </c>
      <c r="E85" s="168">
        <f t="shared" si="13"/>
        <v>0.60840187400417411</v>
      </c>
      <c r="F85" s="168">
        <f t="shared" si="13"/>
        <v>0.59049881092027023</v>
      </c>
      <c r="G85" s="168">
        <f t="shared" si="13"/>
        <v>0.48948712516926707</v>
      </c>
      <c r="H85" s="168">
        <f t="shared" si="13"/>
        <v>0.47123056681165887</v>
      </c>
    </row>
    <row r="86" spans="1:8">
      <c r="A86" s="71" t="s">
        <v>101</v>
      </c>
      <c r="B86" s="72" t="s">
        <v>102</v>
      </c>
      <c r="C86" s="168">
        <f>C19/C50</f>
        <v>2.2951847643766996</v>
      </c>
      <c r="D86" s="168">
        <f t="shared" ref="D86:H86" si="14">D19/D50</f>
        <v>3.9344908464848145</v>
      </c>
      <c r="E86" s="168">
        <f t="shared" si="14"/>
        <v>3.4971175381597153</v>
      </c>
      <c r="F86" s="168">
        <f t="shared" si="14"/>
        <v>7.9524591806178515</v>
      </c>
      <c r="G86" s="168">
        <f t="shared" si="14"/>
        <v>8.9247587224420251</v>
      </c>
      <c r="H86" s="168">
        <f t="shared" si="14"/>
        <v>7.7988233162059046</v>
      </c>
    </row>
    <row r="87" spans="1:8">
      <c r="A87" s="71" t="s">
        <v>103</v>
      </c>
      <c r="B87" s="72" t="s">
        <v>104</v>
      </c>
      <c r="C87" s="168">
        <f>C51/C20</f>
        <v>0.70475198950547679</v>
      </c>
      <c r="D87" s="168">
        <f t="shared" ref="D87:H87" si="15">D51/D20</f>
        <v>0.69642814653499052</v>
      </c>
      <c r="E87" s="168">
        <f t="shared" si="15"/>
        <v>0.71690101483461444</v>
      </c>
      <c r="F87" s="168">
        <f t="shared" si="15"/>
        <v>0.74017708119871828</v>
      </c>
      <c r="G87" s="168">
        <f t="shared" si="15"/>
        <v>0.77376855475609929</v>
      </c>
      <c r="H87" s="168">
        <f t="shared" si="15"/>
        <v>0.88074993424803172</v>
      </c>
    </row>
    <row r="88" spans="1:8">
      <c r="A88" s="71" t="s">
        <v>105</v>
      </c>
      <c r="B88" s="72" t="s">
        <v>106</v>
      </c>
      <c r="C88" s="168">
        <f>C51/C27</f>
        <v>2.3869830259823206</v>
      </c>
      <c r="D88" s="168">
        <f t="shared" ref="D88:H88" si="16">D51/D27</f>
        <v>2.2941130364553466</v>
      </c>
      <c r="E88" s="168">
        <f t="shared" si="16"/>
        <v>2.5323333971536597</v>
      </c>
      <c r="F88" s="168">
        <f t="shared" si="16"/>
        <v>2.8487751758528361</v>
      </c>
      <c r="G88" s="168">
        <f t="shared" si="16"/>
        <v>3.4202520075045149</v>
      </c>
      <c r="H88" s="168">
        <f t="shared" si="16"/>
        <v>7.3857396110785345</v>
      </c>
    </row>
    <row r="89" spans="1:8">
      <c r="A89" s="71" t="s">
        <v>171</v>
      </c>
      <c r="B89" s="72" t="s">
        <v>301</v>
      </c>
      <c r="C89" s="117">
        <f>C79*33%</f>
        <v>3214002.33</v>
      </c>
      <c r="D89" s="117">
        <f t="shared" ref="D89:H89" si="17">D79*33%</f>
        <v>2670452.0700000003</v>
      </c>
      <c r="E89" s="117">
        <f t="shared" si="17"/>
        <v>3488807.52</v>
      </c>
      <c r="F89" s="117">
        <f t="shared" si="17"/>
        <v>2069703.57</v>
      </c>
      <c r="G89" s="117">
        <f t="shared" si="17"/>
        <v>1380149.4300000002</v>
      </c>
      <c r="H89" s="117">
        <f t="shared" si="17"/>
        <v>1279293.8400000001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0019-C3DE-4C1C-88CF-0FD94ADB4563}">
  <dimension ref="A1:L80"/>
  <sheetViews>
    <sheetView zoomScale="86" zoomScaleNormal="86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80" sqref="C80"/>
    </sheetView>
  </sheetViews>
  <sheetFormatPr defaultRowHeight="18"/>
  <cols>
    <col min="1" max="1" width="67" style="71" customWidth="1"/>
    <col min="2" max="2" width="22.6640625" style="71" customWidth="1"/>
    <col min="3" max="3" width="28.1640625" style="73" customWidth="1"/>
    <col min="4" max="4" width="27.83203125" style="117" customWidth="1"/>
    <col min="5" max="5" width="28.6640625" style="117" customWidth="1"/>
    <col min="6" max="6" width="28.6640625" style="73" customWidth="1"/>
    <col min="7" max="7" width="30.33203125" style="73" customWidth="1"/>
    <col min="8" max="8" width="36.1640625" style="73" customWidth="1"/>
    <col min="9" max="9" width="25" style="73" customWidth="1"/>
    <col min="10" max="10" width="26" style="73" customWidth="1"/>
    <col min="11" max="11" width="28.33203125" style="73" customWidth="1"/>
    <col min="12" max="12" width="26.83203125" style="73" customWidth="1"/>
    <col min="13" max="16384" width="9.33203125" style="71"/>
  </cols>
  <sheetData>
    <row r="1" spans="1:12" s="67" customFormat="1" ht="54">
      <c r="A1" s="64" t="s">
        <v>0</v>
      </c>
      <c r="B1" s="64"/>
      <c r="C1" s="106" t="s">
        <v>120</v>
      </c>
      <c r="D1" s="106" t="s">
        <v>121</v>
      </c>
      <c r="E1" s="106" t="s">
        <v>122</v>
      </c>
      <c r="F1" s="107" t="s">
        <v>123</v>
      </c>
      <c r="G1" s="107" t="s">
        <v>124</v>
      </c>
      <c r="H1" s="107" t="s">
        <v>125</v>
      </c>
      <c r="I1" s="107" t="s">
        <v>126</v>
      </c>
      <c r="J1" s="107" t="s">
        <v>127</v>
      </c>
      <c r="K1" s="107" t="s">
        <v>128</v>
      </c>
      <c r="L1" s="107" t="s">
        <v>129</v>
      </c>
    </row>
    <row r="2" spans="1:12" s="68" customFormat="1" ht="20.25">
      <c r="A2" s="113"/>
      <c r="B2" s="113"/>
      <c r="C2" s="148"/>
      <c r="D2" s="109"/>
      <c r="E2" s="110"/>
      <c r="F2" s="70"/>
      <c r="G2" s="70"/>
      <c r="H2" s="70"/>
      <c r="I2" s="70"/>
      <c r="J2" s="70"/>
      <c r="K2" s="70"/>
      <c r="L2" s="70"/>
    </row>
    <row r="3" spans="1:12" ht="20.25">
      <c r="A3" s="108" t="s">
        <v>265</v>
      </c>
      <c r="B3" s="108"/>
      <c r="C3" s="111">
        <v>117659221</v>
      </c>
      <c r="D3" s="108">
        <v>120504326</v>
      </c>
      <c r="E3" s="108">
        <v>133197200</v>
      </c>
      <c r="F3" s="108">
        <v>91115282</v>
      </c>
      <c r="G3" s="108">
        <v>130056013</v>
      </c>
      <c r="H3" s="108">
        <v>133611885</v>
      </c>
      <c r="I3" s="111">
        <v>95131580</v>
      </c>
      <c r="J3" s="111">
        <v>94570644</v>
      </c>
      <c r="K3" s="111">
        <v>94399220</v>
      </c>
      <c r="L3" s="111">
        <v>104691424</v>
      </c>
    </row>
    <row r="4" spans="1:12" ht="20.25">
      <c r="A4" s="108" t="s">
        <v>266</v>
      </c>
      <c r="B4" s="108"/>
      <c r="C4" s="111">
        <v>205609</v>
      </c>
      <c r="D4" s="108">
        <v>307423</v>
      </c>
      <c r="E4" s="108">
        <v>409238</v>
      </c>
      <c r="F4" s="108">
        <v>521440</v>
      </c>
      <c r="G4" s="108">
        <v>609909</v>
      </c>
      <c r="H4" s="108">
        <v>719868</v>
      </c>
      <c r="I4" s="111">
        <v>829828</v>
      </c>
      <c r="J4" s="111"/>
      <c r="K4" s="111"/>
      <c r="L4" s="111"/>
    </row>
    <row r="5" spans="1:12" ht="20.25">
      <c r="A5" s="108" t="s">
        <v>267</v>
      </c>
      <c r="B5" s="108"/>
      <c r="C5" s="111"/>
      <c r="D5" s="108"/>
      <c r="E5" s="108"/>
      <c r="F5" s="108"/>
      <c r="G5" s="108">
        <v>1</v>
      </c>
      <c r="H5" s="108">
        <v>1</v>
      </c>
      <c r="I5" s="111">
        <v>1</v>
      </c>
      <c r="J5" s="111">
        <v>1</v>
      </c>
      <c r="K5" s="111">
        <v>1</v>
      </c>
      <c r="L5" s="111">
        <v>1</v>
      </c>
    </row>
    <row r="6" spans="1:12" ht="20.25">
      <c r="A6" s="108" t="s">
        <v>268</v>
      </c>
      <c r="B6" s="108"/>
      <c r="C6" s="111"/>
      <c r="D6" s="108"/>
      <c r="E6" s="108"/>
      <c r="F6" s="108"/>
      <c r="G6" s="108"/>
      <c r="H6" s="108"/>
      <c r="I6" s="111">
        <v>6559057</v>
      </c>
      <c r="J6" s="111"/>
      <c r="K6" s="111"/>
      <c r="L6" s="111"/>
    </row>
    <row r="7" spans="1:12" ht="20.25">
      <c r="A7" s="108" t="s">
        <v>269</v>
      </c>
      <c r="B7" s="108"/>
      <c r="C7" s="111"/>
      <c r="D7" s="108"/>
      <c r="E7" s="108"/>
      <c r="F7" s="108"/>
      <c r="G7" s="108">
        <v>5280443</v>
      </c>
      <c r="H7" s="108">
        <v>4507559</v>
      </c>
      <c r="I7" s="111">
        <v>2078606</v>
      </c>
      <c r="J7" s="111"/>
      <c r="K7" s="111"/>
      <c r="L7" s="111"/>
    </row>
    <row r="8" spans="1:12" ht="20.25">
      <c r="A8" s="108" t="s">
        <v>270</v>
      </c>
      <c r="B8" s="108"/>
      <c r="C8" s="111">
        <v>1816897</v>
      </c>
      <c r="D8" s="108">
        <v>1561212</v>
      </c>
      <c r="E8" s="108">
        <v>1693228</v>
      </c>
      <c r="F8" s="108">
        <v>1825244</v>
      </c>
      <c r="G8" s="108">
        <v>2433423</v>
      </c>
      <c r="H8" s="108">
        <v>1952662</v>
      </c>
      <c r="I8" s="111">
        <v>2598341</v>
      </c>
      <c r="J8" s="111"/>
      <c r="K8" s="111"/>
      <c r="L8" s="111"/>
    </row>
    <row r="9" spans="1:12" ht="20.25">
      <c r="A9" s="108" t="s">
        <v>174</v>
      </c>
      <c r="B9" s="108"/>
      <c r="C9" s="111">
        <v>13157651</v>
      </c>
      <c r="D9" s="109">
        <v>19791950</v>
      </c>
      <c r="E9" s="109">
        <v>19079920</v>
      </c>
      <c r="F9" s="111">
        <v>53053282</v>
      </c>
      <c r="G9" s="111"/>
      <c r="J9" s="111"/>
      <c r="K9" s="111"/>
      <c r="L9" s="111"/>
    </row>
    <row r="10" spans="1:12" s="68" customFormat="1" ht="20.25">
      <c r="A10" s="74" t="s">
        <v>110</v>
      </c>
      <c r="B10" s="74"/>
      <c r="C10" s="112">
        <f t="shared" ref="C10:L10" si="0">SUM(C3:C9)</f>
        <v>132839378</v>
      </c>
      <c r="D10" s="112">
        <f t="shared" si="0"/>
        <v>142164911</v>
      </c>
      <c r="E10" s="112">
        <f t="shared" si="0"/>
        <v>154379586</v>
      </c>
      <c r="F10" s="76">
        <f t="shared" si="0"/>
        <v>146515248</v>
      </c>
      <c r="G10" s="76">
        <f t="shared" si="0"/>
        <v>138379789</v>
      </c>
      <c r="H10" s="76">
        <f t="shared" si="0"/>
        <v>140791975</v>
      </c>
      <c r="I10" s="76">
        <f t="shared" si="0"/>
        <v>107197413</v>
      </c>
      <c r="J10" s="76">
        <f t="shared" si="0"/>
        <v>94570645</v>
      </c>
      <c r="K10" s="76">
        <f t="shared" si="0"/>
        <v>94399221</v>
      </c>
      <c r="L10" s="76">
        <f t="shared" si="0"/>
        <v>104691425</v>
      </c>
    </row>
    <row r="11" spans="1:12" s="68" customFormat="1" ht="20.25">
      <c r="A11" s="113"/>
      <c r="B11" s="113"/>
      <c r="C11" s="148"/>
      <c r="D11" s="109"/>
      <c r="E11" s="109"/>
      <c r="F11" s="70"/>
      <c r="G11" s="70"/>
      <c r="H11" s="70"/>
      <c r="I11" s="70"/>
      <c r="J11" s="70"/>
      <c r="K11" s="70"/>
      <c r="L11" s="70"/>
    </row>
    <row r="12" spans="1:12" ht="20.25">
      <c r="A12" s="108" t="s">
        <v>175</v>
      </c>
      <c r="B12" s="108"/>
      <c r="C12" s="111">
        <v>5611990</v>
      </c>
      <c r="D12" s="108">
        <v>7938883</v>
      </c>
      <c r="E12" s="108">
        <v>2872899</v>
      </c>
      <c r="F12" s="108">
        <v>5560231</v>
      </c>
      <c r="G12" s="108">
        <v>22046472</v>
      </c>
      <c r="H12" s="108">
        <v>17491455</v>
      </c>
      <c r="I12" s="108">
        <v>7704230</v>
      </c>
      <c r="J12" s="73">
        <v>8485000</v>
      </c>
      <c r="K12" s="111">
        <v>21172836</v>
      </c>
      <c r="L12" s="111">
        <v>12444261</v>
      </c>
    </row>
    <row r="13" spans="1:12" ht="20.25">
      <c r="A13" s="108" t="s">
        <v>271</v>
      </c>
      <c r="B13" s="108"/>
      <c r="C13" s="111">
        <v>28270844</v>
      </c>
      <c r="D13" s="108">
        <v>29282295</v>
      </c>
      <c r="E13" s="108">
        <v>26052433</v>
      </c>
      <c r="F13" s="108">
        <v>46559104</v>
      </c>
      <c r="G13" s="108">
        <v>33303264</v>
      </c>
      <c r="H13" s="108">
        <v>26132509</v>
      </c>
      <c r="I13" s="108">
        <v>29429252</v>
      </c>
      <c r="J13" s="73">
        <v>22976094</v>
      </c>
      <c r="K13" s="111">
        <v>27798316</v>
      </c>
      <c r="L13" s="111">
        <v>29779200</v>
      </c>
    </row>
    <row r="14" spans="1:12" ht="20.25">
      <c r="A14" s="108" t="s">
        <v>272</v>
      </c>
      <c r="B14" s="108"/>
      <c r="C14" s="111"/>
      <c r="D14" s="108"/>
      <c r="E14" s="108"/>
      <c r="F14" s="108"/>
      <c r="G14" s="108"/>
      <c r="H14" s="108"/>
      <c r="I14" s="108">
        <v>1938080</v>
      </c>
      <c r="K14" s="111"/>
      <c r="L14" s="111"/>
    </row>
    <row r="15" spans="1:12" ht="20.25">
      <c r="A15" s="108" t="s">
        <v>273</v>
      </c>
      <c r="B15" s="108"/>
      <c r="C15" s="111">
        <v>112903</v>
      </c>
      <c r="D15" s="108">
        <v>56534</v>
      </c>
      <c r="E15" s="108">
        <v>36744</v>
      </c>
      <c r="F15" s="108"/>
      <c r="G15" s="108"/>
      <c r="H15" s="108"/>
      <c r="I15" s="108"/>
      <c r="K15" s="111"/>
      <c r="L15" s="111"/>
    </row>
    <row r="16" spans="1:12" ht="20.25">
      <c r="A16" s="108" t="s">
        <v>274</v>
      </c>
      <c r="B16" s="108"/>
      <c r="C16" s="111"/>
      <c r="D16" s="108"/>
      <c r="E16" s="108"/>
      <c r="F16" s="108"/>
      <c r="G16" s="108"/>
      <c r="H16" s="108"/>
      <c r="I16" s="108">
        <v>13827626</v>
      </c>
      <c r="J16" s="169"/>
      <c r="K16" s="111"/>
      <c r="L16" s="111"/>
    </row>
    <row r="17" spans="1:12" ht="20.25">
      <c r="A17" s="108" t="s">
        <v>275</v>
      </c>
      <c r="B17" s="108"/>
      <c r="C17" s="111">
        <v>26943559</v>
      </c>
      <c r="D17" s="108">
        <v>29059799</v>
      </c>
      <c r="E17" s="108">
        <v>26569063</v>
      </c>
      <c r="F17" s="108">
        <v>61170566</v>
      </c>
      <c r="G17" s="108">
        <v>35767230</v>
      </c>
      <c r="H17" s="108">
        <v>31397381</v>
      </c>
      <c r="I17" s="108">
        <v>32272036</v>
      </c>
      <c r="J17" s="111">
        <v>27655179</v>
      </c>
      <c r="K17" s="111">
        <v>17994741</v>
      </c>
      <c r="L17" s="111">
        <v>25682526</v>
      </c>
    </row>
    <row r="18" spans="1:12" ht="20.25">
      <c r="A18" s="108" t="s">
        <v>276</v>
      </c>
      <c r="B18" s="108"/>
      <c r="C18" s="111">
        <v>3232681</v>
      </c>
      <c r="D18" s="108">
        <v>5316135</v>
      </c>
      <c r="E18" s="108">
        <v>4543249</v>
      </c>
      <c r="F18" s="108">
        <v>11467858</v>
      </c>
      <c r="G18" s="108">
        <v>7715881</v>
      </c>
      <c r="H18" s="108">
        <v>4435906</v>
      </c>
      <c r="I18" s="108">
        <v>9126683</v>
      </c>
      <c r="J18" s="111">
        <v>4271063</v>
      </c>
      <c r="K18" s="111">
        <v>2644461</v>
      </c>
      <c r="L18" s="111">
        <v>2243295</v>
      </c>
    </row>
    <row r="19" spans="1:12" s="68" customFormat="1">
      <c r="A19" s="74" t="s">
        <v>111</v>
      </c>
      <c r="B19" s="74"/>
      <c r="C19" s="77">
        <f>SUM(C12:C18)</f>
        <v>64171977</v>
      </c>
      <c r="D19" s="77">
        <f t="shared" ref="D19:L19" si="1">SUM(D12:D18)</f>
        <v>71653646</v>
      </c>
      <c r="E19" s="77">
        <f t="shared" si="1"/>
        <v>60074388</v>
      </c>
      <c r="F19" s="77">
        <f t="shared" si="1"/>
        <v>124757759</v>
      </c>
      <c r="G19" s="77">
        <f t="shared" si="1"/>
        <v>98832847</v>
      </c>
      <c r="H19" s="77">
        <f t="shared" si="1"/>
        <v>79457251</v>
      </c>
      <c r="I19" s="77">
        <f t="shared" si="1"/>
        <v>94297907</v>
      </c>
      <c r="J19" s="77">
        <f t="shared" si="1"/>
        <v>63387336</v>
      </c>
      <c r="K19" s="77">
        <f t="shared" si="1"/>
        <v>69610354</v>
      </c>
      <c r="L19" s="77">
        <f t="shared" si="1"/>
        <v>70149282</v>
      </c>
    </row>
    <row r="20" spans="1:12" s="68" customFormat="1">
      <c r="A20" s="74" t="s">
        <v>112</v>
      </c>
      <c r="B20" s="74"/>
      <c r="C20" s="78">
        <f t="shared" ref="C20:L20" si="2">C10+C19</f>
        <v>197011355</v>
      </c>
      <c r="D20" s="78">
        <f t="shared" si="2"/>
        <v>213818557</v>
      </c>
      <c r="E20" s="78">
        <f t="shared" si="2"/>
        <v>214453974</v>
      </c>
      <c r="F20" s="78">
        <f t="shared" si="2"/>
        <v>271273007</v>
      </c>
      <c r="G20" s="78">
        <f t="shared" si="2"/>
        <v>237212636</v>
      </c>
      <c r="H20" s="78">
        <f t="shared" si="2"/>
        <v>220249226</v>
      </c>
      <c r="I20" s="78">
        <f t="shared" si="2"/>
        <v>201495320</v>
      </c>
      <c r="J20" s="78">
        <f t="shared" si="2"/>
        <v>157957981</v>
      </c>
      <c r="K20" s="78">
        <f t="shared" si="2"/>
        <v>164009575</v>
      </c>
      <c r="L20" s="78">
        <f t="shared" si="2"/>
        <v>174840707</v>
      </c>
    </row>
    <row r="21" spans="1:12" s="68" customFormat="1" ht="20.25">
      <c r="A21" s="113"/>
      <c r="B21" s="113"/>
      <c r="C21" s="148"/>
      <c r="D21" s="109"/>
      <c r="E21" s="109"/>
      <c r="F21" s="70"/>
      <c r="G21" s="70"/>
      <c r="H21" s="70"/>
      <c r="I21" s="70"/>
      <c r="J21" s="70"/>
      <c r="K21" s="70"/>
      <c r="L21" s="70"/>
    </row>
    <row r="22" spans="1:12" ht="20.25">
      <c r="A22" s="148"/>
      <c r="B22" s="148"/>
      <c r="C22" s="148"/>
      <c r="D22" s="111"/>
      <c r="E22" s="111"/>
      <c r="F22" s="111"/>
      <c r="G22" s="111"/>
      <c r="H22" s="111"/>
    </row>
    <row r="23" spans="1:12" ht="20.25">
      <c r="A23" s="111" t="s">
        <v>302</v>
      </c>
      <c r="B23" s="111"/>
      <c r="C23" s="111">
        <v>100000000</v>
      </c>
      <c r="D23" s="111">
        <v>100000000</v>
      </c>
      <c r="E23" s="111">
        <v>100000000</v>
      </c>
      <c r="F23" s="111">
        <v>100000000</v>
      </c>
      <c r="G23" s="111">
        <v>100000000</v>
      </c>
      <c r="H23" s="111">
        <v>100000000</v>
      </c>
      <c r="I23" s="111">
        <v>100000000</v>
      </c>
      <c r="J23" s="111">
        <v>100000000</v>
      </c>
      <c r="K23" s="111">
        <v>100000000</v>
      </c>
      <c r="L23" s="111">
        <v>100000000</v>
      </c>
    </row>
    <row r="24" spans="1:12" ht="20.25">
      <c r="A24" s="111" t="s">
        <v>303</v>
      </c>
      <c r="B24" s="111"/>
      <c r="C24" s="111">
        <v>5143590</v>
      </c>
      <c r="D24" s="111">
        <v>5143590</v>
      </c>
      <c r="E24" s="111">
        <v>4712231</v>
      </c>
      <c r="F24" s="111">
        <v>4712231</v>
      </c>
      <c r="G24" s="111">
        <v>4712231</v>
      </c>
      <c r="H24" s="111">
        <v>4410811</v>
      </c>
      <c r="I24" s="111">
        <v>4072555</v>
      </c>
      <c r="J24" s="111">
        <v>3834667</v>
      </c>
      <c r="K24" s="111">
        <v>3834667</v>
      </c>
      <c r="L24" s="111">
        <v>2959257</v>
      </c>
    </row>
    <row r="25" spans="1:12" ht="20.25">
      <c r="A25" s="111" t="s">
        <v>304</v>
      </c>
      <c r="B25" s="111"/>
      <c r="C25" s="111"/>
      <c r="D25" s="111"/>
      <c r="E25" s="111"/>
      <c r="F25" s="111"/>
      <c r="G25" s="111">
        <v>290972</v>
      </c>
      <c r="H25" s="111">
        <v>253158</v>
      </c>
      <c r="I25" s="111">
        <v>8117380</v>
      </c>
      <c r="J25" s="111"/>
      <c r="K25" s="111"/>
      <c r="L25" s="111"/>
    </row>
    <row r="26" spans="1:12" ht="20.25">
      <c r="A26" s="111" t="s">
        <v>305</v>
      </c>
      <c r="B26" s="111"/>
      <c r="C26" s="111">
        <v>-20289275</v>
      </c>
      <c r="D26" s="111">
        <v>-21483919</v>
      </c>
      <c r="E26" s="111">
        <v>-25877111</v>
      </c>
      <c r="F26" s="111">
        <v>828693</v>
      </c>
      <c r="G26" s="111">
        <v>13261946</v>
      </c>
      <c r="H26" s="111">
        <v>10549163</v>
      </c>
      <c r="I26" s="111"/>
      <c r="J26" s="111">
        <v>9533413</v>
      </c>
      <c r="K26" s="111">
        <v>16932936</v>
      </c>
      <c r="L26" s="111">
        <v>9054244</v>
      </c>
    </row>
    <row r="27" spans="1:12" s="68" customFormat="1">
      <c r="A27" s="74" t="s">
        <v>113</v>
      </c>
      <c r="B27" s="74"/>
      <c r="C27" s="76">
        <f t="shared" ref="C27:L27" si="3">SUM(C23:C26)</f>
        <v>84854315</v>
      </c>
      <c r="D27" s="76">
        <f t="shared" si="3"/>
        <v>83659671</v>
      </c>
      <c r="E27" s="76">
        <f t="shared" si="3"/>
        <v>78835120</v>
      </c>
      <c r="F27" s="76">
        <f t="shared" si="3"/>
        <v>105540924</v>
      </c>
      <c r="G27" s="76">
        <f t="shared" si="3"/>
        <v>118265149</v>
      </c>
      <c r="H27" s="76">
        <f t="shared" si="3"/>
        <v>115213132</v>
      </c>
      <c r="I27" s="76">
        <f t="shared" si="3"/>
        <v>112189935</v>
      </c>
      <c r="J27" s="76">
        <f t="shared" si="3"/>
        <v>113368080</v>
      </c>
      <c r="K27" s="76">
        <f t="shared" si="3"/>
        <v>120767603</v>
      </c>
      <c r="L27" s="76">
        <f t="shared" si="3"/>
        <v>112013501</v>
      </c>
    </row>
    <row r="28" spans="1:12" s="68" customFormat="1" ht="20.25">
      <c r="A28" s="113"/>
      <c r="B28" s="113"/>
      <c r="C28" s="148"/>
      <c r="D28" s="109"/>
      <c r="E28" s="109"/>
      <c r="F28" s="70"/>
      <c r="G28" s="70"/>
      <c r="H28" s="70"/>
      <c r="I28" s="70"/>
      <c r="J28" s="70"/>
      <c r="K28" s="70"/>
      <c r="L28" s="70"/>
    </row>
    <row r="29" spans="1:12" ht="30.75" customHeight="1">
      <c r="A29" s="111" t="s">
        <v>306</v>
      </c>
      <c r="B29" s="111"/>
      <c r="C29" s="111">
        <v>1671150</v>
      </c>
      <c r="D29" s="111">
        <v>15750000</v>
      </c>
      <c r="E29" s="111">
        <v>26451267</v>
      </c>
      <c r="F29" s="111">
        <v>39520755</v>
      </c>
      <c r="G29" s="111">
        <v>50840918</v>
      </c>
      <c r="H29" s="111">
        <v>49106895</v>
      </c>
      <c r="I29" s="111">
        <v>19238476</v>
      </c>
      <c r="J29" s="111"/>
      <c r="K29" s="111"/>
      <c r="L29" s="111"/>
    </row>
    <row r="30" spans="1:12" ht="20.25">
      <c r="A30" s="111" t="s">
        <v>307</v>
      </c>
      <c r="B30" s="111"/>
      <c r="C30" s="111">
        <v>5528423</v>
      </c>
      <c r="D30" s="111">
        <v>5581629</v>
      </c>
      <c r="E30" s="111">
        <v>6174684</v>
      </c>
      <c r="F30" s="111">
        <v>6182107</v>
      </c>
      <c r="G30" s="111">
        <v>4748951</v>
      </c>
      <c r="H30" s="111">
        <v>5087484</v>
      </c>
      <c r="I30" s="111">
        <v>5356597</v>
      </c>
      <c r="J30" s="111">
        <v>5122483</v>
      </c>
      <c r="K30" s="111">
        <v>5193049</v>
      </c>
      <c r="L30" s="111">
        <v>5041922</v>
      </c>
    </row>
    <row r="31" spans="1:12" ht="20.25">
      <c r="A31" s="111" t="s">
        <v>283</v>
      </c>
      <c r="B31" s="111"/>
      <c r="C31" s="111"/>
      <c r="D31" s="111"/>
      <c r="E31" s="111"/>
      <c r="F31" s="111"/>
      <c r="G31" s="111"/>
      <c r="H31" s="111"/>
      <c r="I31" s="111">
        <v>2207268</v>
      </c>
      <c r="J31" s="111"/>
      <c r="K31" s="111"/>
      <c r="L31" s="111"/>
    </row>
    <row r="32" spans="1:12" ht="20.25">
      <c r="A32" s="111" t="s">
        <v>308</v>
      </c>
      <c r="B32" s="111"/>
      <c r="C32" s="111">
        <v>1601977</v>
      </c>
      <c r="D32" s="111">
        <v>1498698</v>
      </c>
      <c r="E32" s="111">
        <v>1603300</v>
      </c>
      <c r="F32" s="111">
        <v>1702860</v>
      </c>
      <c r="G32" s="111">
        <v>1704249</v>
      </c>
      <c r="H32" s="111">
        <v>1704249</v>
      </c>
      <c r="I32" s="111"/>
      <c r="J32" s="111"/>
      <c r="K32" s="111"/>
      <c r="L32" s="111"/>
    </row>
    <row r="33" spans="1:12" ht="20.25">
      <c r="A33" s="111" t="s">
        <v>285</v>
      </c>
      <c r="B33" s="111"/>
      <c r="C33" s="111"/>
      <c r="D33" s="111">
        <v>3308515</v>
      </c>
      <c r="E33" s="111">
        <v>3772187</v>
      </c>
      <c r="F33" s="111"/>
      <c r="G33" s="111"/>
      <c r="H33" s="111"/>
      <c r="I33" s="111"/>
      <c r="J33" s="111"/>
      <c r="K33" s="111"/>
      <c r="L33" s="111"/>
    </row>
    <row r="34" spans="1:12" ht="20.25">
      <c r="A34" s="111" t="s">
        <v>273</v>
      </c>
      <c r="B34" s="111"/>
      <c r="C34" s="111">
        <v>5375000</v>
      </c>
      <c r="D34" s="111">
        <v>28611364</v>
      </c>
      <c r="E34" s="111"/>
      <c r="F34" s="111"/>
      <c r="G34" s="111"/>
      <c r="H34" s="111"/>
      <c r="I34" s="111"/>
      <c r="J34" s="111"/>
      <c r="K34" s="111"/>
      <c r="L34" s="111"/>
    </row>
    <row r="35" spans="1:12" ht="2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</row>
    <row r="36" spans="1:12" s="68" customFormat="1">
      <c r="A36" s="74" t="s">
        <v>114</v>
      </c>
      <c r="B36" s="74"/>
      <c r="C36" s="76">
        <f t="shared" ref="C36:L36" si="4">SUM(C29:C35)</f>
        <v>14176550</v>
      </c>
      <c r="D36" s="76">
        <f t="shared" si="4"/>
        <v>54750206</v>
      </c>
      <c r="E36" s="76">
        <f t="shared" si="4"/>
        <v>38001438</v>
      </c>
      <c r="F36" s="76">
        <f t="shared" si="4"/>
        <v>47405722</v>
      </c>
      <c r="G36" s="76">
        <f t="shared" si="4"/>
        <v>57294118</v>
      </c>
      <c r="H36" s="76">
        <f t="shared" si="4"/>
        <v>55898628</v>
      </c>
      <c r="I36" s="76">
        <f t="shared" si="4"/>
        <v>26802341</v>
      </c>
      <c r="J36" s="76">
        <f t="shared" si="4"/>
        <v>5122483</v>
      </c>
      <c r="K36" s="76">
        <f t="shared" si="4"/>
        <v>5193049</v>
      </c>
      <c r="L36" s="76">
        <f t="shared" si="4"/>
        <v>5041922</v>
      </c>
    </row>
    <row r="37" spans="1:12" s="68" customFormat="1" ht="20.25">
      <c r="A37" s="113"/>
      <c r="B37" s="113"/>
      <c r="C37" s="148"/>
      <c r="D37" s="109"/>
      <c r="E37" s="109"/>
      <c r="F37" s="70"/>
      <c r="G37" s="70"/>
      <c r="H37" s="70"/>
      <c r="I37" s="70"/>
      <c r="J37" s="70"/>
      <c r="K37" s="70"/>
      <c r="L37" s="70"/>
    </row>
    <row r="38" spans="1:12" ht="20.25">
      <c r="A38" s="111" t="s">
        <v>309</v>
      </c>
      <c r="B38" s="111"/>
      <c r="C38" s="111"/>
      <c r="D38" s="111"/>
      <c r="E38" s="111"/>
      <c r="F38" s="111"/>
      <c r="G38" s="111">
        <v>24150815</v>
      </c>
      <c r="H38" s="111">
        <v>14566030</v>
      </c>
      <c r="I38" s="111">
        <v>22656913</v>
      </c>
      <c r="J38" s="111">
        <v>18353869</v>
      </c>
      <c r="K38" s="111">
        <v>17761599</v>
      </c>
      <c r="L38" s="111">
        <v>21006297</v>
      </c>
    </row>
    <row r="39" spans="1:12" ht="20.25">
      <c r="A39" s="111" t="s">
        <v>310</v>
      </c>
      <c r="B39" s="111"/>
      <c r="C39" s="111">
        <v>37663043</v>
      </c>
      <c r="D39" s="111">
        <v>42433523</v>
      </c>
      <c r="E39" s="111">
        <v>39912567</v>
      </c>
      <c r="F39" s="111">
        <v>55090399</v>
      </c>
      <c r="G39" s="111">
        <v>20572193</v>
      </c>
      <c r="H39" s="111">
        <v>22936662</v>
      </c>
      <c r="I39" s="111">
        <v>28877050</v>
      </c>
      <c r="J39" s="111">
        <v>18593325</v>
      </c>
      <c r="K39" s="111">
        <v>15681401</v>
      </c>
      <c r="L39" s="111">
        <v>19402466</v>
      </c>
    </row>
    <row r="40" spans="1:12" ht="20.25">
      <c r="A40" s="111" t="s">
        <v>290</v>
      </c>
      <c r="B40" s="111"/>
      <c r="C40" s="111">
        <v>28611364</v>
      </c>
      <c r="D40" s="111">
        <v>23871406</v>
      </c>
      <c r="E40" s="111">
        <v>24880501</v>
      </c>
      <c r="F40" s="111">
        <v>22299763</v>
      </c>
      <c r="G40" s="111"/>
      <c r="H40" s="111"/>
      <c r="I40" s="111"/>
      <c r="J40" s="111"/>
      <c r="K40" s="111"/>
      <c r="L40" s="111">
        <v>12000000</v>
      </c>
    </row>
    <row r="41" spans="1:12" ht="20.25">
      <c r="A41" s="111" t="s">
        <v>311</v>
      </c>
      <c r="B41" s="111"/>
      <c r="C41" s="111">
        <v>19395000</v>
      </c>
      <c r="D41" s="111"/>
      <c r="E41" s="111">
        <v>20647699</v>
      </c>
      <c r="F41" s="111">
        <v>31659589</v>
      </c>
      <c r="G41" s="111">
        <v>8620943</v>
      </c>
      <c r="H41" s="111">
        <v>6419011</v>
      </c>
      <c r="I41" s="111">
        <v>5184083</v>
      </c>
      <c r="J41" s="111"/>
      <c r="K41" s="111"/>
      <c r="L41" s="111"/>
    </row>
    <row r="42" spans="1:12" ht="20.25">
      <c r="A42" s="111" t="s">
        <v>312</v>
      </c>
      <c r="B42" s="111"/>
      <c r="C42" s="111">
        <v>11186131</v>
      </c>
      <c r="D42" s="111">
        <v>7645650</v>
      </c>
      <c r="E42" s="111">
        <v>10896654</v>
      </c>
      <c r="F42" s="111">
        <v>7314831</v>
      </c>
      <c r="G42" s="111">
        <v>6727757</v>
      </c>
      <c r="H42" s="111">
        <v>3791152</v>
      </c>
      <c r="I42" s="111">
        <v>4831766</v>
      </c>
      <c r="J42" s="111">
        <v>1694249</v>
      </c>
      <c r="K42" s="111">
        <v>3361926</v>
      </c>
      <c r="L42" s="111">
        <v>3276638</v>
      </c>
    </row>
    <row r="43" spans="1:12" ht="20.25">
      <c r="A43" s="111" t="s">
        <v>313</v>
      </c>
      <c r="B43" s="111"/>
      <c r="C43" s="111"/>
      <c r="D43" s="111">
        <v>759330</v>
      </c>
      <c r="E43" s="111">
        <v>586266</v>
      </c>
      <c r="F43" s="111">
        <v>1042699</v>
      </c>
      <c r="G43" s="111">
        <v>1314484</v>
      </c>
      <c r="H43" s="111">
        <v>1176198</v>
      </c>
      <c r="I43" s="111">
        <v>650000</v>
      </c>
      <c r="J43" s="111">
        <v>825975</v>
      </c>
      <c r="K43" s="111">
        <v>1243997</v>
      </c>
      <c r="L43" s="111">
        <v>2099883</v>
      </c>
    </row>
    <row r="44" spans="1:12" ht="20.25">
      <c r="A44" s="111" t="s">
        <v>273</v>
      </c>
      <c r="B44" s="111"/>
      <c r="C44" s="111">
        <v>294169</v>
      </c>
      <c r="D44" s="111">
        <v>594169</v>
      </c>
      <c r="E44" s="111">
        <v>594169</v>
      </c>
      <c r="F44" s="111">
        <v>824520</v>
      </c>
      <c r="G44" s="111"/>
      <c r="H44" s="111"/>
      <c r="I44" s="111"/>
      <c r="J44" s="111"/>
      <c r="K44" s="111"/>
      <c r="L44" s="111"/>
    </row>
    <row r="45" spans="1:12" ht="20.25">
      <c r="A45" s="111" t="s">
        <v>308</v>
      </c>
      <c r="B45" s="111"/>
      <c r="C45" s="111">
        <v>303994</v>
      </c>
      <c r="D45" s="111">
        <v>104602</v>
      </c>
      <c r="E45" s="111">
        <v>99560</v>
      </c>
      <c r="F45" s="111">
        <v>94560</v>
      </c>
      <c r="G45" s="111">
        <v>267177</v>
      </c>
      <c r="H45" s="111">
        <v>248413</v>
      </c>
      <c r="I45" s="111"/>
      <c r="J45" s="111"/>
      <c r="K45" s="111"/>
      <c r="L45" s="111"/>
    </row>
    <row r="46" spans="1:12" ht="20.25">
      <c r="A46" s="111" t="s">
        <v>157</v>
      </c>
      <c r="B46" s="111"/>
      <c r="C46" s="111">
        <v>526789</v>
      </c>
      <c r="D46" s="111"/>
      <c r="E46" s="111"/>
      <c r="F46" s="111"/>
      <c r="G46" s="111"/>
      <c r="H46" s="111"/>
      <c r="I46" s="111"/>
      <c r="J46" s="111"/>
      <c r="K46" s="111"/>
      <c r="L46" s="111"/>
    </row>
    <row r="47" spans="1:12" ht="20.25">
      <c r="A47" s="111" t="s">
        <v>295</v>
      </c>
      <c r="B47" s="111"/>
      <c r="C47" s="111"/>
      <c r="D47" s="111"/>
      <c r="E47" s="111"/>
      <c r="F47" s="111"/>
      <c r="G47" s="111"/>
      <c r="H47" s="111"/>
      <c r="I47" s="111">
        <v>303232</v>
      </c>
      <c r="J47" s="111"/>
      <c r="K47" s="111"/>
    </row>
    <row r="48" spans="1:12" s="68" customFormat="1">
      <c r="A48" s="74" t="s">
        <v>107</v>
      </c>
      <c r="B48" s="74"/>
      <c r="C48" s="77">
        <f t="shared" ref="C48:L48" si="5">SUM(C38:C47)</f>
        <v>97980490</v>
      </c>
      <c r="D48" s="77">
        <f t="shared" si="5"/>
        <v>75408680</v>
      </c>
      <c r="E48" s="77">
        <f t="shared" si="5"/>
        <v>97617416</v>
      </c>
      <c r="F48" s="77">
        <f t="shared" si="5"/>
        <v>118326361</v>
      </c>
      <c r="G48" s="77">
        <f t="shared" si="5"/>
        <v>61653369</v>
      </c>
      <c r="H48" s="77">
        <f t="shared" si="5"/>
        <v>49137466</v>
      </c>
      <c r="I48" s="77">
        <f t="shared" si="5"/>
        <v>62503044</v>
      </c>
      <c r="J48" s="77">
        <f t="shared" si="5"/>
        <v>39467418</v>
      </c>
      <c r="K48" s="77">
        <f t="shared" si="5"/>
        <v>38048923</v>
      </c>
      <c r="L48" s="77">
        <f t="shared" si="5"/>
        <v>57785284</v>
      </c>
    </row>
    <row r="49" spans="1:12" s="68" customFormat="1">
      <c r="A49" s="74" t="s">
        <v>108</v>
      </c>
      <c r="B49" s="74"/>
      <c r="C49" s="118">
        <f t="shared" ref="C49:L49" si="6">C36+C48</f>
        <v>112157040</v>
      </c>
      <c r="D49" s="118">
        <f t="shared" si="6"/>
        <v>130158886</v>
      </c>
      <c r="E49" s="118">
        <f t="shared" si="6"/>
        <v>135618854</v>
      </c>
      <c r="F49" s="76">
        <f t="shared" si="6"/>
        <v>165732083</v>
      </c>
      <c r="G49" s="76">
        <f t="shared" si="6"/>
        <v>118947487</v>
      </c>
      <c r="H49" s="76">
        <f t="shared" si="6"/>
        <v>105036094</v>
      </c>
      <c r="I49" s="76">
        <f t="shared" si="6"/>
        <v>89305385</v>
      </c>
      <c r="J49" s="76">
        <f t="shared" si="6"/>
        <v>44589901</v>
      </c>
      <c r="K49" s="76">
        <f t="shared" si="6"/>
        <v>43241972</v>
      </c>
      <c r="L49" s="76">
        <f t="shared" si="6"/>
        <v>62827206</v>
      </c>
    </row>
    <row r="50" spans="1:12" s="68" customFormat="1">
      <c r="A50" s="74" t="s">
        <v>109</v>
      </c>
      <c r="B50" s="74"/>
      <c r="C50" s="119">
        <f t="shared" ref="C50:L50" si="7">C49+C27</f>
        <v>197011355</v>
      </c>
      <c r="D50" s="119">
        <f t="shared" si="7"/>
        <v>213818557</v>
      </c>
      <c r="E50" s="119">
        <f t="shared" si="7"/>
        <v>214453974</v>
      </c>
      <c r="F50" s="79">
        <f t="shared" si="7"/>
        <v>271273007</v>
      </c>
      <c r="G50" s="79">
        <f t="shared" si="7"/>
        <v>237212636</v>
      </c>
      <c r="H50" s="79">
        <f t="shared" si="7"/>
        <v>220249226</v>
      </c>
      <c r="I50" s="79">
        <f t="shared" si="7"/>
        <v>201495320</v>
      </c>
      <c r="J50" s="79">
        <f t="shared" si="7"/>
        <v>157957981</v>
      </c>
      <c r="K50" s="79">
        <f t="shared" si="7"/>
        <v>164009575</v>
      </c>
      <c r="L50" s="79">
        <f t="shared" si="7"/>
        <v>174840707</v>
      </c>
    </row>
    <row r="51" spans="1:12">
      <c r="C51" s="117"/>
    </row>
    <row r="52" spans="1:12">
      <c r="C52" s="119">
        <f t="shared" ref="C52:L52" si="8">C20-C50</f>
        <v>0</v>
      </c>
      <c r="D52" s="119">
        <f t="shared" si="8"/>
        <v>0</v>
      </c>
      <c r="E52" s="119">
        <f t="shared" si="8"/>
        <v>0</v>
      </c>
      <c r="F52" s="78">
        <f t="shared" si="8"/>
        <v>0</v>
      </c>
      <c r="G52" s="78">
        <f t="shared" si="8"/>
        <v>0</v>
      </c>
      <c r="H52" s="78">
        <f t="shared" si="8"/>
        <v>0</v>
      </c>
      <c r="I52" s="78">
        <f t="shared" si="8"/>
        <v>0</v>
      </c>
      <c r="J52" s="78">
        <f t="shared" si="8"/>
        <v>0</v>
      </c>
      <c r="K52" s="78">
        <f t="shared" si="8"/>
        <v>0</v>
      </c>
      <c r="L52" s="78">
        <f t="shared" si="8"/>
        <v>0</v>
      </c>
    </row>
    <row r="54" spans="1:12" ht="18.75">
      <c r="A54" s="81" t="s">
        <v>52</v>
      </c>
      <c r="B54" s="81"/>
      <c r="C54" s="122">
        <v>145671894</v>
      </c>
      <c r="D54" s="122">
        <v>133009737</v>
      </c>
      <c r="E54" s="122">
        <v>153578018</v>
      </c>
      <c r="F54" s="122">
        <v>149998644</v>
      </c>
      <c r="G54" s="122">
        <v>114647679</v>
      </c>
      <c r="H54" s="122">
        <v>118202762</v>
      </c>
      <c r="I54" s="83">
        <v>127513049</v>
      </c>
      <c r="J54" s="122">
        <v>128274372</v>
      </c>
      <c r="K54" s="122">
        <v>151414386</v>
      </c>
      <c r="L54" s="122">
        <v>187808028</v>
      </c>
    </row>
    <row r="55" spans="1:12" ht="18.75">
      <c r="A55" s="85" t="s">
        <v>53</v>
      </c>
      <c r="B55" s="85"/>
      <c r="C55" s="156">
        <v>-120961285</v>
      </c>
      <c r="D55" s="156">
        <v>-110571785</v>
      </c>
      <c r="E55" s="156">
        <v>-153116760</v>
      </c>
      <c r="F55" s="122">
        <v>-135952068</v>
      </c>
      <c r="G55" s="122">
        <v>-95109707</v>
      </c>
      <c r="H55" s="83">
        <v>-97889552</v>
      </c>
      <c r="I55" s="121">
        <v>-113319123</v>
      </c>
      <c r="J55" s="122">
        <v>-114257833</v>
      </c>
      <c r="K55" s="122">
        <v>-125952869</v>
      </c>
      <c r="L55" s="122">
        <v>-163898747</v>
      </c>
    </row>
    <row r="56" spans="1:12" ht="18.75">
      <c r="A56" s="87" t="s">
        <v>54</v>
      </c>
      <c r="B56" s="87"/>
      <c r="C56" s="125">
        <v>24710609</v>
      </c>
      <c r="D56" s="125">
        <v>22437952</v>
      </c>
      <c r="E56" s="125">
        <v>461258</v>
      </c>
      <c r="F56" s="89">
        <v>14046576</v>
      </c>
      <c r="G56" s="89">
        <v>19537972</v>
      </c>
      <c r="H56" s="89">
        <v>20313210</v>
      </c>
      <c r="I56" s="89">
        <v>14193926</v>
      </c>
      <c r="J56" s="89">
        <v>14016539</v>
      </c>
      <c r="K56" s="89">
        <v>25461517</v>
      </c>
      <c r="L56" s="89">
        <v>23909281</v>
      </c>
    </row>
    <row r="57" spans="1:12" ht="18.75">
      <c r="A57" s="90" t="s">
        <v>55</v>
      </c>
      <c r="B57" s="90"/>
      <c r="C57" s="122">
        <v>-14058084</v>
      </c>
      <c r="D57" s="122">
        <v>-13633904</v>
      </c>
      <c r="E57" s="122">
        <v>-14094762</v>
      </c>
      <c r="F57" s="122">
        <v>-14234349</v>
      </c>
      <c r="G57" s="122">
        <v>-5122365</v>
      </c>
      <c r="H57" s="122">
        <v>-3120445</v>
      </c>
      <c r="I57" s="83">
        <v>-4010841</v>
      </c>
      <c r="J57" s="122">
        <v>-11279112</v>
      </c>
      <c r="K57" s="122">
        <v>-11392296</v>
      </c>
      <c r="L57" s="122">
        <v>-10273541</v>
      </c>
    </row>
    <row r="58" spans="1:12" ht="18.75">
      <c r="A58" s="90" t="s">
        <v>203</v>
      </c>
      <c r="B58" s="90"/>
      <c r="C58" s="122">
        <v>-7262095</v>
      </c>
      <c r="D58" s="122">
        <v>-5583727</v>
      </c>
      <c r="E58" s="122">
        <v>-8325214</v>
      </c>
      <c r="F58" s="122">
        <v>-9385237</v>
      </c>
      <c r="G58" s="122">
        <v>-10474249</v>
      </c>
      <c r="H58" s="122">
        <v>-13072573</v>
      </c>
      <c r="I58" s="83">
        <v>-9594181</v>
      </c>
      <c r="J58" s="122">
        <v>-3501274</v>
      </c>
      <c r="K58" s="122">
        <v>-3973470</v>
      </c>
      <c r="L58" s="122">
        <v>-6467351</v>
      </c>
    </row>
    <row r="59" spans="1:12" ht="18.75">
      <c r="A59" s="90" t="s">
        <v>65</v>
      </c>
      <c r="B59" s="90"/>
      <c r="C59" s="122">
        <v>1373641</v>
      </c>
      <c r="D59" s="122">
        <v>1605178</v>
      </c>
      <c r="E59" s="122">
        <v>2403333</v>
      </c>
      <c r="F59" s="122">
        <v>711338</v>
      </c>
      <c r="G59" s="122">
        <v>1585346</v>
      </c>
      <c r="H59" s="122">
        <v>2175064</v>
      </c>
      <c r="I59" s="83">
        <v>4100483</v>
      </c>
      <c r="J59" s="122">
        <v>278258</v>
      </c>
      <c r="K59" s="122">
        <v>1053110</v>
      </c>
      <c r="L59" s="122">
        <v>2725310</v>
      </c>
    </row>
    <row r="60" spans="1:12" ht="18.75">
      <c r="A60" s="90" t="s">
        <v>160</v>
      </c>
      <c r="B60" s="90"/>
      <c r="C60" s="156">
        <v>-225123</v>
      </c>
      <c r="D60" s="124">
        <v>1900362</v>
      </c>
      <c r="E60" s="124">
        <v>-4526574</v>
      </c>
      <c r="F60" s="122"/>
      <c r="G60" s="122"/>
      <c r="H60" s="122"/>
      <c r="I60" s="121"/>
      <c r="J60" s="121"/>
      <c r="K60" s="121"/>
      <c r="L60" s="121"/>
    </row>
    <row r="61" spans="1:12" ht="18.75">
      <c r="A61" s="87" t="s">
        <v>115</v>
      </c>
      <c r="B61" s="87"/>
      <c r="C61" s="128">
        <v>4538948</v>
      </c>
      <c r="D61" s="128">
        <v>6725861</v>
      </c>
      <c r="E61" s="128">
        <v>-24081959</v>
      </c>
      <c r="F61" s="89">
        <v>-8861672</v>
      </c>
      <c r="G61" s="89">
        <v>5526704</v>
      </c>
      <c r="H61" s="94">
        <v>6295256</v>
      </c>
      <c r="I61" s="94">
        <v>4689387</v>
      </c>
      <c r="J61" s="89">
        <v>-485589</v>
      </c>
      <c r="K61" s="89">
        <v>11148861</v>
      </c>
      <c r="L61" s="89">
        <v>9893699</v>
      </c>
    </row>
    <row r="62" spans="1:12" ht="18.75">
      <c r="A62" s="122" t="s">
        <v>161</v>
      </c>
      <c r="B62" s="122"/>
      <c r="C62" s="122">
        <v>-3224063</v>
      </c>
      <c r="D62" s="122">
        <v>-2239202</v>
      </c>
      <c r="E62" s="122">
        <v>-2388324</v>
      </c>
      <c r="F62" s="122">
        <v>-1348931</v>
      </c>
      <c r="G62" s="122">
        <v>-1460775</v>
      </c>
      <c r="H62" s="122">
        <v>-1572678</v>
      </c>
      <c r="I62" s="83">
        <v>-1290854</v>
      </c>
      <c r="J62" s="122">
        <v>-1087959</v>
      </c>
      <c r="K62" s="122">
        <v>-1109536</v>
      </c>
      <c r="L62" s="122">
        <v>-1396478</v>
      </c>
    </row>
    <row r="63" spans="1:12" ht="18.75">
      <c r="A63" s="122" t="s">
        <v>314</v>
      </c>
      <c r="B63" s="122"/>
      <c r="C63" s="122"/>
      <c r="D63" s="122"/>
      <c r="E63" s="122"/>
      <c r="F63" s="122"/>
      <c r="G63" s="122">
        <v>-211726</v>
      </c>
      <c r="H63" s="122">
        <v>-190022</v>
      </c>
      <c r="I63" s="83">
        <v>-369653</v>
      </c>
      <c r="J63" s="122"/>
      <c r="K63" s="122"/>
      <c r="L63" s="122"/>
    </row>
    <row r="64" spans="1:12" ht="18.75">
      <c r="A64" s="95" t="s">
        <v>165</v>
      </c>
      <c r="B64" s="95"/>
      <c r="C64" s="89">
        <v>1314885</v>
      </c>
      <c r="D64" s="89">
        <v>4486659</v>
      </c>
      <c r="E64" s="89">
        <v>-26470283</v>
      </c>
      <c r="F64" s="89">
        <v>-10210603</v>
      </c>
      <c r="G64" s="89">
        <v>3854203</v>
      </c>
      <c r="H64" s="89">
        <v>4532556</v>
      </c>
      <c r="I64" s="89">
        <v>3028880</v>
      </c>
      <c r="J64" s="89">
        <v>-1573548</v>
      </c>
      <c r="K64" s="89">
        <v>10039325</v>
      </c>
      <c r="L64" s="89">
        <v>8497221</v>
      </c>
    </row>
    <row r="65" spans="1:12" ht="18.75">
      <c r="A65" s="90" t="s">
        <v>67</v>
      </c>
      <c r="B65" s="90"/>
      <c r="C65" s="122">
        <v>-57778</v>
      </c>
      <c r="D65" s="122">
        <v>-173069</v>
      </c>
      <c r="E65" s="122">
        <v>-586266</v>
      </c>
      <c r="F65" s="122">
        <v>-1163256</v>
      </c>
      <c r="G65" s="122">
        <v>-840000</v>
      </c>
      <c r="H65" s="122">
        <v>-1150000</v>
      </c>
      <c r="I65" s="83">
        <v>-650000</v>
      </c>
      <c r="J65" s="122">
        <v>-825975</v>
      </c>
      <c r="K65" s="122">
        <v>-1285223</v>
      </c>
      <c r="L65" s="122">
        <v>-1157390</v>
      </c>
    </row>
    <row r="66" spans="1:12" ht="18.75">
      <c r="A66" s="95" t="s">
        <v>166</v>
      </c>
      <c r="B66" s="95"/>
      <c r="C66" s="98">
        <v>1257107</v>
      </c>
      <c r="D66" s="98">
        <v>4313590</v>
      </c>
      <c r="E66" s="98">
        <v>-27056549</v>
      </c>
      <c r="F66" s="98">
        <v>-11373859</v>
      </c>
      <c r="G66" s="98">
        <v>3014203</v>
      </c>
      <c r="H66" s="98">
        <v>3382556</v>
      </c>
      <c r="I66" s="98">
        <v>2378880</v>
      </c>
      <c r="J66" s="98">
        <v>-2399523</v>
      </c>
      <c r="K66" s="98">
        <v>8754102</v>
      </c>
      <c r="L66" s="98">
        <v>7339831</v>
      </c>
    </row>
    <row r="67" spans="1:12" ht="18.75">
      <c r="A67" s="95" t="s">
        <v>167</v>
      </c>
      <c r="B67" s="95"/>
      <c r="C67" s="160"/>
      <c r="D67" s="160"/>
      <c r="E67" s="99"/>
      <c r="F67" s="99"/>
      <c r="G67" s="121"/>
      <c r="H67" s="121"/>
      <c r="I67" s="121"/>
      <c r="J67" s="121"/>
      <c r="K67" s="121"/>
      <c r="L67" s="121"/>
    </row>
    <row r="68" spans="1:12" ht="18.75">
      <c r="A68" s="95" t="s">
        <v>168</v>
      </c>
      <c r="B68" s="95"/>
      <c r="C68" s="160"/>
      <c r="D68" s="160"/>
      <c r="E68" s="100"/>
      <c r="F68" s="100"/>
      <c r="G68" s="121"/>
      <c r="H68" s="121"/>
      <c r="I68" s="121"/>
      <c r="J68" s="121"/>
      <c r="K68" s="121"/>
      <c r="L68" s="121"/>
    </row>
    <row r="69" spans="1:12" ht="18.75">
      <c r="A69" s="90" t="s">
        <v>170</v>
      </c>
      <c r="B69" s="90"/>
      <c r="C69" s="122">
        <v>-62463</v>
      </c>
      <c r="D69" s="122">
        <v>510961</v>
      </c>
      <c r="E69" s="122">
        <v>350745</v>
      </c>
      <c r="F69" s="122">
        <v>-615465</v>
      </c>
      <c r="G69" s="122">
        <v>37814</v>
      </c>
      <c r="H69" s="122"/>
      <c r="I69" s="83">
        <v>253158</v>
      </c>
      <c r="J69" s="122"/>
      <c r="K69" s="122"/>
      <c r="L69" s="122"/>
    </row>
    <row r="70" spans="1:12" ht="18.75">
      <c r="A70" s="101" t="s">
        <v>116</v>
      </c>
      <c r="B70" s="101"/>
      <c r="C70" s="129">
        <v>1194644</v>
      </c>
      <c r="D70" s="129">
        <v>4824551</v>
      </c>
      <c r="E70" s="129">
        <v>-26705804</v>
      </c>
      <c r="F70" s="129">
        <v>-11989324</v>
      </c>
      <c r="G70" s="129">
        <v>3052017</v>
      </c>
      <c r="H70" s="129">
        <v>3382556</v>
      </c>
      <c r="I70" s="129">
        <v>2632038</v>
      </c>
      <c r="J70" s="129">
        <v>-2399523</v>
      </c>
      <c r="K70" s="129">
        <v>8754102</v>
      </c>
      <c r="L70" s="129">
        <v>7339831</v>
      </c>
    </row>
    <row r="72" spans="1:12">
      <c r="A72" s="71" t="s">
        <v>92</v>
      </c>
      <c r="B72" s="72" t="s">
        <v>93</v>
      </c>
      <c r="C72" s="104">
        <f>C56/C54</f>
        <v>0.16963196071302539</v>
      </c>
      <c r="D72" s="104">
        <f t="shared" ref="D72:L72" si="9">D56/D54</f>
        <v>0.16869405583442362</v>
      </c>
      <c r="E72" s="104">
        <f t="shared" si="9"/>
        <v>3.0034115950109473E-3</v>
      </c>
      <c r="F72" s="104">
        <f t="shared" si="9"/>
        <v>9.3644686547966399E-2</v>
      </c>
      <c r="G72" s="104">
        <f t="shared" si="9"/>
        <v>0.17041751015299664</v>
      </c>
      <c r="H72" s="104">
        <f t="shared" si="9"/>
        <v>0.17185055286609968</v>
      </c>
      <c r="I72" s="104">
        <f t="shared" si="9"/>
        <v>0.11131351741106904</v>
      </c>
      <c r="J72" s="104">
        <f t="shared" si="9"/>
        <v>0.10926998730502457</v>
      </c>
      <c r="K72" s="104">
        <f t="shared" si="9"/>
        <v>0.1681578459790472</v>
      </c>
      <c r="L72" s="104">
        <f t="shared" si="9"/>
        <v>0.12730702331851332</v>
      </c>
    </row>
    <row r="73" spans="1:12">
      <c r="A73" s="71" t="s">
        <v>94</v>
      </c>
      <c r="B73" s="72" t="s">
        <v>95</v>
      </c>
      <c r="C73" s="104">
        <f>C70/C54</f>
        <v>8.2009230963935986E-3</v>
      </c>
      <c r="D73" s="104">
        <f t="shared" ref="D73:L73" si="10">D70/D54</f>
        <v>3.6272164044651861E-2</v>
      </c>
      <c r="E73" s="104">
        <f t="shared" si="10"/>
        <v>-0.17389079731449589</v>
      </c>
      <c r="F73" s="104">
        <f t="shared" si="10"/>
        <v>-7.9929549229791702E-2</v>
      </c>
      <c r="G73" s="104">
        <f t="shared" si="10"/>
        <v>2.6620835472822787E-2</v>
      </c>
      <c r="H73" s="104">
        <f t="shared" si="10"/>
        <v>2.8616556354241537E-2</v>
      </c>
      <c r="I73" s="104">
        <f t="shared" si="10"/>
        <v>2.0641322755916534E-2</v>
      </c>
      <c r="J73" s="104">
        <f t="shared" si="10"/>
        <v>-1.8706176164323768E-2</v>
      </c>
      <c r="K73" s="104">
        <f t="shared" si="10"/>
        <v>5.781552355269598E-2</v>
      </c>
      <c r="L73" s="104">
        <f t="shared" si="10"/>
        <v>3.9081561518765323E-2</v>
      </c>
    </row>
    <row r="74" spans="1:12">
      <c r="A74" s="71" t="s">
        <v>96</v>
      </c>
      <c r="B74" s="72" t="s">
        <v>97</v>
      </c>
      <c r="C74" s="105">
        <f>C54/C20</f>
        <v>0.73940861936612745</v>
      </c>
      <c r="D74" s="105">
        <f t="shared" ref="D74:L74" si="11">D54/D20</f>
        <v>0.6220682566855037</v>
      </c>
      <c r="E74" s="105">
        <f t="shared" si="11"/>
        <v>0.7161350994596164</v>
      </c>
      <c r="F74" s="105">
        <f t="shared" si="11"/>
        <v>0.55294349282602973</v>
      </c>
      <c r="G74" s="105">
        <f t="shared" si="11"/>
        <v>0.48331185443257751</v>
      </c>
      <c r="H74" s="105">
        <f t="shared" si="11"/>
        <v>0.53667730936770697</v>
      </c>
      <c r="I74" s="105">
        <f t="shared" si="11"/>
        <v>0.63283379981232324</v>
      </c>
      <c r="J74" s="105">
        <f t="shared" si="11"/>
        <v>0.8120790807018482</v>
      </c>
      <c r="K74" s="105">
        <f t="shared" si="11"/>
        <v>0.92320455070992047</v>
      </c>
      <c r="L74" s="105">
        <f t="shared" si="11"/>
        <v>1.0741664868696739</v>
      </c>
    </row>
    <row r="75" spans="1:12">
      <c r="A75" s="71" t="s">
        <v>98</v>
      </c>
      <c r="B75" s="72" t="s">
        <v>99</v>
      </c>
      <c r="C75" s="105">
        <f>C20/C27</f>
        <v>2.321760007136938</v>
      </c>
      <c r="D75" s="105">
        <f t="shared" ref="D75:L75" si="12">D20/D27</f>
        <v>2.5558139835381377</v>
      </c>
      <c r="E75" s="105">
        <f t="shared" si="12"/>
        <v>2.720284741115381</v>
      </c>
      <c r="F75" s="105">
        <f t="shared" si="12"/>
        <v>2.5703110861527043</v>
      </c>
      <c r="G75" s="105">
        <f t="shared" si="12"/>
        <v>2.0057695610733135</v>
      </c>
      <c r="H75" s="105">
        <f t="shared" si="12"/>
        <v>1.9116677255158727</v>
      </c>
      <c r="I75" s="105">
        <f t="shared" si="12"/>
        <v>1.7960195805443688</v>
      </c>
      <c r="J75" s="105">
        <f t="shared" si="12"/>
        <v>1.3933197157436203</v>
      </c>
      <c r="K75" s="105">
        <f t="shared" si="12"/>
        <v>1.3580593712702902</v>
      </c>
      <c r="L75" s="105">
        <f t="shared" si="12"/>
        <v>1.5608895841939625</v>
      </c>
    </row>
    <row r="76" spans="1:12">
      <c r="A76" s="71" t="s">
        <v>100</v>
      </c>
      <c r="B76" s="72" t="s">
        <v>118</v>
      </c>
      <c r="C76" s="105">
        <f>C70/C27</f>
        <v>1.4078765469970502E-2</v>
      </c>
      <c r="D76" s="105">
        <f t="shared" ref="D76:L76" si="13">D70/D27</f>
        <v>5.7668778066315846E-2</v>
      </c>
      <c r="E76" s="105">
        <f t="shared" si="13"/>
        <v>-0.33875516394216182</v>
      </c>
      <c r="F76" s="105">
        <f t="shared" si="13"/>
        <v>-0.11359881594366182</v>
      </c>
      <c r="G76" s="105">
        <f t="shared" si="13"/>
        <v>2.5806562844646649E-2</v>
      </c>
      <c r="H76" s="105">
        <f t="shared" si="13"/>
        <v>2.9359118542146741E-2</v>
      </c>
      <c r="I76" s="105">
        <f t="shared" si="13"/>
        <v>2.3460553747535372E-2</v>
      </c>
      <c r="J76" s="105">
        <f t="shared" si="13"/>
        <v>-2.116577258783954E-2</v>
      </c>
      <c r="K76" s="105">
        <f t="shared" si="13"/>
        <v>7.2487171911493509E-2</v>
      </c>
      <c r="L76" s="105">
        <f t="shared" si="13"/>
        <v>6.5526306511926632E-2</v>
      </c>
    </row>
    <row r="77" spans="1:12">
      <c r="A77" s="71" t="s">
        <v>101</v>
      </c>
      <c r="B77" s="72" t="s">
        <v>102</v>
      </c>
      <c r="C77" s="105">
        <f>C19/C48</f>
        <v>0.65494647965120401</v>
      </c>
      <c r="D77" s="105">
        <f t="shared" ref="D77:L77" si="14">D19/D48</f>
        <v>0.95020422052209375</v>
      </c>
      <c r="E77" s="105">
        <f t="shared" si="14"/>
        <v>0.61540645574965847</v>
      </c>
      <c r="F77" s="105">
        <f t="shared" si="14"/>
        <v>1.0543530447961633</v>
      </c>
      <c r="G77" s="105">
        <f t="shared" si="14"/>
        <v>1.6030404924019643</v>
      </c>
      <c r="H77" s="105">
        <f t="shared" si="14"/>
        <v>1.6170400606331632</v>
      </c>
      <c r="I77" s="105">
        <f t="shared" si="14"/>
        <v>1.5086930326145396</v>
      </c>
      <c r="J77" s="105">
        <f t="shared" si="14"/>
        <v>1.606067465573755</v>
      </c>
      <c r="K77" s="105">
        <f t="shared" si="14"/>
        <v>1.8294960411888663</v>
      </c>
      <c r="L77" s="105">
        <f t="shared" si="14"/>
        <v>1.2139644757997554</v>
      </c>
    </row>
    <row r="78" spans="1:12">
      <c r="A78" s="71" t="s">
        <v>103</v>
      </c>
      <c r="B78" s="72" t="s">
        <v>104</v>
      </c>
      <c r="C78" s="105">
        <f>C49/C20</f>
        <v>0.56929226236731378</v>
      </c>
      <c r="D78" s="105">
        <f t="shared" ref="D78:L78" si="15">D49/D20</f>
        <v>0.60873521843101763</v>
      </c>
      <c r="E78" s="105">
        <f t="shared" si="15"/>
        <v>0.63239142399851256</v>
      </c>
      <c r="F78" s="105">
        <f t="shared" si="15"/>
        <v>0.61094203523168822</v>
      </c>
      <c r="G78" s="105">
        <f t="shared" si="15"/>
        <v>0.50143824125794045</v>
      </c>
      <c r="H78" s="105">
        <f t="shared" si="15"/>
        <v>0.47689654083052258</v>
      </c>
      <c r="I78" s="105">
        <f t="shared" si="15"/>
        <v>0.44321319720974167</v>
      </c>
      <c r="J78" s="105">
        <f t="shared" si="15"/>
        <v>0.28228963625459358</v>
      </c>
      <c r="K78" s="105">
        <f t="shared" si="15"/>
        <v>0.26365516769371544</v>
      </c>
      <c r="L78" s="105">
        <f t="shared" si="15"/>
        <v>0.35933969312992997</v>
      </c>
    </row>
    <row r="79" spans="1:12">
      <c r="A79" s="71" t="s">
        <v>105</v>
      </c>
      <c r="B79" s="72" t="s">
        <v>106</v>
      </c>
      <c r="C79" s="105">
        <f>C49/C27</f>
        <v>1.3217600071369382</v>
      </c>
      <c r="D79" s="105">
        <f t="shared" ref="D79:L79" si="16">D49/D27</f>
        <v>1.5558139835381375</v>
      </c>
      <c r="E79" s="105">
        <f t="shared" si="16"/>
        <v>1.720284741115381</v>
      </c>
      <c r="F79" s="105">
        <f t="shared" si="16"/>
        <v>1.5703110861527041</v>
      </c>
      <c r="G79" s="105">
        <f t="shared" si="16"/>
        <v>1.0057695610733133</v>
      </c>
      <c r="H79" s="105">
        <f t="shared" si="16"/>
        <v>0.91166772551587261</v>
      </c>
      <c r="I79" s="105">
        <f t="shared" si="16"/>
        <v>0.79601958054436883</v>
      </c>
      <c r="J79" s="105">
        <f t="shared" si="16"/>
        <v>0.39331971574362024</v>
      </c>
      <c r="K79" s="105">
        <f t="shared" si="16"/>
        <v>0.35805937127029008</v>
      </c>
      <c r="L79" s="105">
        <f t="shared" si="16"/>
        <v>0.56088958419396251</v>
      </c>
    </row>
    <row r="80" spans="1:12">
      <c r="A80" s="71" t="s">
        <v>171</v>
      </c>
      <c r="B80" s="170">
        <v>0.189</v>
      </c>
      <c r="C80" s="73">
        <f>C70*18.9%</f>
        <v>225787.71599999996</v>
      </c>
      <c r="D80" s="73">
        <f t="shared" ref="D80:L80" si="17">D70*18.9%</f>
        <v>911840.13899999985</v>
      </c>
      <c r="E80" s="73">
        <f t="shared" si="17"/>
        <v>-5047396.9559999993</v>
      </c>
      <c r="F80" s="73">
        <f t="shared" si="17"/>
        <v>-2265982.2359999996</v>
      </c>
      <c r="G80" s="73">
        <f t="shared" si="17"/>
        <v>576831.21299999987</v>
      </c>
      <c r="H80" s="73">
        <f t="shared" si="17"/>
        <v>639303.08399999992</v>
      </c>
      <c r="I80" s="73">
        <f t="shared" si="17"/>
        <v>497455.18199999991</v>
      </c>
      <c r="J80" s="73">
        <f t="shared" si="17"/>
        <v>-453509.84699999995</v>
      </c>
      <c r="K80" s="73">
        <f t="shared" si="17"/>
        <v>1654525.2779999997</v>
      </c>
      <c r="L80" s="73">
        <f t="shared" si="17"/>
        <v>1387228.0589999999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FD37-9118-4F67-BB51-C055AF0ABA8F}">
  <dimension ref="A1:N86"/>
  <sheetViews>
    <sheetView zoomScale="78" zoomScaleNormal="78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C86" sqref="C86"/>
    </sheetView>
  </sheetViews>
  <sheetFormatPr defaultRowHeight="18"/>
  <cols>
    <col min="1" max="1" width="93.83203125" style="71" bestFit="1" customWidth="1"/>
    <col min="2" max="2" width="27.83203125" style="71" customWidth="1"/>
    <col min="3" max="3" width="31.83203125" style="73" bestFit="1" customWidth="1"/>
    <col min="4" max="5" width="31.83203125" style="117" bestFit="1" customWidth="1"/>
    <col min="6" max="6" width="31.83203125" style="73" bestFit="1" customWidth="1"/>
    <col min="7" max="12" width="30.1640625" style="73" bestFit="1" customWidth="1"/>
    <col min="13" max="14" width="25.5" style="73" customWidth="1"/>
    <col min="15" max="16384" width="9.33203125" style="71"/>
  </cols>
  <sheetData>
    <row r="1" spans="1:14" s="67" customFormat="1" ht="54">
      <c r="A1" s="67" t="s">
        <v>0</v>
      </c>
      <c r="C1" s="171" t="s">
        <v>315</v>
      </c>
      <c r="D1" s="171" t="s">
        <v>121</v>
      </c>
      <c r="E1" s="171" t="s">
        <v>122</v>
      </c>
      <c r="F1" s="172" t="s">
        <v>123</v>
      </c>
      <c r="G1" s="172" t="s">
        <v>124</v>
      </c>
      <c r="H1" s="172" t="s">
        <v>125</v>
      </c>
      <c r="I1" s="172" t="s">
        <v>126</v>
      </c>
      <c r="J1" s="172" t="s">
        <v>127</v>
      </c>
      <c r="K1" s="172" t="s">
        <v>128</v>
      </c>
      <c r="L1" s="172" t="s">
        <v>129</v>
      </c>
      <c r="M1" s="172"/>
      <c r="N1" s="172"/>
    </row>
    <row r="2" spans="1:14" s="68" customFormat="1" ht="20.25">
      <c r="A2" s="113"/>
      <c r="B2" s="113"/>
      <c r="C2" s="148"/>
      <c r="D2" s="109"/>
      <c r="E2" s="110"/>
      <c r="F2" s="70"/>
      <c r="G2" s="70"/>
      <c r="H2" s="70"/>
      <c r="I2" s="70"/>
      <c r="J2" s="70"/>
      <c r="K2" s="70"/>
      <c r="L2" s="70"/>
      <c r="M2" s="70"/>
      <c r="N2" s="70"/>
    </row>
    <row r="3" spans="1:14" ht="20.25">
      <c r="A3" s="108" t="s">
        <v>265</v>
      </c>
      <c r="B3" s="108"/>
      <c r="C3" s="111">
        <v>801823898</v>
      </c>
      <c r="D3" s="111">
        <v>724399252</v>
      </c>
      <c r="E3" s="111">
        <v>552491540</v>
      </c>
      <c r="F3" s="111">
        <v>208846074</v>
      </c>
      <c r="G3" s="111">
        <v>185408550</v>
      </c>
      <c r="H3" s="111">
        <v>170344173</v>
      </c>
      <c r="I3" s="111">
        <v>146407990</v>
      </c>
      <c r="J3" s="111">
        <v>123898064</v>
      </c>
      <c r="K3" s="111">
        <v>104089325</v>
      </c>
      <c r="L3" s="111">
        <v>98868410</v>
      </c>
    </row>
    <row r="4" spans="1:14" ht="20.25">
      <c r="A4" s="108" t="s">
        <v>316</v>
      </c>
      <c r="B4" s="108"/>
      <c r="C4" s="111"/>
      <c r="D4" s="111"/>
      <c r="E4" s="111"/>
      <c r="F4" s="111">
        <v>155376526</v>
      </c>
      <c r="G4" s="111">
        <v>34970623</v>
      </c>
      <c r="H4" s="111">
        <v>1176595</v>
      </c>
      <c r="I4" s="111">
        <v>17084301</v>
      </c>
      <c r="J4" s="111"/>
      <c r="K4" s="111"/>
      <c r="L4" s="111">
        <v>19863912</v>
      </c>
    </row>
    <row r="5" spans="1:14" ht="20.25">
      <c r="A5" s="108" t="s">
        <v>173</v>
      </c>
      <c r="B5" s="108"/>
      <c r="C5" s="111">
        <v>111015427</v>
      </c>
      <c r="D5" s="111">
        <v>93644934</v>
      </c>
      <c r="E5" s="111">
        <v>32670141</v>
      </c>
      <c r="F5" s="111">
        <v>12007791</v>
      </c>
      <c r="G5" s="111">
        <v>9683889</v>
      </c>
      <c r="H5" s="111">
        <v>5002084</v>
      </c>
      <c r="I5" s="111" t="s">
        <v>209</v>
      </c>
      <c r="J5" s="111"/>
      <c r="K5" s="111"/>
      <c r="L5" s="111"/>
    </row>
    <row r="6" spans="1:14" ht="20.25">
      <c r="A6" s="108" t="s">
        <v>317</v>
      </c>
      <c r="B6" s="108"/>
      <c r="C6" s="111"/>
      <c r="D6" s="111"/>
      <c r="E6" s="111"/>
      <c r="F6" s="111"/>
      <c r="G6" s="111"/>
      <c r="H6" s="111"/>
      <c r="I6" s="111"/>
      <c r="J6" s="111"/>
      <c r="K6" s="111"/>
      <c r="L6" s="111">
        <v>5793258</v>
      </c>
    </row>
    <row r="7" spans="1:14" ht="20.25">
      <c r="A7" s="108" t="s">
        <v>318</v>
      </c>
      <c r="B7" s="108"/>
      <c r="C7" s="111"/>
      <c r="D7" s="111"/>
      <c r="E7" s="111"/>
      <c r="F7" s="111"/>
      <c r="G7" s="111"/>
      <c r="H7" s="111"/>
      <c r="I7" s="111"/>
      <c r="J7" s="111"/>
      <c r="K7" s="111"/>
      <c r="L7" s="111">
        <v>200000</v>
      </c>
    </row>
    <row r="8" spans="1:14" ht="20.25">
      <c r="A8" s="108" t="s">
        <v>319</v>
      </c>
      <c r="B8" s="108"/>
      <c r="C8" s="111"/>
      <c r="D8" s="111"/>
      <c r="E8" s="111"/>
      <c r="F8" s="111"/>
      <c r="G8" s="111"/>
      <c r="H8" s="111">
        <v>6362392</v>
      </c>
      <c r="I8" s="111">
        <v>5157231</v>
      </c>
      <c r="J8" s="111">
        <v>4540168</v>
      </c>
      <c r="K8" s="111">
        <v>4102634</v>
      </c>
      <c r="L8" s="111"/>
    </row>
    <row r="9" spans="1:14" ht="20.25">
      <c r="A9" s="108" t="s">
        <v>320</v>
      </c>
      <c r="B9" s="108"/>
      <c r="C9" s="111"/>
      <c r="D9" s="111"/>
      <c r="E9" s="111"/>
      <c r="F9" s="111"/>
      <c r="G9" s="111"/>
      <c r="H9" s="111">
        <v>10920000</v>
      </c>
      <c r="I9" s="111" t="s">
        <v>209</v>
      </c>
      <c r="J9" s="111"/>
      <c r="K9" s="111"/>
      <c r="L9" s="111"/>
    </row>
    <row r="10" spans="1:14" ht="20.25">
      <c r="A10" s="108" t="s">
        <v>266</v>
      </c>
      <c r="B10" s="108"/>
      <c r="C10" s="111">
        <v>7166138</v>
      </c>
      <c r="D10" s="111">
        <v>6771850</v>
      </c>
      <c r="E10" s="111"/>
      <c r="F10" s="111"/>
      <c r="G10" s="111"/>
      <c r="H10" s="111"/>
      <c r="J10" s="111">
        <v>1350000</v>
      </c>
      <c r="K10" s="111">
        <v>1400000</v>
      </c>
      <c r="L10" s="111"/>
    </row>
    <row r="11" spans="1:14" ht="20.25">
      <c r="A11" s="108" t="s">
        <v>174</v>
      </c>
      <c r="B11" s="108"/>
      <c r="C11" s="111"/>
      <c r="D11" s="109"/>
      <c r="E11" s="109"/>
      <c r="F11" s="111">
        <v>6347911</v>
      </c>
      <c r="G11" s="111">
        <v>7560972</v>
      </c>
      <c r="J11" s="111">
        <v>19384155</v>
      </c>
      <c r="K11" s="111">
        <v>40290473</v>
      </c>
      <c r="L11" s="111"/>
    </row>
    <row r="12" spans="1:14" s="68" customFormat="1" ht="20.25">
      <c r="A12" s="74" t="s">
        <v>110</v>
      </c>
      <c r="B12" s="74"/>
      <c r="C12" s="112">
        <f>SUM(C3:C11)</f>
        <v>920005463</v>
      </c>
      <c r="D12" s="112">
        <f t="shared" ref="D12:L12" si="0">SUM(D3:D11)</f>
        <v>824816036</v>
      </c>
      <c r="E12" s="112">
        <f t="shared" si="0"/>
        <v>585161681</v>
      </c>
      <c r="F12" s="76">
        <f t="shared" si="0"/>
        <v>382578302</v>
      </c>
      <c r="G12" s="76">
        <f t="shared" si="0"/>
        <v>237624034</v>
      </c>
      <c r="H12" s="76">
        <f t="shared" si="0"/>
        <v>193805244</v>
      </c>
      <c r="I12" s="76">
        <f t="shared" si="0"/>
        <v>168649522</v>
      </c>
      <c r="J12" s="76">
        <f t="shared" si="0"/>
        <v>149172387</v>
      </c>
      <c r="K12" s="76">
        <f t="shared" si="0"/>
        <v>149882432</v>
      </c>
      <c r="L12" s="76">
        <f t="shared" si="0"/>
        <v>124725580</v>
      </c>
      <c r="M12" s="70"/>
      <c r="N12" s="70"/>
    </row>
    <row r="13" spans="1:14" s="68" customFormat="1" ht="20.25">
      <c r="A13" s="113"/>
      <c r="B13" s="113"/>
      <c r="C13" s="148"/>
      <c r="D13" s="109"/>
      <c r="E13" s="109"/>
      <c r="F13" s="70"/>
      <c r="G13" s="70"/>
      <c r="H13" s="70"/>
      <c r="I13" s="70"/>
      <c r="J13" s="70"/>
      <c r="K13" s="70"/>
      <c r="L13" s="70"/>
      <c r="M13" s="70"/>
      <c r="N13" s="70"/>
    </row>
    <row r="14" spans="1:14" ht="20.25">
      <c r="A14" s="111" t="s">
        <v>321</v>
      </c>
      <c r="B14" s="111"/>
      <c r="C14" s="111">
        <v>126284892</v>
      </c>
      <c r="D14" s="111">
        <v>101329697</v>
      </c>
      <c r="E14" s="111">
        <v>94425130</v>
      </c>
      <c r="F14" s="111">
        <v>91619634</v>
      </c>
      <c r="G14" s="111">
        <v>39350734</v>
      </c>
      <c r="H14" s="111">
        <v>56302583</v>
      </c>
      <c r="I14" s="111">
        <v>25473155</v>
      </c>
      <c r="J14" s="111">
        <v>15442194</v>
      </c>
      <c r="K14" s="111">
        <v>23960330</v>
      </c>
      <c r="L14" s="111">
        <v>34880523</v>
      </c>
    </row>
    <row r="15" spans="1:14" ht="20.25">
      <c r="A15" s="111" t="s">
        <v>322</v>
      </c>
      <c r="B15" s="111"/>
      <c r="C15" s="111">
        <v>64857757</v>
      </c>
      <c r="D15" s="111">
        <v>67027865</v>
      </c>
      <c r="E15" s="111">
        <v>41604239</v>
      </c>
      <c r="F15" s="111"/>
      <c r="G15" s="111"/>
      <c r="H15" s="111"/>
      <c r="I15" s="111"/>
      <c r="J15" s="111"/>
      <c r="K15" s="111"/>
      <c r="L15" s="111"/>
    </row>
    <row r="16" spans="1:14" ht="20.25">
      <c r="A16" s="111" t="s">
        <v>323</v>
      </c>
      <c r="B16" s="111"/>
      <c r="C16" s="111">
        <v>120950302</v>
      </c>
      <c r="D16" s="111">
        <v>82532838</v>
      </c>
      <c r="E16" s="111">
        <v>67831884</v>
      </c>
      <c r="F16" s="111"/>
      <c r="G16" s="111"/>
      <c r="H16" s="111">
        <v>37774637</v>
      </c>
      <c r="I16" s="111">
        <v>25692780</v>
      </c>
      <c r="J16" s="111">
        <v>6214610</v>
      </c>
      <c r="K16" s="111">
        <v>8667086</v>
      </c>
      <c r="L16" s="111">
        <v>6924420</v>
      </c>
    </row>
    <row r="17" spans="1:14" ht="20.25">
      <c r="A17" s="111" t="s">
        <v>324</v>
      </c>
      <c r="B17" s="111"/>
      <c r="C17" s="111">
        <v>34069285</v>
      </c>
      <c r="D17" s="111">
        <v>26935009</v>
      </c>
      <c r="E17" s="111">
        <v>49310521</v>
      </c>
      <c r="F17" s="111">
        <v>65384025</v>
      </c>
      <c r="G17" s="111">
        <v>39299966</v>
      </c>
      <c r="H17" s="111"/>
      <c r="I17" s="111"/>
      <c r="J17" s="111">
        <v>3960333</v>
      </c>
      <c r="K17" s="111">
        <v>3327946</v>
      </c>
      <c r="L17" s="111">
        <v>3399559</v>
      </c>
    </row>
    <row r="18" spans="1:14" ht="20.25">
      <c r="A18" s="111" t="s">
        <v>325</v>
      </c>
      <c r="B18" s="111"/>
      <c r="C18" s="111" t="s">
        <v>326</v>
      </c>
      <c r="D18" s="111">
        <v>60000000</v>
      </c>
      <c r="E18" s="111"/>
      <c r="F18" s="111"/>
      <c r="G18" s="111"/>
      <c r="H18" s="111"/>
      <c r="I18" s="111"/>
      <c r="J18" s="111"/>
      <c r="K18" s="111"/>
      <c r="L18" s="111"/>
    </row>
    <row r="19" spans="1:14" ht="20.25">
      <c r="A19" s="111" t="s">
        <v>327</v>
      </c>
      <c r="B19" s="111"/>
      <c r="C19" s="111">
        <v>29179684</v>
      </c>
      <c r="D19" s="111">
        <v>37945394</v>
      </c>
      <c r="E19" s="111">
        <v>24905908</v>
      </c>
      <c r="F19" s="111">
        <v>20199376</v>
      </c>
      <c r="G19" s="111">
        <v>24195641</v>
      </c>
      <c r="H19" s="111">
        <v>5307767</v>
      </c>
      <c r="I19" s="111">
        <v>12423029</v>
      </c>
      <c r="J19" s="111">
        <v>21865709</v>
      </c>
      <c r="K19" s="111">
        <v>16962340</v>
      </c>
      <c r="L19" s="111">
        <v>12848885</v>
      </c>
    </row>
    <row r="20" spans="1:14" s="68" customFormat="1">
      <c r="A20" s="74" t="s">
        <v>111</v>
      </c>
      <c r="B20" s="74"/>
      <c r="C20" s="77">
        <f>SUM(C14:C19)</f>
        <v>375341920</v>
      </c>
      <c r="D20" s="77">
        <f t="shared" ref="D20:L20" si="1">SUM(D14:D19)</f>
        <v>375770803</v>
      </c>
      <c r="E20" s="77">
        <f t="shared" si="1"/>
        <v>278077682</v>
      </c>
      <c r="F20" s="77">
        <f t="shared" si="1"/>
        <v>177203035</v>
      </c>
      <c r="G20" s="77">
        <f t="shared" si="1"/>
        <v>102846341</v>
      </c>
      <c r="H20" s="77">
        <f t="shared" si="1"/>
        <v>99384987</v>
      </c>
      <c r="I20" s="77">
        <f t="shared" si="1"/>
        <v>63588964</v>
      </c>
      <c r="J20" s="77">
        <f t="shared" si="1"/>
        <v>47482846</v>
      </c>
      <c r="K20" s="77">
        <f t="shared" si="1"/>
        <v>52917702</v>
      </c>
      <c r="L20" s="77">
        <f t="shared" si="1"/>
        <v>58053387</v>
      </c>
      <c r="M20" s="70"/>
      <c r="N20" s="70"/>
    </row>
    <row r="21" spans="1:14" s="68" customFormat="1">
      <c r="A21" s="74" t="s">
        <v>112</v>
      </c>
      <c r="B21" s="74"/>
      <c r="C21" s="78">
        <f t="shared" ref="C21:L21" si="2">C12+C20</f>
        <v>1295347383</v>
      </c>
      <c r="D21" s="78">
        <f t="shared" si="2"/>
        <v>1200586839</v>
      </c>
      <c r="E21" s="78">
        <f t="shared" si="2"/>
        <v>863239363</v>
      </c>
      <c r="F21" s="78">
        <f t="shared" si="2"/>
        <v>559781337</v>
      </c>
      <c r="G21" s="78">
        <f t="shared" si="2"/>
        <v>340470375</v>
      </c>
      <c r="H21" s="78">
        <f t="shared" si="2"/>
        <v>293190231</v>
      </c>
      <c r="I21" s="78">
        <f t="shared" si="2"/>
        <v>232238486</v>
      </c>
      <c r="J21" s="78">
        <f t="shared" si="2"/>
        <v>196655233</v>
      </c>
      <c r="K21" s="78">
        <f t="shared" si="2"/>
        <v>202800134</v>
      </c>
      <c r="L21" s="78">
        <f t="shared" si="2"/>
        <v>182778967</v>
      </c>
      <c r="M21" s="70"/>
      <c r="N21" s="70"/>
    </row>
    <row r="22" spans="1:14" s="68" customFormat="1" ht="20.25">
      <c r="A22" s="113"/>
      <c r="B22" s="113"/>
      <c r="C22" s="148"/>
      <c r="D22" s="109"/>
      <c r="E22" s="109"/>
      <c r="F22" s="70"/>
      <c r="G22" s="70"/>
      <c r="H22" s="70"/>
      <c r="I22" s="70"/>
      <c r="J22" s="70"/>
      <c r="K22" s="70"/>
      <c r="L22" s="70"/>
      <c r="M22" s="70"/>
      <c r="N22" s="70"/>
    </row>
    <row r="23" spans="1:14" ht="20.25">
      <c r="A23" s="113"/>
      <c r="B23" s="113"/>
      <c r="C23" s="148"/>
      <c r="D23" s="109"/>
      <c r="E23" s="109"/>
    </row>
    <row r="24" spans="1:14" ht="20.25">
      <c r="A24" s="111" t="s">
        <v>180</v>
      </c>
      <c r="B24" s="111"/>
      <c r="C24" s="111">
        <v>100000000</v>
      </c>
      <c r="D24" s="111">
        <v>100000000</v>
      </c>
      <c r="E24" s="111">
        <v>10000000</v>
      </c>
      <c r="F24" s="111">
        <v>10000000</v>
      </c>
      <c r="G24" s="111">
        <v>10000000</v>
      </c>
      <c r="H24" s="111">
        <v>10000000</v>
      </c>
      <c r="I24" s="111">
        <v>10000000</v>
      </c>
      <c r="J24" s="111">
        <v>10000000</v>
      </c>
      <c r="K24" s="111">
        <v>10000000</v>
      </c>
      <c r="L24" s="111">
        <v>10000000</v>
      </c>
    </row>
    <row r="25" spans="1:14" ht="20.25">
      <c r="A25" s="111" t="s">
        <v>328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>
        <v>200000</v>
      </c>
    </row>
    <row r="26" spans="1:14" ht="20.25">
      <c r="A26" s="111" t="s">
        <v>181</v>
      </c>
      <c r="B26" s="111"/>
      <c r="C26" s="111">
        <v>5836676</v>
      </c>
      <c r="D26" s="111">
        <v>5118150</v>
      </c>
      <c r="E26" s="111">
        <v>5000000</v>
      </c>
      <c r="F26" s="111">
        <v>5000000</v>
      </c>
      <c r="G26" s="111">
        <v>5000000</v>
      </c>
      <c r="H26" s="111">
        <v>5000000</v>
      </c>
      <c r="I26" s="111">
        <v>5000000</v>
      </c>
      <c r="J26" s="111">
        <v>5000000</v>
      </c>
      <c r="K26" s="111">
        <v>5000000</v>
      </c>
      <c r="L26" s="111">
        <v>5000000</v>
      </c>
    </row>
    <row r="27" spans="1:14" ht="20.25">
      <c r="A27" s="111" t="s">
        <v>182</v>
      </c>
      <c r="B27" s="111"/>
      <c r="C27" s="111">
        <v>139225710</v>
      </c>
      <c r="D27" s="111">
        <v>133029043</v>
      </c>
      <c r="E27" s="111">
        <v>262309395</v>
      </c>
      <c r="F27" s="111">
        <v>184818924</v>
      </c>
      <c r="G27" s="111">
        <v>195350236</v>
      </c>
      <c r="H27" s="111">
        <v>179963139</v>
      </c>
      <c r="I27" s="111">
        <v>162598715</v>
      </c>
      <c r="J27" s="111">
        <v>146976643</v>
      </c>
      <c r="K27" s="111">
        <v>147557488</v>
      </c>
      <c r="L27" s="111">
        <v>141220479</v>
      </c>
    </row>
    <row r="28" spans="1:14" ht="20.25">
      <c r="A28" s="111" t="s">
        <v>329</v>
      </c>
      <c r="B28" s="111"/>
      <c r="C28" s="111"/>
      <c r="D28" s="111"/>
      <c r="E28" s="111"/>
      <c r="F28" s="111"/>
      <c r="G28" s="111"/>
      <c r="H28" s="111">
        <v>-1157316</v>
      </c>
      <c r="I28" s="111">
        <v>-55221</v>
      </c>
      <c r="J28" s="111"/>
      <c r="K28" s="111"/>
      <c r="L28" s="111"/>
    </row>
    <row r="29" spans="1:14" s="68" customFormat="1">
      <c r="A29" s="74" t="s">
        <v>113</v>
      </c>
      <c r="B29" s="74"/>
      <c r="C29" s="76">
        <f>SUM(C24:C28)</f>
        <v>245062386</v>
      </c>
      <c r="D29" s="76">
        <f t="shared" ref="D29:L29" si="3">SUM(D24:D28)</f>
        <v>238147193</v>
      </c>
      <c r="E29" s="76">
        <f t="shared" si="3"/>
        <v>277309395</v>
      </c>
      <c r="F29" s="76">
        <f t="shared" si="3"/>
        <v>199818924</v>
      </c>
      <c r="G29" s="76">
        <f t="shared" si="3"/>
        <v>210350236</v>
      </c>
      <c r="H29" s="76">
        <f t="shared" si="3"/>
        <v>193805823</v>
      </c>
      <c r="I29" s="76">
        <f t="shared" si="3"/>
        <v>177543494</v>
      </c>
      <c r="J29" s="76">
        <f t="shared" si="3"/>
        <v>161976643</v>
      </c>
      <c r="K29" s="76">
        <f t="shared" si="3"/>
        <v>162557488</v>
      </c>
      <c r="L29" s="76">
        <f t="shared" si="3"/>
        <v>156420479</v>
      </c>
      <c r="M29" s="70"/>
      <c r="N29" s="70"/>
    </row>
    <row r="30" spans="1:14" s="68" customFormat="1" ht="20.25">
      <c r="A30" s="113"/>
      <c r="B30" s="113"/>
      <c r="C30" s="148"/>
      <c r="D30" s="109"/>
      <c r="E30" s="109"/>
      <c r="F30" s="70"/>
      <c r="G30" s="70"/>
      <c r="H30" s="70"/>
      <c r="I30" s="70"/>
      <c r="J30" s="70"/>
      <c r="K30" s="70"/>
      <c r="L30" s="70"/>
      <c r="M30" s="70"/>
      <c r="N30" s="70"/>
    </row>
    <row r="31" spans="1:14" ht="20.25">
      <c r="A31" s="111" t="s">
        <v>330</v>
      </c>
      <c r="B31" s="111"/>
      <c r="C31" s="111">
        <v>19300863</v>
      </c>
      <c r="D31" s="111">
        <v>15445959</v>
      </c>
      <c r="E31" s="111">
        <v>14020784</v>
      </c>
      <c r="F31" s="111">
        <v>11677793</v>
      </c>
      <c r="G31" s="111">
        <v>10027290</v>
      </c>
      <c r="H31" s="111">
        <v>7103902</v>
      </c>
      <c r="I31" s="111">
        <v>6358758</v>
      </c>
      <c r="J31" s="111">
        <v>5517371</v>
      </c>
      <c r="K31" s="111">
        <v>7152159</v>
      </c>
      <c r="L31" s="111">
        <v>6740294</v>
      </c>
    </row>
    <row r="32" spans="1:14" ht="20.25">
      <c r="A32" s="111" t="s">
        <v>331</v>
      </c>
      <c r="B32" s="111"/>
      <c r="C32" s="111">
        <v>85577979</v>
      </c>
      <c r="D32" s="111">
        <v>73430669</v>
      </c>
      <c r="E32" s="111">
        <v>22741002</v>
      </c>
      <c r="F32" s="111">
        <v>5392219</v>
      </c>
      <c r="G32" s="111">
        <v>3230214</v>
      </c>
      <c r="H32" s="111">
        <v>2349858</v>
      </c>
      <c r="I32" s="111"/>
      <c r="J32" s="111"/>
      <c r="K32" s="111"/>
      <c r="L32" s="111"/>
    </row>
    <row r="33" spans="1:14" ht="20.25">
      <c r="A33" s="111" t="s">
        <v>332</v>
      </c>
      <c r="B33" s="111"/>
      <c r="C33" s="111">
        <v>611413395</v>
      </c>
      <c r="D33" s="111">
        <v>508658195</v>
      </c>
      <c r="E33" s="111">
        <v>387750521</v>
      </c>
      <c r="F33" s="111">
        <v>212230383</v>
      </c>
      <c r="G33" s="111">
        <v>62289649</v>
      </c>
      <c r="H33" s="111">
        <v>32463588</v>
      </c>
      <c r="I33" s="111">
        <v>22891466</v>
      </c>
      <c r="J33" s="111"/>
      <c r="K33" s="111"/>
      <c r="L33" s="111">
        <v>2528465</v>
      </c>
    </row>
    <row r="34" spans="1:14" ht="20.25">
      <c r="A34" s="111" t="s">
        <v>273</v>
      </c>
      <c r="B34" s="111"/>
      <c r="C34" s="111"/>
      <c r="D34" s="111"/>
      <c r="E34" s="111"/>
      <c r="F34" s="111"/>
      <c r="G34" s="111"/>
      <c r="H34" s="111"/>
      <c r="I34" s="111"/>
      <c r="J34" s="111">
        <v>106655</v>
      </c>
      <c r="K34" s="111">
        <v>57488</v>
      </c>
      <c r="L34" s="111">
        <v>190694</v>
      </c>
    </row>
    <row r="35" spans="1:14" ht="20.25">
      <c r="A35" s="111" t="s">
        <v>286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>
        <v>10000000</v>
      </c>
    </row>
    <row r="36" spans="1:14" ht="20.25">
      <c r="A36" s="111" t="s">
        <v>287</v>
      </c>
      <c r="B36" s="111"/>
      <c r="C36" s="111"/>
      <c r="D36" s="111"/>
      <c r="E36" s="111"/>
      <c r="F36" s="111"/>
      <c r="G36" s="111"/>
      <c r="H36" s="111"/>
      <c r="I36" s="111"/>
      <c r="J36" s="111">
        <v>4024550</v>
      </c>
      <c r="K36" s="111">
        <v>2949360</v>
      </c>
    </row>
    <row r="37" spans="1:14" ht="2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</row>
    <row r="38" spans="1:14" s="68" customFormat="1">
      <c r="A38" s="74" t="s">
        <v>114</v>
      </c>
      <c r="B38" s="74"/>
      <c r="C38" s="76">
        <f>SUM(C31:C37)</f>
        <v>716292237</v>
      </c>
      <c r="D38" s="76">
        <f t="shared" ref="D38:L38" si="4">SUM(D31:D37)</f>
        <v>597534823</v>
      </c>
      <c r="E38" s="76">
        <f t="shared" si="4"/>
        <v>424512307</v>
      </c>
      <c r="F38" s="76">
        <f t="shared" si="4"/>
        <v>229300395</v>
      </c>
      <c r="G38" s="76">
        <f t="shared" si="4"/>
        <v>75547153</v>
      </c>
      <c r="H38" s="76">
        <f t="shared" si="4"/>
        <v>41917348</v>
      </c>
      <c r="I38" s="76">
        <f t="shared" si="4"/>
        <v>29250224</v>
      </c>
      <c r="J38" s="76">
        <f t="shared" si="4"/>
        <v>9648576</v>
      </c>
      <c r="K38" s="76">
        <f t="shared" si="4"/>
        <v>20159007</v>
      </c>
      <c r="L38" s="76">
        <f t="shared" si="4"/>
        <v>9459453</v>
      </c>
      <c r="M38" s="70"/>
      <c r="N38" s="70"/>
    </row>
    <row r="39" spans="1:14" s="68" customFormat="1" ht="20.25">
      <c r="A39" s="113"/>
      <c r="B39" s="113"/>
      <c r="C39" s="148"/>
      <c r="D39" s="109"/>
      <c r="E39" s="109"/>
      <c r="F39" s="70"/>
      <c r="G39" s="70"/>
      <c r="H39" s="70"/>
      <c r="I39" s="70"/>
      <c r="J39" s="70"/>
      <c r="K39" s="70"/>
      <c r="L39" s="70"/>
      <c r="M39" s="70"/>
      <c r="N39" s="70"/>
    </row>
    <row r="40" spans="1:14" ht="20.25">
      <c r="A40" s="111" t="s">
        <v>333</v>
      </c>
      <c r="B40" s="111"/>
      <c r="C40" s="111">
        <v>179534308</v>
      </c>
      <c r="D40" s="111">
        <v>230040383</v>
      </c>
      <c r="E40" s="111">
        <v>51974217</v>
      </c>
      <c r="F40" s="111">
        <v>77222909</v>
      </c>
      <c r="G40" s="111">
        <v>6869103</v>
      </c>
      <c r="H40" s="111">
        <v>24067835</v>
      </c>
      <c r="I40" s="111">
        <v>1269123</v>
      </c>
      <c r="J40" s="111">
        <v>7506000</v>
      </c>
      <c r="K40" s="111"/>
      <c r="L40" s="111">
        <v>1087663</v>
      </c>
    </row>
    <row r="41" spans="1:14" ht="20.25">
      <c r="A41" s="111" t="s">
        <v>334</v>
      </c>
      <c r="B41" s="111"/>
      <c r="C41" s="111">
        <v>91218995</v>
      </c>
      <c r="D41" s="111">
        <v>80525320</v>
      </c>
      <c r="E41" s="111">
        <v>63530875</v>
      </c>
      <c r="F41" s="111">
        <v>40591531</v>
      </c>
      <c r="G41" s="111">
        <v>30572760</v>
      </c>
      <c r="H41" s="111">
        <v>28028219</v>
      </c>
      <c r="I41" s="111">
        <v>22746143</v>
      </c>
      <c r="J41" s="111">
        <v>11627084</v>
      </c>
      <c r="K41" s="111">
        <v>12379721</v>
      </c>
      <c r="L41" s="111">
        <v>6548022</v>
      </c>
    </row>
    <row r="42" spans="1:14" ht="20.25">
      <c r="A42" s="111" t="s">
        <v>335</v>
      </c>
      <c r="B42" s="111"/>
      <c r="C42" s="111"/>
      <c r="D42" s="111"/>
      <c r="E42" s="111"/>
      <c r="F42" s="111"/>
      <c r="G42" s="111"/>
      <c r="H42" s="111"/>
      <c r="I42" s="111"/>
      <c r="J42" s="111">
        <v>849775</v>
      </c>
      <c r="K42" s="111">
        <v>1628337</v>
      </c>
      <c r="L42" s="111"/>
    </row>
    <row r="43" spans="1:14" ht="20.25">
      <c r="A43" s="111" t="s">
        <v>336</v>
      </c>
      <c r="B43" s="111"/>
      <c r="C43" s="111"/>
      <c r="D43" s="111"/>
      <c r="E43" s="111"/>
      <c r="F43" s="111"/>
      <c r="G43" s="111"/>
      <c r="H43" s="111"/>
      <c r="I43" s="111"/>
      <c r="J43" s="111">
        <v>442885</v>
      </c>
      <c r="K43" s="111">
        <v>2162582</v>
      </c>
      <c r="L43" s="111">
        <v>953137</v>
      </c>
    </row>
    <row r="44" spans="1:14" ht="20.25">
      <c r="A44" s="111" t="s">
        <v>337</v>
      </c>
      <c r="B44" s="111"/>
      <c r="C44" s="111"/>
      <c r="D44" s="111"/>
      <c r="E44" s="111"/>
      <c r="F44" s="111">
        <v>1359728</v>
      </c>
      <c r="G44" s="111">
        <v>4458245</v>
      </c>
      <c r="H44" s="111">
        <v>329920</v>
      </c>
      <c r="I44" s="111">
        <v>86980</v>
      </c>
      <c r="J44" s="111"/>
      <c r="K44" s="111"/>
      <c r="L44" s="111"/>
    </row>
    <row r="45" spans="1:14" ht="20.25">
      <c r="A45" s="111" t="s">
        <v>338</v>
      </c>
      <c r="B45" s="111"/>
      <c r="C45" s="111"/>
      <c r="D45" s="111"/>
      <c r="E45" s="111"/>
      <c r="F45" s="111">
        <v>4691293</v>
      </c>
      <c r="G45" s="111">
        <v>6585611</v>
      </c>
      <c r="H45" s="111">
        <v>2707354</v>
      </c>
      <c r="I45" s="111">
        <v>667308</v>
      </c>
      <c r="J45" s="111"/>
      <c r="K45" s="111"/>
      <c r="L45" s="111"/>
    </row>
    <row r="46" spans="1:14" ht="20.25">
      <c r="A46" s="111" t="s">
        <v>339</v>
      </c>
      <c r="B46" s="111"/>
      <c r="C46" s="111">
        <v>36531904</v>
      </c>
      <c r="D46" s="111">
        <v>35327209</v>
      </c>
      <c r="E46" s="111">
        <v>34251421</v>
      </c>
      <c r="F46" s="111"/>
      <c r="G46" s="111"/>
      <c r="H46" s="111"/>
      <c r="I46" s="111"/>
      <c r="J46" s="111">
        <v>3804273</v>
      </c>
      <c r="K46" s="111">
        <v>3488309</v>
      </c>
      <c r="L46" s="111">
        <v>7403446</v>
      </c>
    </row>
    <row r="47" spans="1:14" ht="20.25">
      <c r="A47" s="111" t="s">
        <v>331</v>
      </c>
      <c r="B47" s="111"/>
      <c r="C47" s="111">
        <v>25207553</v>
      </c>
      <c r="D47" s="111">
        <v>17661911</v>
      </c>
      <c r="E47" s="111">
        <v>8218758</v>
      </c>
      <c r="F47" s="111">
        <v>5264463</v>
      </c>
      <c r="G47" s="111">
        <v>5012590</v>
      </c>
      <c r="H47" s="111">
        <v>1092725</v>
      </c>
      <c r="I47" s="111" t="s">
        <v>209</v>
      </c>
      <c r="J47" s="111"/>
      <c r="K47" s="111"/>
      <c r="L47" s="111"/>
    </row>
    <row r="48" spans="1:14" ht="20.25">
      <c r="A48" s="111" t="s">
        <v>340</v>
      </c>
      <c r="B48" s="111"/>
      <c r="C48" s="111">
        <v>1500000</v>
      </c>
      <c r="D48" s="111">
        <v>1350000</v>
      </c>
      <c r="E48" s="111">
        <v>3442390</v>
      </c>
      <c r="F48" s="111">
        <v>1532094</v>
      </c>
      <c r="G48" s="111">
        <v>1074677</v>
      </c>
      <c r="H48" s="111">
        <v>1241007</v>
      </c>
      <c r="I48" s="111">
        <v>675214</v>
      </c>
      <c r="J48" s="111">
        <v>799997</v>
      </c>
      <c r="K48" s="111">
        <v>424690</v>
      </c>
      <c r="L48" s="111">
        <v>906767</v>
      </c>
    </row>
    <row r="49" spans="1:14" ht="2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</row>
    <row r="50" spans="1:14" s="68" customFormat="1">
      <c r="A50" s="74" t="s">
        <v>107</v>
      </c>
      <c r="B50" s="74"/>
      <c r="C50" s="77">
        <f>SUM(C40:C49)</f>
        <v>333992760</v>
      </c>
      <c r="D50" s="77">
        <f t="shared" ref="D50:L50" si="5">SUM(D40:D49)</f>
        <v>364904823</v>
      </c>
      <c r="E50" s="77">
        <f t="shared" si="5"/>
        <v>161417661</v>
      </c>
      <c r="F50" s="77">
        <f t="shared" si="5"/>
        <v>130662018</v>
      </c>
      <c r="G50" s="77">
        <f t="shared" si="5"/>
        <v>54572986</v>
      </c>
      <c r="H50" s="77">
        <f t="shared" si="5"/>
        <v>57467060</v>
      </c>
      <c r="I50" s="77">
        <f t="shared" si="5"/>
        <v>25444768</v>
      </c>
      <c r="J50" s="77">
        <f t="shared" si="5"/>
        <v>25030014</v>
      </c>
      <c r="K50" s="77">
        <f t="shared" si="5"/>
        <v>20083639</v>
      </c>
      <c r="L50" s="77">
        <f t="shared" si="5"/>
        <v>16899035</v>
      </c>
      <c r="M50" s="70"/>
      <c r="N50" s="70"/>
    </row>
    <row r="51" spans="1:14" s="68" customFormat="1">
      <c r="A51" s="68" t="s">
        <v>108</v>
      </c>
      <c r="C51" s="118">
        <f t="shared" ref="C51:L51" si="6">C38+C50</f>
        <v>1050284997</v>
      </c>
      <c r="D51" s="118">
        <f t="shared" si="6"/>
        <v>962439646</v>
      </c>
      <c r="E51" s="118">
        <f t="shared" si="6"/>
        <v>585929968</v>
      </c>
      <c r="F51" s="76">
        <f t="shared" si="6"/>
        <v>359962413</v>
      </c>
      <c r="G51" s="76">
        <f t="shared" si="6"/>
        <v>130120139</v>
      </c>
      <c r="H51" s="76">
        <f t="shared" si="6"/>
        <v>99384408</v>
      </c>
      <c r="I51" s="76">
        <f t="shared" si="6"/>
        <v>54694992</v>
      </c>
      <c r="J51" s="76">
        <f t="shared" si="6"/>
        <v>34678590</v>
      </c>
      <c r="K51" s="76">
        <f t="shared" si="6"/>
        <v>40242646</v>
      </c>
      <c r="L51" s="76">
        <f t="shared" si="6"/>
        <v>26358488</v>
      </c>
      <c r="M51" s="70"/>
      <c r="N51" s="70"/>
    </row>
    <row r="52" spans="1:14" s="68" customFormat="1">
      <c r="A52" s="74" t="s">
        <v>109</v>
      </c>
      <c r="B52" s="74"/>
      <c r="C52" s="119">
        <f t="shared" ref="C52:L52" si="7">C51+C29</f>
        <v>1295347383</v>
      </c>
      <c r="D52" s="119">
        <f t="shared" si="7"/>
        <v>1200586839</v>
      </c>
      <c r="E52" s="119">
        <f t="shared" si="7"/>
        <v>863239363</v>
      </c>
      <c r="F52" s="79">
        <f t="shared" si="7"/>
        <v>559781337</v>
      </c>
      <c r="G52" s="79">
        <f t="shared" si="7"/>
        <v>340470375</v>
      </c>
      <c r="H52" s="79">
        <f t="shared" si="7"/>
        <v>293190231</v>
      </c>
      <c r="I52" s="79">
        <f t="shared" si="7"/>
        <v>232238486</v>
      </c>
      <c r="J52" s="79">
        <f t="shared" si="7"/>
        <v>196655233</v>
      </c>
      <c r="K52" s="79">
        <f t="shared" si="7"/>
        <v>202800134</v>
      </c>
      <c r="L52" s="79">
        <f t="shared" si="7"/>
        <v>182778967</v>
      </c>
      <c r="M52" s="70"/>
      <c r="N52" s="70"/>
    </row>
    <row r="53" spans="1:14">
      <c r="C53" s="117"/>
    </row>
    <row r="54" spans="1:14">
      <c r="C54" s="119">
        <f t="shared" ref="C54:L54" si="8">C21-C52</f>
        <v>0</v>
      </c>
      <c r="D54" s="119">
        <f t="shared" si="8"/>
        <v>0</v>
      </c>
      <c r="E54" s="119">
        <f t="shared" si="8"/>
        <v>0</v>
      </c>
      <c r="F54" s="78">
        <f t="shared" si="8"/>
        <v>0</v>
      </c>
      <c r="G54" s="78">
        <f t="shared" si="8"/>
        <v>0</v>
      </c>
      <c r="H54" s="78">
        <f t="shared" si="8"/>
        <v>0</v>
      </c>
      <c r="I54" s="78">
        <f t="shared" si="8"/>
        <v>0</v>
      </c>
      <c r="J54" s="78">
        <f t="shared" si="8"/>
        <v>0</v>
      </c>
      <c r="K54" s="78">
        <f t="shared" si="8"/>
        <v>0</v>
      </c>
      <c r="L54" s="78">
        <f t="shared" si="8"/>
        <v>0</v>
      </c>
    </row>
    <row r="55" spans="1:14" s="173" customFormat="1" ht="18.75">
      <c r="A55" s="81" t="s">
        <v>52</v>
      </c>
      <c r="B55" s="81"/>
      <c r="C55" s="122">
        <v>907442402</v>
      </c>
      <c r="D55" s="122">
        <v>674249565</v>
      </c>
      <c r="E55" s="122">
        <v>578647413</v>
      </c>
      <c r="F55" s="122">
        <v>377093989</v>
      </c>
      <c r="G55" s="122">
        <v>248785623</v>
      </c>
      <c r="H55" s="83">
        <v>188027841</v>
      </c>
      <c r="I55" s="121">
        <v>155683610</v>
      </c>
      <c r="J55" s="122">
        <v>123579614</v>
      </c>
      <c r="K55" s="122">
        <v>124039252</v>
      </c>
      <c r="L55" s="122">
        <v>155838858</v>
      </c>
    </row>
    <row r="56" spans="1:14" s="173" customFormat="1" ht="18.75">
      <c r="A56" s="85" t="s">
        <v>53</v>
      </c>
      <c r="B56" s="85"/>
      <c r="C56" s="156">
        <v>-745261948</v>
      </c>
      <c r="D56" s="156">
        <v>-581557832</v>
      </c>
      <c r="E56" s="156">
        <v>-423218365</v>
      </c>
      <c r="F56" s="122">
        <v>-315046013</v>
      </c>
      <c r="G56" s="122">
        <v>-175469029</v>
      </c>
      <c r="H56" s="83">
        <v>-136579793</v>
      </c>
      <c r="I56" s="121">
        <v>-111686578</v>
      </c>
      <c r="J56" s="122">
        <v>-110021311</v>
      </c>
      <c r="K56" s="122">
        <v>-110578658</v>
      </c>
      <c r="L56" s="122">
        <v>-116800819</v>
      </c>
    </row>
    <row r="57" spans="1:14" s="173" customFormat="1" ht="18.75">
      <c r="A57" s="87" t="s">
        <v>54</v>
      </c>
      <c r="B57" s="87"/>
      <c r="C57" s="125">
        <v>162180454</v>
      </c>
      <c r="D57" s="125">
        <v>92691733</v>
      </c>
      <c r="E57" s="125">
        <v>155429048</v>
      </c>
      <c r="F57" s="89">
        <v>62047976</v>
      </c>
      <c r="G57" s="89">
        <v>73316594</v>
      </c>
      <c r="H57" s="89">
        <v>51448048</v>
      </c>
      <c r="I57" s="89">
        <v>43997032</v>
      </c>
      <c r="J57" s="89">
        <v>13558303</v>
      </c>
      <c r="K57" s="89">
        <v>13460594</v>
      </c>
      <c r="L57" s="89">
        <v>39038039</v>
      </c>
    </row>
    <row r="58" spans="1:14" s="173" customFormat="1" ht="18.75">
      <c r="A58" s="90" t="s">
        <v>55</v>
      </c>
      <c r="B58" s="90"/>
      <c r="C58" s="122">
        <v>-37749425</v>
      </c>
      <c r="D58" s="122">
        <v>-55180752</v>
      </c>
      <c r="E58" s="122">
        <v>-44030045</v>
      </c>
      <c r="F58" s="122">
        <v>-31561125</v>
      </c>
      <c r="G58" s="122">
        <v>-24684840</v>
      </c>
      <c r="H58" s="83">
        <v>-17338010</v>
      </c>
      <c r="I58" s="83">
        <v>-11687944</v>
      </c>
      <c r="J58" s="122">
        <v>-9348022</v>
      </c>
      <c r="K58" s="122">
        <v>-5750725</v>
      </c>
      <c r="L58" s="122">
        <v>-8908175</v>
      </c>
    </row>
    <row r="59" spans="1:14" s="173" customFormat="1" ht="18.75">
      <c r="A59" s="90" t="s">
        <v>203</v>
      </c>
      <c r="B59" s="90"/>
      <c r="C59" s="122">
        <v>-78619225</v>
      </c>
      <c r="D59" s="122">
        <v>-27862093</v>
      </c>
      <c r="E59" s="122">
        <v>-35004515</v>
      </c>
      <c r="F59" s="122">
        <v>-21238823</v>
      </c>
      <c r="G59" s="122">
        <v>-22823237</v>
      </c>
      <c r="H59" s="83">
        <v>-16160856</v>
      </c>
      <c r="I59" s="83">
        <v>-15589171</v>
      </c>
      <c r="J59" s="122">
        <v>-9091158</v>
      </c>
      <c r="K59" s="122">
        <v>-6720176</v>
      </c>
      <c r="L59" s="122">
        <v>-5671140</v>
      </c>
    </row>
    <row r="60" spans="1:14" s="173" customFormat="1" ht="20.25">
      <c r="A60" s="157" t="s">
        <v>341</v>
      </c>
      <c r="B60" s="157"/>
      <c r="C60" s="122">
        <v>-2337916</v>
      </c>
      <c r="D60" s="122">
        <v>-33257</v>
      </c>
      <c r="E60" s="122">
        <v>-261017</v>
      </c>
      <c r="F60" s="122"/>
      <c r="G60" s="122"/>
      <c r="H60" s="83"/>
      <c r="I60" s="83"/>
      <c r="J60" s="122"/>
      <c r="K60" s="122"/>
      <c r="L60" s="122"/>
    </row>
    <row r="61" spans="1:14" s="173" customFormat="1" ht="18.75">
      <c r="A61" s="90" t="s">
        <v>65</v>
      </c>
      <c r="B61" s="90"/>
      <c r="C61" s="122">
        <v>3016327</v>
      </c>
      <c r="D61" s="122">
        <v>7553718</v>
      </c>
      <c r="E61" s="122">
        <v>2461229</v>
      </c>
      <c r="F61" s="122"/>
      <c r="G61" s="122"/>
      <c r="H61" s="83">
        <v>3056282</v>
      </c>
      <c r="I61" s="83">
        <v>1109808</v>
      </c>
      <c r="J61" s="122">
        <v>1722884</v>
      </c>
      <c r="K61" s="122">
        <v>1642024</v>
      </c>
      <c r="L61" s="122">
        <v>2219898</v>
      </c>
    </row>
    <row r="62" spans="1:14" s="173" customFormat="1" ht="18.75">
      <c r="A62" s="90" t="s">
        <v>205</v>
      </c>
      <c r="B62" s="90"/>
      <c r="C62" s="122"/>
      <c r="D62" s="122"/>
      <c r="E62" s="122"/>
      <c r="F62" s="122"/>
      <c r="G62" s="122"/>
      <c r="H62" s="83"/>
      <c r="I62" s="83"/>
      <c r="J62" s="122"/>
      <c r="K62" s="122"/>
      <c r="L62" s="122"/>
    </row>
    <row r="63" spans="1:14" s="173" customFormat="1" ht="18.75">
      <c r="A63" s="90" t="s">
        <v>160</v>
      </c>
      <c r="B63" s="90"/>
      <c r="C63" s="156"/>
      <c r="D63" s="124"/>
      <c r="E63" s="124"/>
      <c r="F63" s="122"/>
      <c r="G63" s="122"/>
      <c r="H63" s="121"/>
      <c r="I63" s="121"/>
      <c r="J63" s="121"/>
      <c r="K63" s="121"/>
      <c r="L63" s="121"/>
    </row>
    <row r="64" spans="1:14" s="173" customFormat="1" ht="18.75">
      <c r="A64" s="87" t="s">
        <v>115</v>
      </c>
      <c r="B64" s="87"/>
      <c r="C64" s="128">
        <v>46490215</v>
      </c>
      <c r="D64" s="128">
        <v>17169349</v>
      </c>
      <c r="E64" s="128">
        <v>78594700</v>
      </c>
      <c r="F64" s="89">
        <v>9248028</v>
      </c>
      <c r="G64" s="89">
        <v>25808517</v>
      </c>
      <c r="H64" s="94">
        <v>21005464</v>
      </c>
      <c r="I64" s="94">
        <v>17829725</v>
      </c>
      <c r="J64" s="89">
        <v>-3157993</v>
      </c>
      <c r="K64" s="89">
        <v>2631717</v>
      </c>
      <c r="L64" s="89">
        <v>26678622</v>
      </c>
    </row>
    <row r="65" spans="1:12" s="173" customFormat="1" ht="18.75">
      <c r="A65" s="122" t="s">
        <v>161</v>
      </c>
      <c r="B65" s="122"/>
      <c r="C65" s="122">
        <v>-40625880</v>
      </c>
      <c r="D65" s="122">
        <v>-16131349</v>
      </c>
      <c r="E65" s="122">
        <v>-3941614</v>
      </c>
      <c r="F65" s="122">
        <v>-2035881</v>
      </c>
      <c r="G65" s="122">
        <v>-2157957</v>
      </c>
      <c r="H65" s="83">
        <v>-2262664</v>
      </c>
      <c r="I65" s="83" t="s">
        <v>3</v>
      </c>
      <c r="J65" s="122">
        <v>-66047</v>
      </c>
      <c r="K65" s="122">
        <v>-228774</v>
      </c>
      <c r="L65" s="122">
        <v>-43342</v>
      </c>
    </row>
    <row r="66" spans="1:12" s="173" customFormat="1" ht="18.75">
      <c r="A66" s="122" t="s">
        <v>342</v>
      </c>
      <c r="B66" s="122"/>
      <c r="C66" s="122"/>
      <c r="D66" s="122"/>
      <c r="E66" s="122"/>
      <c r="F66" s="122"/>
      <c r="G66" s="122"/>
      <c r="H66" s="83"/>
      <c r="I66" s="83"/>
      <c r="J66" s="122">
        <v>4477297</v>
      </c>
      <c r="K66" s="122">
        <v>4358756</v>
      </c>
      <c r="L66" s="122">
        <v>5920330</v>
      </c>
    </row>
    <row r="67" spans="1:12" s="173" customFormat="1" ht="18.75">
      <c r="A67" s="122" t="s">
        <v>300</v>
      </c>
      <c r="B67" s="122"/>
      <c r="C67" s="122"/>
      <c r="D67" s="122"/>
      <c r="E67" s="122"/>
      <c r="F67" s="122"/>
      <c r="G67" s="122"/>
      <c r="H67" s="83"/>
      <c r="I67" s="121"/>
      <c r="J67" s="122">
        <v>-1034105</v>
      </c>
      <c r="K67" s="122"/>
      <c r="L67" s="122"/>
    </row>
    <row r="68" spans="1:12" s="173" customFormat="1" ht="18.75">
      <c r="A68" s="122" t="s">
        <v>162</v>
      </c>
      <c r="B68" s="122"/>
      <c r="C68" s="122">
        <v>2841644</v>
      </c>
      <c r="D68" s="122">
        <v>1139558</v>
      </c>
      <c r="E68" s="122"/>
      <c r="F68" s="122">
        <v>4162694</v>
      </c>
      <c r="G68" s="122">
        <v>4141485</v>
      </c>
      <c r="H68" s="83"/>
      <c r="I68" s="121"/>
      <c r="J68" s="122"/>
      <c r="K68" s="122"/>
      <c r="L68" s="122"/>
    </row>
    <row r="69" spans="1:12" s="173" customFormat="1" ht="18.75">
      <c r="A69" s="95" t="s">
        <v>165</v>
      </c>
      <c r="B69" s="95"/>
      <c r="C69" s="89">
        <v>8705979</v>
      </c>
      <c r="D69" s="89">
        <v>2177558</v>
      </c>
      <c r="E69" s="89">
        <v>74653086</v>
      </c>
      <c r="F69" s="89">
        <v>11374841</v>
      </c>
      <c r="G69" s="89">
        <v>27792045</v>
      </c>
      <c r="H69" s="89">
        <v>18742800</v>
      </c>
      <c r="I69" s="89">
        <v>17829725</v>
      </c>
      <c r="J69" s="89">
        <v>219152</v>
      </c>
      <c r="K69" s="89">
        <v>6761699</v>
      </c>
      <c r="L69" s="89">
        <v>32555610</v>
      </c>
    </row>
    <row r="70" spans="1:12" s="173" customFormat="1" ht="18.75">
      <c r="A70" s="90" t="s">
        <v>67</v>
      </c>
      <c r="B70" s="90"/>
      <c r="C70" s="122">
        <v>-1520715</v>
      </c>
      <c r="D70" s="122">
        <v>-996055</v>
      </c>
      <c r="E70" s="122">
        <v>-3836016</v>
      </c>
      <c r="F70" s="122">
        <v>-1532094</v>
      </c>
      <c r="G70" s="122">
        <v>-1074677</v>
      </c>
      <c r="H70" s="83">
        <v>-1241007</v>
      </c>
      <c r="I70" s="83">
        <v>-675214</v>
      </c>
      <c r="J70" s="122">
        <v>-799997</v>
      </c>
      <c r="K70" s="122">
        <v>-424690</v>
      </c>
      <c r="L70" s="122">
        <v>-906767</v>
      </c>
    </row>
    <row r="71" spans="1:12" s="173" customFormat="1" ht="18.75">
      <c r="A71" s="95" t="s">
        <v>166</v>
      </c>
      <c r="B71" s="95"/>
      <c r="C71" s="98">
        <v>7185264</v>
      </c>
      <c r="D71" s="98">
        <v>1181503</v>
      </c>
      <c r="E71" s="98">
        <v>70817070</v>
      </c>
      <c r="F71" s="98">
        <v>9842747</v>
      </c>
      <c r="G71" s="98">
        <v>26717368</v>
      </c>
      <c r="H71" s="98">
        <v>17501793</v>
      </c>
      <c r="I71" s="98">
        <v>17154511</v>
      </c>
      <c r="J71" s="98">
        <v>-580845</v>
      </c>
      <c r="K71" s="98">
        <v>6337009</v>
      </c>
      <c r="L71" s="98">
        <v>31648843</v>
      </c>
    </row>
    <row r="72" spans="1:12" s="173" customFormat="1" ht="18.75">
      <c r="A72" s="95" t="s">
        <v>167</v>
      </c>
      <c r="B72" s="95"/>
      <c r="C72" s="160"/>
      <c r="D72" s="160"/>
      <c r="E72" s="99"/>
      <c r="F72" s="99"/>
      <c r="G72" s="121"/>
      <c r="H72" s="121"/>
      <c r="I72" s="121"/>
      <c r="J72" s="121"/>
      <c r="K72" s="121"/>
      <c r="L72" s="121"/>
    </row>
    <row r="73" spans="1:12" s="173" customFormat="1" ht="18.75">
      <c r="A73" s="95" t="s">
        <v>168</v>
      </c>
      <c r="B73" s="95"/>
      <c r="C73" s="160"/>
      <c r="D73" s="160"/>
      <c r="E73" s="100"/>
      <c r="F73" s="100"/>
      <c r="G73" s="121"/>
      <c r="H73" s="121"/>
      <c r="I73" s="121"/>
      <c r="J73" s="121"/>
      <c r="K73" s="121"/>
      <c r="L73" s="121"/>
    </row>
    <row r="74" spans="1:12" s="173" customFormat="1" ht="18.75">
      <c r="A74" s="90" t="s">
        <v>170</v>
      </c>
      <c r="B74" s="90"/>
      <c r="C74" s="122">
        <v>-270071</v>
      </c>
      <c r="D74" s="122">
        <v>-343705</v>
      </c>
      <c r="E74" s="122">
        <v>891190</v>
      </c>
      <c r="F74" s="122">
        <v>-374059</v>
      </c>
      <c r="G74" s="122">
        <v>-172955</v>
      </c>
      <c r="H74" s="83">
        <v>-1102095</v>
      </c>
      <c r="I74" s="83">
        <v>-340782</v>
      </c>
      <c r="J74" s="122"/>
      <c r="K74" s="122"/>
      <c r="L74" s="122"/>
    </row>
    <row r="75" spans="1:12" s="173" customFormat="1" ht="18.75">
      <c r="A75" s="101" t="s">
        <v>116</v>
      </c>
      <c r="B75" s="101"/>
      <c r="C75" s="129">
        <v>6915193</v>
      </c>
      <c r="D75" s="129">
        <v>837798</v>
      </c>
      <c r="E75" s="129">
        <v>71708260</v>
      </c>
      <c r="F75" s="129">
        <v>9468688</v>
      </c>
      <c r="G75" s="129">
        <v>26544413</v>
      </c>
      <c r="H75" s="129">
        <v>16399698</v>
      </c>
      <c r="I75" s="129">
        <v>16813729</v>
      </c>
      <c r="J75" s="129">
        <v>-580845</v>
      </c>
      <c r="K75" s="129">
        <v>6337009</v>
      </c>
      <c r="L75" s="129">
        <v>31648843</v>
      </c>
    </row>
    <row r="78" spans="1:12">
      <c r="A78" s="71" t="s">
        <v>343</v>
      </c>
      <c r="B78" s="72" t="s">
        <v>93</v>
      </c>
      <c r="C78" s="104">
        <f>C57/C55</f>
        <v>0.17872258739789415</v>
      </c>
      <c r="D78" s="104">
        <f t="shared" ref="D78:L78" si="9">D57/D55</f>
        <v>0.13747392332392533</v>
      </c>
      <c r="E78" s="104">
        <f t="shared" si="9"/>
        <v>0.26860752248796455</v>
      </c>
      <c r="F78" s="104">
        <f t="shared" si="9"/>
        <v>0.16454246901294414</v>
      </c>
      <c r="G78" s="104">
        <f t="shared" si="9"/>
        <v>0.29469787327702612</v>
      </c>
      <c r="H78" s="104">
        <f t="shared" si="9"/>
        <v>0.27361930938727314</v>
      </c>
      <c r="I78" s="104">
        <f t="shared" si="9"/>
        <v>0.282605420056742</v>
      </c>
      <c r="J78" s="104">
        <f t="shared" si="9"/>
        <v>0.10971310365154563</v>
      </c>
      <c r="K78" s="104">
        <f t="shared" si="9"/>
        <v>0.10851882596002756</v>
      </c>
      <c r="L78" s="104">
        <f t="shared" si="9"/>
        <v>0.25050259929394503</v>
      </c>
    </row>
    <row r="79" spans="1:12">
      <c r="A79" s="71" t="s">
        <v>94</v>
      </c>
      <c r="B79" s="72" t="s">
        <v>95</v>
      </c>
      <c r="C79" s="104">
        <f>C75/C55</f>
        <v>7.6205310494186053E-3</v>
      </c>
      <c r="D79" s="104">
        <f t="shared" ref="D79:L79" si="10">D75/D55</f>
        <v>1.2425636492624211E-3</v>
      </c>
      <c r="E79" s="104">
        <f t="shared" si="10"/>
        <v>0.12392392740205684</v>
      </c>
      <c r="F79" s="104">
        <f t="shared" si="10"/>
        <v>2.5109623266893283E-2</v>
      </c>
      <c r="G79" s="104">
        <f t="shared" si="10"/>
        <v>0.1066959283254081</v>
      </c>
      <c r="H79" s="104">
        <f t="shared" si="10"/>
        <v>8.7219519794411726E-2</v>
      </c>
      <c r="I79" s="104">
        <f t="shared" si="10"/>
        <v>0.10799935201913675</v>
      </c>
      <c r="J79" s="104">
        <f t="shared" si="10"/>
        <v>-4.700168427456004E-3</v>
      </c>
      <c r="K79" s="104">
        <f t="shared" si="10"/>
        <v>5.1088739232319783E-2</v>
      </c>
      <c r="L79" s="104">
        <f t="shared" si="10"/>
        <v>0.20308697975700002</v>
      </c>
    </row>
    <row r="80" spans="1:12">
      <c r="A80" s="71" t="s">
        <v>344</v>
      </c>
      <c r="B80" s="72" t="s">
        <v>97</v>
      </c>
      <c r="C80" s="105">
        <f>C55/C21</f>
        <v>0.70053980415537687</v>
      </c>
      <c r="D80" s="105">
        <f t="shared" ref="D80:L80" si="11">D55/D21</f>
        <v>0.56159999684954065</v>
      </c>
      <c r="E80" s="105">
        <f t="shared" si="11"/>
        <v>0.67032093044162999</v>
      </c>
      <c r="F80" s="105">
        <f t="shared" si="11"/>
        <v>0.67364516119979179</v>
      </c>
      <c r="G80" s="105">
        <f t="shared" si="11"/>
        <v>0.73071151344665453</v>
      </c>
      <c r="H80" s="105">
        <f t="shared" si="11"/>
        <v>0.64131686911491947</v>
      </c>
      <c r="I80" s="105">
        <f t="shared" si="11"/>
        <v>0.67036094095101872</v>
      </c>
      <c r="J80" s="105">
        <f t="shared" si="11"/>
        <v>0.62840745254920316</v>
      </c>
      <c r="K80" s="105">
        <f t="shared" si="11"/>
        <v>0.61163298836873548</v>
      </c>
      <c r="L80" s="105">
        <f t="shared" si="11"/>
        <v>0.85260826537005208</v>
      </c>
    </row>
    <row r="81" spans="1:12">
      <c r="A81" s="71" t="s">
        <v>345</v>
      </c>
      <c r="B81" s="72" t="s">
        <v>99</v>
      </c>
      <c r="C81" s="105">
        <f>C21/C29</f>
        <v>5.2857862201668109</v>
      </c>
      <c r="D81" s="105">
        <f t="shared" ref="D81:L81" si="12">D21/D29</f>
        <v>5.0413646445960838</v>
      </c>
      <c r="E81" s="105">
        <f t="shared" si="12"/>
        <v>3.1129106282172661</v>
      </c>
      <c r="F81" s="105">
        <f t="shared" si="12"/>
        <v>2.8014430555136007</v>
      </c>
      <c r="G81" s="105">
        <f t="shared" si="12"/>
        <v>1.6185880342915326</v>
      </c>
      <c r="H81" s="105">
        <f t="shared" si="12"/>
        <v>1.5128040347889857</v>
      </c>
      <c r="I81" s="105">
        <f t="shared" si="12"/>
        <v>1.3080653127171193</v>
      </c>
      <c r="J81" s="105">
        <f t="shared" si="12"/>
        <v>1.2140962385545921</v>
      </c>
      <c r="K81" s="105">
        <f t="shared" si="12"/>
        <v>1.2475594726217718</v>
      </c>
      <c r="L81" s="105">
        <f t="shared" si="12"/>
        <v>1.1685104672259699</v>
      </c>
    </row>
    <row r="82" spans="1:12">
      <c r="A82" s="71" t="s">
        <v>346</v>
      </c>
      <c r="B82" s="72" t="s">
        <v>118</v>
      </c>
      <c r="C82" s="105">
        <f>C75/C29</f>
        <v>2.8218092188166323E-2</v>
      </c>
      <c r="D82" s="105">
        <f t="shared" ref="D82:L82" si="13">D75/D29</f>
        <v>3.5179839386139649E-3</v>
      </c>
      <c r="E82" s="105">
        <f t="shared" si="13"/>
        <v>0.25858575761560476</v>
      </c>
      <c r="F82" s="105">
        <f t="shared" si="13"/>
        <v>4.7386342646905652E-2</v>
      </c>
      <c r="G82" s="105">
        <f t="shared" si="13"/>
        <v>0.12619150567532522</v>
      </c>
      <c r="H82" s="105">
        <f t="shared" si="13"/>
        <v>8.4619222199531122E-2</v>
      </c>
      <c r="I82" s="105">
        <f t="shared" si="13"/>
        <v>9.4702028337912511E-2</v>
      </c>
      <c r="J82" s="105">
        <f t="shared" si="13"/>
        <v>-3.5859799860156381E-3</v>
      </c>
      <c r="K82" s="105">
        <f t="shared" si="13"/>
        <v>3.8983187289409887E-2</v>
      </c>
      <c r="L82" s="105">
        <f t="shared" si="13"/>
        <v>0.20233183789189138</v>
      </c>
    </row>
    <row r="83" spans="1:12">
      <c r="A83" s="71" t="s">
        <v>347</v>
      </c>
      <c r="B83" s="72" t="s">
        <v>102</v>
      </c>
      <c r="C83" s="105">
        <f>C20/C50</f>
        <v>1.1238025638639593</v>
      </c>
      <c r="D83" s="105">
        <f t="shared" ref="D83:L83" si="14">D20/D50</f>
        <v>1.0297775729864771</v>
      </c>
      <c r="E83" s="105">
        <f t="shared" si="14"/>
        <v>1.7227215428428244</v>
      </c>
      <c r="F83" s="105">
        <f t="shared" si="14"/>
        <v>1.3561939246950863</v>
      </c>
      <c r="G83" s="105">
        <f t="shared" si="14"/>
        <v>1.8845650300315251</v>
      </c>
      <c r="H83" s="105">
        <f t="shared" si="14"/>
        <v>1.7294252916366351</v>
      </c>
      <c r="I83" s="105">
        <f t="shared" si="14"/>
        <v>2.4990978105990198</v>
      </c>
      <c r="J83" s="105">
        <f t="shared" si="14"/>
        <v>1.8970363340587824</v>
      </c>
      <c r="K83" s="105">
        <f t="shared" si="14"/>
        <v>2.6348662212062268</v>
      </c>
      <c r="L83" s="105">
        <f t="shared" si="14"/>
        <v>3.435307814913692</v>
      </c>
    </row>
    <row r="84" spans="1:12">
      <c r="A84" s="71" t="s">
        <v>348</v>
      </c>
      <c r="B84" s="72" t="s">
        <v>104</v>
      </c>
      <c r="C84" s="105">
        <f>C51/C21</f>
        <v>0.81081338549321025</v>
      </c>
      <c r="D84" s="105">
        <f t="shared" ref="D84:L84" si="15">D51/D21</f>
        <v>0.80164100982619546</v>
      </c>
      <c r="E84" s="105">
        <f t="shared" si="15"/>
        <v>0.67875724059168052</v>
      </c>
      <c r="F84" s="105">
        <f t="shared" si="15"/>
        <v>0.64304111124733687</v>
      </c>
      <c r="G84" s="105">
        <f t="shared" si="15"/>
        <v>0.38217756537554848</v>
      </c>
      <c r="H84" s="105">
        <f t="shared" si="15"/>
        <v>0.33897585080179565</v>
      </c>
      <c r="I84" s="105">
        <f t="shared" si="15"/>
        <v>0.23551217949293726</v>
      </c>
      <c r="J84" s="105">
        <f t="shared" si="15"/>
        <v>0.17634206560880075</v>
      </c>
      <c r="K84" s="105">
        <f t="shared" si="15"/>
        <v>0.19843500695122815</v>
      </c>
      <c r="L84" s="105">
        <f t="shared" si="15"/>
        <v>0.14420963436126652</v>
      </c>
    </row>
    <row r="85" spans="1:12">
      <c r="A85" s="71" t="s">
        <v>349</v>
      </c>
      <c r="B85" s="72" t="s">
        <v>106</v>
      </c>
      <c r="C85" s="105">
        <f>C51/C29</f>
        <v>4.2857862201668109</v>
      </c>
      <c r="D85" s="105">
        <f t="shared" ref="D85:L85" si="16">D51/D29</f>
        <v>4.0413646445960838</v>
      </c>
      <c r="E85" s="105">
        <f t="shared" si="16"/>
        <v>2.1129106282172661</v>
      </c>
      <c r="F85" s="105">
        <f t="shared" si="16"/>
        <v>1.801443055513601</v>
      </c>
      <c r="G85" s="105">
        <f t="shared" si="16"/>
        <v>0.61858803429153275</v>
      </c>
      <c r="H85" s="105">
        <f t="shared" si="16"/>
        <v>0.51280403478898573</v>
      </c>
      <c r="I85" s="105">
        <f t="shared" si="16"/>
        <v>0.30806531271711934</v>
      </c>
      <c r="J85" s="105">
        <f t="shared" si="16"/>
        <v>0.21409623855459209</v>
      </c>
      <c r="K85" s="105">
        <f t="shared" si="16"/>
        <v>0.2475594726217718</v>
      </c>
      <c r="L85" s="105">
        <f t="shared" si="16"/>
        <v>0.16851046722596982</v>
      </c>
    </row>
    <row r="86" spans="1:12">
      <c r="A86" s="71" t="s">
        <v>350</v>
      </c>
      <c r="B86" s="71" t="s">
        <v>351</v>
      </c>
      <c r="C86" s="73">
        <f>C75*25%</f>
        <v>1728798.25</v>
      </c>
      <c r="D86" s="73">
        <f t="shared" ref="D86:L86" si="17">D75*25%</f>
        <v>209449.5</v>
      </c>
      <c r="E86" s="73">
        <f t="shared" si="17"/>
        <v>17927065</v>
      </c>
      <c r="F86" s="73">
        <f t="shared" si="17"/>
        <v>2367172</v>
      </c>
      <c r="G86" s="73">
        <f t="shared" si="17"/>
        <v>6636103.25</v>
      </c>
      <c r="H86" s="73">
        <f t="shared" si="17"/>
        <v>4099924.5</v>
      </c>
      <c r="I86" s="73">
        <f t="shared" si="17"/>
        <v>4203432.25</v>
      </c>
      <c r="J86" s="73">
        <f t="shared" si="17"/>
        <v>-145211.25</v>
      </c>
      <c r="K86" s="73">
        <f t="shared" si="17"/>
        <v>1584252.25</v>
      </c>
      <c r="L86" s="73">
        <f t="shared" si="17"/>
        <v>7912210.75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0C6A-E28D-497C-9C2A-49BCE5724A1E}">
  <dimension ref="A1:N61"/>
  <sheetViews>
    <sheetView zoomScale="78" zoomScaleNormal="78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defaultRowHeight="18"/>
  <cols>
    <col min="1" max="1" width="67" style="71" customWidth="1"/>
    <col min="2" max="2" width="35.1640625" style="71" customWidth="1"/>
    <col min="3" max="3" width="27.83203125" style="117" customWidth="1"/>
    <col min="4" max="4" width="28.6640625" style="117" customWidth="1"/>
    <col min="5" max="5" width="28.6640625" style="73" customWidth="1"/>
    <col min="6" max="6" width="30.33203125" style="73" customWidth="1"/>
    <col min="7" max="7" width="36.1640625" style="73" customWidth="1"/>
    <col min="8" max="8" width="25" style="73" customWidth="1"/>
    <col min="9" max="10" width="23.5" style="73" customWidth="1"/>
    <col min="11" max="11" width="28.6640625" style="73" customWidth="1"/>
    <col min="12" max="12" width="26" style="73" customWidth="1"/>
    <col min="13" max="14" width="9.33203125" style="73"/>
    <col min="15" max="16384" width="9.33203125" style="71"/>
  </cols>
  <sheetData>
    <row r="1" spans="1:14" s="67" customFormat="1" ht="54">
      <c r="A1" s="64" t="s">
        <v>0</v>
      </c>
      <c r="B1" s="64"/>
      <c r="C1" s="106" t="s">
        <v>120</v>
      </c>
      <c r="D1" s="106" t="s">
        <v>121</v>
      </c>
      <c r="E1" s="106" t="s">
        <v>122</v>
      </c>
      <c r="F1" s="107" t="s">
        <v>123</v>
      </c>
      <c r="G1" s="107" t="s">
        <v>124</v>
      </c>
      <c r="H1" s="107" t="s">
        <v>125</v>
      </c>
      <c r="I1" s="107" t="s">
        <v>126</v>
      </c>
      <c r="J1" s="107" t="s">
        <v>127</v>
      </c>
      <c r="K1" s="107" t="s">
        <v>128</v>
      </c>
      <c r="L1" s="107" t="s">
        <v>129</v>
      </c>
      <c r="M1" s="172"/>
      <c r="N1" s="172"/>
    </row>
    <row r="2" spans="1:14" s="68" customFormat="1" ht="20.25">
      <c r="A2" s="113"/>
      <c r="B2" s="113"/>
      <c r="C2" s="109"/>
      <c r="D2" s="11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ht="20.25">
      <c r="A3" s="108" t="s">
        <v>207</v>
      </c>
      <c r="B3" s="108"/>
      <c r="C3" s="111"/>
      <c r="D3" s="111"/>
      <c r="E3" s="111">
        <v>4715</v>
      </c>
      <c r="F3" s="111">
        <v>8987</v>
      </c>
      <c r="G3" s="111">
        <v>12107</v>
      </c>
      <c r="H3" s="111">
        <v>17922</v>
      </c>
      <c r="I3" s="111">
        <v>6762</v>
      </c>
      <c r="J3" s="111">
        <v>50258</v>
      </c>
      <c r="K3" s="111">
        <v>156723</v>
      </c>
      <c r="L3" s="111">
        <v>283176</v>
      </c>
    </row>
    <row r="4" spans="1:14" ht="20.25">
      <c r="A4" s="108" t="s">
        <v>352</v>
      </c>
      <c r="B4" s="108"/>
      <c r="C4" s="111">
        <v>17952128</v>
      </c>
      <c r="D4" s="111">
        <v>17952128</v>
      </c>
      <c r="E4" s="111">
        <v>17736316</v>
      </c>
      <c r="F4" s="111">
        <v>16939329</v>
      </c>
      <c r="G4" s="111">
        <v>27066160</v>
      </c>
      <c r="H4" s="111">
        <v>27361621</v>
      </c>
      <c r="I4" s="111">
        <v>26959396</v>
      </c>
      <c r="J4" s="111">
        <v>26959396</v>
      </c>
      <c r="K4" s="111">
        <v>44297990</v>
      </c>
      <c r="L4" s="111">
        <v>50745525</v>
      </c>
    </row>
    <row r="5" spans="1:14" ht="20.25">
      <c r="A5" s="108" t="s">
        <v>353</v>
      </c>
      <c r="B5" s="108"/>
      <c r="C5" s="111">
        <v>233032891</v>
      </c>
      <c r="D5" s="111">
        <v>236614971</v>
      </c>
      <c r="E5" s="111">
        <v>236001187</v>
      </c>
      <c r="F5" s="111">
        <v>235764130</v>
      </c>
      <c r="G5" s="111">
        <v>235537618</v>
      </c>
      <c r="H5" s="111">
        <v>234915021</v>
      </c>
      <c r="I5" s="111">
        <v>234364831</v>
      </c>
      <c r="J5" s="111">
        <v>236185085</v>
      </c>
      <c r="K5" s="111">
        <v>233623389</v>
      </c>
      <c r="L5" s="111">
        <v>206615190</v>
      </c>
    </row>
    <row r="6" spans="1:14" ht="20.25">
      <c r="A6" s="108" t="s">
        <v>354</v>
      </c>
      <c r="B6" s="108"/>
      <c r="C6" s="111"/>
      <c r="D6" s="111"/>
      <c r="E6" s="111"/>
      <c r="F6" s="111"/>
      <c r="G6" s="111"/>
      <c r="H6" s="111"/>
      <c r="I6" s="111"/>
      <c r="J6" s="111"/>
      <c r="K6" s="111">
        <v>9530954</v>
      </c>
      <c r="L6" s="111">
        <v>13202120</v>
      </c>
    </row>
    <row r="7" spans="1:14" ht="20.25">
      <c r="A7" s="108" t="s">
        <v>355</v>
      </c>
      <c r="B7" s="108"/>
      <c r="C7" s="111">
        <v>45978</v>
      </c>
      <c r="D7" s="111">
        <v>59243</v>
      </c>
      <c r="E7" s="111"/>
      <c r="F7" s="111"/>
      <c r="G7" s="111"/>
      <c r="H7" s="111"/>
      <c r="I7" s="111"/>
      <c r="J7" s="111"/>
      <c r="K7" s="111"/>
      <c r="L7" s="111"/>
    </row>
    <row r="8" spans="1:14" s="68" customFormat="1" ht="20.25">
      <c r="A8" s="74" t="s">
        <v>110</v>
      </c>
      <c r="B8" s="74"/>
      <c r="C8" s="112">
        <f t="shared" ref="C8:L8" si="0">SUM(C3:C7)</f>
        <v>251030997</v>
      </c>
      <c r="D8" s="112">
        <f t="shared" si="0"/>
        <v>254626342</v>
      </c>
      <c r="E8" s="76">
        <f t="shared" si="0"/>
        <v>253742218</v>
      </c>
      <c r="F8" s="76">
        <f t="shared" si="0"/>
        <v>252712446</v>
      </c>
      <c r="G8" s="76">
        <f t="shared" si="0"/>
        <v>262615885</v>
      </c>
      <c r="H8" s="76">
        <f t="shared" si="0"/>
        <v>262294564</v>
      </c>
      <c r="I8" s="76">
        <f t="shared" si="0"/>
        <v>261330989</v>
      </c>
      <c r="J8" s="76">
        <f t="shared" si="0"/>
        <v>263194739</v>
      </c>
      <c r="K8" s="76">
        <f t="shared" si="0"/>
        <v>287609056</v>
      </c>
      <c r="L8" s="76">
        <f t="shared" si="0"/>
        <v>270846011</v>
      </c>
      <c r="M8" s="70"/>
      <c r="N8" s="70"/>
    </row>
    <row r="9" spans="1:14" s="68" customFormat="1" ht="20.25">
      <c r="A9" s="113"/>
      <c r="B9" s="113"/>
      <c r="C9" s="109"/>
      <c r="D9" s="109"/>
      <c r="E9" s="70"/>
      <c r="F9" s="70"/>
      <c r="G9" s="70"/>
      <c r="H9" s="70"/>
      <c r="I9" s="70"/>
      <c r="J9" s="70"/>
      <c r="K9" s="70"/>
      <c r="L9" s="70"/>
      <c r="M9" s="70"/>
      <c r="N9" s="70"/>
    </row>
    <row r="10" spans="1:14" ht="20.25">
      <c r="A10" s="108" t="s">
        <v>356</v>
      </c>
      <c r="B10" s="108"/>
      <c r="C10" s="111">
        <v>1753668</v>
      </c>
      <c r="D10" s="111"/>
      <c r="E10" s="111"/>
      <c r="F10" s="111"/>
      <c r="G10" s="111"/>
      <c r="H10" s="111"/>
      <c r="I10" s="111"/>
      <c r="J10" s="111"/>
      <c r="K10" s="111"/>
      <c r="L10" s="111"/>
    </row>
    <row r="11" spans="1:14" ht="20.25">
      <c r="A11" s="108" t="s">
        <v>357</v>
      </c>
      <c r="B11" s="108"/>
      <c r="C11" s="111">
        <v>604253</v>
      </c>
      <c r="D11" s="111">
        <v>752917</v>
      </c>
      <c r="E11" s="111">
        <v>95703</v>
      </c>
      <c r="F11" s="111">
        <v>133463</v>
      </c>
      <c r="G11" s="111">
        <v>27891</v>
      </c>
      <c r="H11" s="111">
        <v>134083</v>
      </c>
      <c r="I11" s="111">
        <v>285052</v>
      </c>
      <c r="J11" s="111">
        <v>201211</v>
      </c>
      <c r="K11" s="111">
        <v>235867</v>
      </c>
      <c r="L11" s="111">
        <v>286740</v>
      </c>
    </row>
    <row r="12" spans="1:14" ht="20.25">
      <c r="A12" s="108" t="s">
        <v>175</v>
      </c>
      <c r="B12" s="108"/>
      <c r="C12" s="111">
        <v>12697169</v>
      </c>
      <c r="D12" s="111">
        <v>4500685</v>
      </c>
      <c r="E12" s="111">
        <v>4763782</v>
      </c>
      <c r="F12" s="111">
        <v>8477210</v>
      </c>
      <c r="G12" s="111">
        <v>12793</v>
      </c>
      <c r="H12" s="111">
        <v>462392</v>
      </c>
      <c r="I12" s="111">
        <v>10164724</v>
      </c>
      <c r="J12" s="111">
        <v>278418</v>
      </c>
      <c r="K12" s="111">
        <v>837308</v>
      </c>
      <c r="L12" s="111">
        <v>11636028</v>
      </c>
    </row>
    <row r="13" spans="1:14" s="68" customFormat="1">
      <c r="A13" s="74" t="s">
        <v>111</v>
      </c>
      <c r="B13" s="74"/>
      <c r="C13" s="77">
        <f t="shared" ref="C13:L13" si="1">SUM(C10:C12)</f>
        <v>15055090</v>
      </c>
      <c r="D13" s="77">
        <f t="shared" si="1"/>
        <v>5253602</v>
      </c>
      <c r="E13" s="77">
        <f t="shared" si="1"/>
        <v>4859485</v>
      </c>
      <c r="F13" s="77">
        <f t="shared" si="1"/>
        <v>8610673</v>
      </c>
      <c r="G13" s="77">
        <f t="shared" si="1"/>
        <v>40684</v>
      </c>
      <c r="H13" s="77">
        <f t="shared" si="1"/>
        <v>596475</v>
      </c>
      <c r="I13" s="77">
        <f t="shared" si="1"/>
        <v>10449776</v>
      </c>
      <c r="J13" s="77">
        <f t="shared" si="1"/>
        <v>479629</v>
      </c>
      <c r="K13" s="77">
        <f t="shared" si="1"/>
        <v>1073175</v>
      </c>
      <c r="L13" s="77">
        <f t="shared" si="1"/>
        <v>11922768</v>
      </c>
      <c r="M13" s="70"/>
      <c r="N13" s="70"/>
    </row>
    <row r="14" spans="1:14" s="68" customFormat="1">
      <c r="A14" s="74" t="s">
        <v>112</v>
      </c>
      <c r="B14" s="74"/>
      <c r="C14" s="78">
        <f t="shared" ref="C14:L14" si="2">C8+C13</f>
        <v>266086087</v>
      </c>
      <c r="D14" s="78">
        <f t="shared" si="2"/>
        <v>259879944</v>
      </c>
      <c r="E14" s="78">
        <f t="shared" si="2"/>
        <v>258601703</v>
      </c>
      <c r="F14" s="78">
        <f t="shared" si="2"/>
        <v>261323119</v>
      </c>
      <c r="G14" s="78">
        <f t="shared" si="2"/>
        <v>262656569</v>
      </c>
      <c r="H14" s="78">
        <f t="shared" si="2"/>
        <v>262891039</v>
      </c>
      <c r="I14" s="78">
        <f t="shared" si="2"/>
        <v>271780765</v>
      </c>
      <c r="J14" s="78">
        <f t="shared" si="2"/>
        <v>263674368</v>
      </c>
      <c r="K14" s="78">
        <f t="shared" si="2"/>
        <v>288682231</v>
      </c>
      <c r="L14" s="78">
        <f t="shared" si="2"/>
        <v>282768779</v>
      </c>
      <c r="M14" s="70"/>
      <c r="N14" s="70"/>
    </row>
    <row r="15" spans="1:14" s="68" customFormat="1" ht="20.25">
      <c r="A15" s="113"/>
      <c r="B15" s="113"/>
      <c r="C15" s="109"/>
      <c r="D15" s="109"/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pans="1:14" ht="20.25">
      <c r="A16" s="113"/>
      <c r="B16" s="113"/>
      <c r="C16" s="109"/>
      <c r="D16" s="109"/>
    </row>
    <row r="17" spans="1:14" ht="20.25">
      <c r="A17" s="111" t="s">
        <v>180</v>
      </c>
      <c r="B17" s="111"/>
      <c r="C17" s="111">
        <v>325000000</v>
      </c>
      <c r="D17" s="111">
        <v>325000000</v>
      </c>
      <c r="E17" s="111">
        <v>325000000</v>
      </c>
      <c r="F17" s="111">
        <v>315000000</v>
      </c>
      <c r="G17" s="111">
        <v>315000000</v>
      </c>
      <c r="H17" s="111">
        <v>315000000</v>
      </c>
      <c r="I17" s="111">
        <v>300000000</v>
      </c>
      <c r="J17" s="111">
        <v>300000000</v>
      </c>
      <c r="K17" s="111">
        <v>300000000</v>
      </c>
      <c r="L17" s="111">
        <v>300000000</v>
      </c>
    </row>
    <row r="18" spans="1:14" ht="20.25">
      <c r="A18" s="111" t="s">
        <v>358</v>
      </c>
      <c r="B18" s="111"/>
      <c r="C18" s="111"/>
      <c r="D18" s="111"/>
      <c r="E18" s="111"/>
      <c r="F18" s="111">
        <v>10000000</v>
      </c>
      <c r="G18" s="111"/>
      <c r="H18" s="111"/>
      <c r="I18" s="111">
        <v>15000000</v>
      </c>
      <c r="J18" s="111"/>
      <c r="K18" s="111"/>
      <c r="L18" s="111"/>
    </row>
    <row r="19" spans="1:14" ht="20.25">
      <c r="A19" s="111" t="s">
        <v>181</v>
      </c>
      <c r="B19" s="111"/>
      <c r="C19" s="111">
        <v>3164190</v>
      </c>
      <c r="D19" s="111">
        <v>3164190</v>
      </c>
      <c r="E19" s="111">
        <v>3164190</v>
      </c>
      <c r="F19" s="111">
        <v>3164190</v>
      </c>
      <c r="G19" s="111">
        <v>3164190</v>
      </c>
      <c r="H19" s="111">
        <v>3164190</v>
      </c>
      <c r="I19" s="73">
        <v>3164190</v>
      </c>
      <c r="J19" s="73">
        <v>3164190</v>
      </c>
      <c r="K19" s="73">
        <v>3164192</v>
      </c>
      <c r="L19" s="73">
        <v>3164192</v>
      </c>
    </row>
    <row r="20" spans="1:14" ht="20.25">
      <c r="A20" s="111" t="s">
        <v>182</v>
      </c>
      <c r="B20" s="111"/>
      <c r="C20" s="111">
        <v>-64031811</v>
      </c>
      <c r="D20" s="111">
        <v>-69766982</v>
      </c>
      <c r="E20" s="111">
        <v>-71063364</v>
      </c>
      <c r="F20" s="111">
        <v>-69874744</v>
      </c>
      <c r="G20" s="111">
        <v>-68680612</v>
      </c>
      <c r="H20" s="111">
        <v>-65312256</v>
      </c>
      <c r="I20" s="73">
        <v>-61472252</v>
      </c>
      <c r="J20" s="111">
        <v>-67206347</v>
      </c>
      <c r="K20" s="111">
        <v>-52601700</v>
      </c>
      <c r="L20" s="111">
        <v>-41057957</v>
      </c>
    </row>
    <row r="21" spans="1:14" s="68" customFormat="1">
      <c r="A21" s="74" t="s">
        <v>113</v>
      </c>
      <c r="B21" s="74"/>
      <c r="C21" s="76">
        <f t="shared" ref="C21:L21" si="3">SUM(C17:C20)</f>
        <v>264132379</v>
      </c>
      <c r="D21" s="76">
        <f t="shared" si="3"/>
        <v>258397208</v>
      </c>
      <c r="E21" s="76">
        <f t="shared" si="3"/>
        <v>257100826</v>
      </c>
      <c r="F21" s="76">
        <f t="shared" si="3"/>
        <v>258289446</v>
      </c>
      <c r="G21" s="76">
        <f t="shared" si="3"/>
        <v>249483578</v>
      </c>
      <c r="H21" s="76">
        <f t="shared" si="3"/>
        <v>252851934</v>
      </c>
      <c r="I21" s="76">
        <f t="shared" si="3"/>
        <v>256691938</v>
      </c>
      <c r="J21" s="76">
        <f t="shared" si="3"/>
        <v>235957843</v>
      </c>
      <c r="K21" s="76">
        <f t="shared" si="3"/>
        <v>250562492</v>
      </c>
      <c r="L21" s="76">
        <f t="shared" si="3"/>
        <v>262106235</v>
      </c>
      <c r="M21" s="70"/>
      <c r="N21" s="70"/>
    </row>
    <row r="22" spans="1:14" s="68" customFormat="1" ht="20.25">
      <c r="A22" s="113"/>
      <c r="B22" s="113"/>
      <c r="C22" s="109"/>
      <c r="D22" s="109"/>
      <c r="E22" s="70"/>
      <c r="F22" s="70"/>
      <c r="G22" s="70"/>
      <c r="H22" s="70"/>
      <c r="I22" s="70"/>
      <c r="J22" s="70"/>
      <c r="K22" s="70"/>
      <c r="L22" s="70"/>
      <c r="M22" s="70"/>
      <c r="N22" s="70"/>
    </row>
    <row r="23" spans="1:14" ht="20.25">
      <c r="A23" s="108" t="s">
        <v>359</v>
      </c>
      <c r="B23" s="108"/>
      <c r="C23" s="111">
        <v>619407</v>
      </c>
      <c r="D23" s="111">
        <v>373476</v>
      </c>
      <c r="E23" s="111">
        <v>162004</v>
      </c>
      <c r="F23" s="111">
        <v>708746</v>
      </c>
      <c r="G23" s="111">
        <v>1240677</v>
      </c>
      <c r="H23" s="111">
        <v>1039812</v>
      </c>
      <c r="I23" s="111">
        <v>840521</v>
      </c>
      <c r="J23" s="111">
        <v>694561</v>
      </c>
      <c r="K23" s="111">
        <v>552904</v>
      </c>
      <c r="L23" s="111">
        <v>613835</v>
      </c>
    </row>
    <row r="24" spans="1:14" s="68" customFormat="1">
      <c r="A24" s="74" t="s">
        <v>114</v>
      </c>
      <c r="B24" s="74"/>
      <c r="C24" s="76">
        <f t="shared" ref="C24:L24" si="4">SUM(C23:C23)</f>
        <v>619407</v>
      </c>
      <c r="D24" s="76">
        <f t="shared" si="4"/>
        <v>373476</v>
      </c>
      <c r="E24" s="76">
        <f t="shared" si="4"/>
        <v>162004</v>
      </c>
      <c r="F24" s="76">
        <f t="shared" si="4"/>
        <v>708746</v>
      </c>
      <c r="G24" s="76">
        <f t="shared" si="4"/>
        <v>1240677</v>
      </c>
      <c r="H24" s="76">
        <f t="shared" si="4"/>
        <v>1039812</v>
      </c>
      <c r="I24" s="76">
        <f t="shared" si="4"/>
        <v>840521</v>
      </c>
      <c r="J24" s="76">
        <f t="shared" si="4"/>
        <v>694561</v>
      </c>
      <c r="K24" s="76">
        <f t="shared" si="4"/>
        <v>552904</v>
      </c>
      <c r="L24" s="76">
        <f t="shared" si="4"/>
        <v>613835</v>
      </c>
      <c r="M24" s="70"/>
      <c r="N24" s="70"/>
    </row>
    <row r="25" spans="1:14" s="68" customFormat="1" ht="20.25">
      <c r="A25" s="113"/>
      <c r="B25" s="113"/>
      <c r="C25" s="109"/>
      <c r="D25" s="109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20.25">
      <c r="A26" s="108" t="s">
        <v>360</v>
      </c>
      <c r="B26" s="108"/>
      <c r="C26" s="111"/>
      <c r="D26" s="111"/>
      <c r="E26" s="111"/>
      <c r="F26" s="111"/>
      <c r="G26" s="111"/>
      <c r="H26" s="111"/>
      <c r="I26" s="111">
        <v>9175122</v>
      </c>
      <c r="J26" s="111">
        <v>9065731</v>
      </c>
      <c r="K26" s="111">
        <v>37566835</v>
      </c>
      <c r="L26" s="111">
        <v>20048709</v>
      </c>
    </row>
    <row r="27" spans="1:14" ht="20.25">
      <c r="A27" s="108" t="s">
        <v>200</v>
      </c>
      <c r="B27" s="108"/>
      <c r="C27" s="111">
        <v>970244</v>
      </c>
      <c r="D27" s="111">
        <v>764761</v>
      </c>
      <c r="E27" s="111">
        <v>569296</v>
      </c>
      <c r="F27" s="111">
        <v>561475</v>
      </c>
      <c r="G27" s="111">
        <v>10898895</v>
      </c>
      <c r="H27" s="111">
        <v>6190874</v>
      </c>
      <c r="I27" s="111">
        <v>638844</v>
      </c>
      <c r="J27" s="111">
        <v>3641986</v>
      </c>
      <c r="K27" s="111"/>
      <c r="L27" s="111"/>
    </row>
    <row r="28" spans="1:14" ht="20.25">
      <c r="A28" s="108" t="s">
        <v>361</v>
      </c>
      <c r="B28" s="108"/>
      <c r="C28" s="111"/>
      <c r="D28" s="111"/>
      <c r="E28" s="111">
        <v>402183</v>
      </c>
      <c r="F28" s="111">
        <v>402182</v>
      </c>
      <c r="G28" s="111"/>
      <c r="H28" s="111"/>
      <c r="I28" s="111"/>
      <c r="J28" s="111"/>
      <c r="K28" s="111"/>
      <c r="L28" s="111"/>
    </row>
    <row r="29" spans="1:14" ht="20.25">
      <c r="A29" s="111" t="s">
        <v>362</v>
      </c>
      <c r="B29" s="111"/>
      <c r="C29" s="111">
        <v>364057</v>
      </c>
      <c r="D29" s="111">
        <v>344499</v>
      </c>
      <c r="E29" s="111">
        <v>367394</v>
      </c>
      <c r="F29" s="111">
        <v>1361270</v>
      </c>
      <c r="G29" s="111">
        <v>1033419</v>
      </c>
      <c r="H29" s="111">
        <v>2808419</v>
      </c>
      <c r="I29" s="111">
        <v>4434340</v>
      </c>
      <c r="J29" s="111">
        <v>14314247</v>
      </c>
      <c r="K29" s="111"/>
      <c r="L29" s="111"/>
    </row>
    <row r="30" spans="1:14" s="68" customFormat="1">
      <c r="A30" s="74" t="s">
        <v>107</v>
      </c>
      <c r="B30" s="74"/>
      <c r="C30" s="77">
        <f t="shared" ref="C30:L30" si="5">SUM(C26:C29)</f>
        <v>1334301</v>
      </c>
      <c r="D30" s="77">
        <f t="shared" si="5"/>
        <v>1109260</v>
      </c>
      <c r="E30" s="77">
        <f t="shared" si="5"/>
        <v>1338873</v>
      </c>
      <c r="F30" s="77">
        <f t="shared" si="5"/>
        <v>2324927</v>
      </c>
      <c r="G30" s="77">
        <f t="shared" si="5"/>
        <v>11932314</v>
      </c>
      <c r="H30" s="77">
        <f t="shared" si="5"/>
        <v>8999293</v>
      </c>
      <c r="I30" s="77">
        <f t="shared" si="5"/>
        <v>14248306</v>
      </c>
      <c r="J30" s="77">
        <f t="shared" si="5"/>
        <v>27021964</v>
      </c>
      <c r="K30" s="77">
        <f t="shared" si="5"/>
        <v>37566835</v>
      </c>
      <c r="L30" s="77">
        <f t="shared" si="5"/>
        <v>20048709</v>
      </c>
      <c r="M30" s="70"/>
      <c r="N30" s="70"/>
    </row>
    <row r="31" spans="1:14" s="68" customFormat="1">
      <c r="A31" s="68" t="s">
        <v>108</v>
      </c>
      <c r="C31" s="118">
        <f t="shared" ref="C31:L31" si="6">C24+C30</f>
        <v>1953708</v>
      </c>
      <c r="D31" s="118">
        <f t="shared" si="6"/>
        <v>1482736</v>
      </c>
      <c r="E31" s="76">
        <f t="shared" si="6"/>
        <v>1500877</v>
      </c>
      <c r="F31" s="76">
        <f t="shared" si="6"/>
        <v>3033673</v>
      </c>
      <c r="G31" s="76">
        <f t="shared" si="6"/>
        <v>13172991</v>
      </c>
      <c r="H31" s="76">
        <f t="shared" si="6"/>
        <v>10039105</v>
      </c>
      <c r="I31" s="76">
        <f t="shared" si="6"/>
        <v>15088827</v>
      </c>
      <c r="J31" s="76">
        <f t="shared" si="6"/>
        <v>27716525</v>
      </c>
      <c r="K31" s="76">
        <f t="shared" si="6"/>
        <v>38119739</v>
      </c>
      <c r="L31" s="76">
        <f t="shared" si="6"/>
        <v>20662544</v>
      </c>
      <c r="M31" s="70"/>
      <c r="N31" s="70"/>
    </row>
    <row r="32" spans="1:14" s="68" customFormat="1">
      <c r="A32" s="74" t="s">
        <v>109</v>
      </c>
      <c r="B32" s="74"/>
      <c r="C32" s="119">
        <f t="shared" ref="C32:L32" si="7">C31+C21</f>
        <v>266086087</v>
      </c>
      <c r="D32" s="119">
        <f t="shared" si="7"/>
        <v>259879944</v>
      </c>
      <c r="E32" s="79">
        <f t="shared" si="7"/>
        <v>258601703</v>
      </c>
      <c r="F32" s="79">
        <f t="shared" si="7"/>
        <v>261323119</v>
      </c>
      <c r="G32" s="79">
        <f t="shared" si="7"/>
        <v>262656569</v>
      </c>
      <c r="H32" s="79">
        <f t="shared" si="7"/>
        <v>262891039</v>
      </c>
      <c r="I32" s="79">
        <f t="shared" si="7"/>
        <v>271780765</v>
      </c>
      <c r="J32" s="79">
        <f t="shared" si="7"/>
        <v>263674368</v>
      </c>
      <c r="K32" s="79">
        <f t="shared" si="7"/>
        <v>288682231</v>
      </c>
      <c r="L32" s="79">
        <f t="shared" si="7"/>
        <v>282768779</v>
      </c>
      <c r="M32" s="70"/>
      <c r="N32" s="70"/>
    </row>
    <row r="34" spans="1:12">
      <c r="A34" s="164"/>
      <c r="B34" s="164"/>
      <c r="C34" s="174">
        <f t="shared" ref="C34:L34" si="8">C14-C32</f>
        <v>0</v>
      </c>
      <c r="D34" s="174">
        <f t="shared" si="8"/>
        <v>0</v>
      </c>
      <c r="E34" s="175">
        <f t="shared" si="8"/>
        <v>0</v>
      </c>
      <c r="F34" s="175">
        <f t="shared" si="8"/>
        <v>0</v>
      </c>
      <c r="G34" s="175">
        <f t="shared" si="8"/>
        <v>0</v>
      </c>
      <c r="H34" s="175">
        <f t="shared" si="8"/>
        <v>0</v>
      </c>
      <c r="I34" s="175">
        <f t="shared" si="8"/>
        <v>0</v>
      </c>
      <c r="J34" s="175">
        <f t="shared" si="8"/>
        <v>0</v>
      </c>
      <c r="K34" s="175">
        <f t="shared" si="8"/>
        <v>0</v>
      </c>
      <c r="L34" s="175">
        <f t="shared" si="8"/>
        <v>0</v>
      </c>
    </row>
    <row r="35" spans="1:12" ht="18.75">
      <c r="A35" s="81" t="s">
        <v>52</v>
      </c>
      <c r="B35" s="81"/>
      <c r="C35" s="122">
        <v>16677803</v>
      </c>
      <c r="D35" s="122">
        <v>5611277</v>
      </c>
      <c r="E35" s="122">
        <v>0</v>
      </c>
      <c r="F35" s="121">
        <v>12138552</v>
      </c>
      <c r="G35" s="83"/>
      <c r="H35" s="121"/>
      <c r="I35" s="121">
        <v>0</v>
      </c>
      <c r="J35" s="121">
        <v>6600000</v>
      </c>
      <c r="K35" s="121"/>
      <c r="L35" s="121"/>
    </row>
    <row r="36" spans="1:12" ht="18.75">
      <c r="A36" s="85" t="s">
        <v>53</v>
      </c>
      <c r="B36" s="85"/>
      <c r="C36" s="156">
        <v>-8153251</v>
      </c>
      <c r="D36" s="156">
        <v>-2224798</v>
      </c>
      <c r="E36" s="122">
        <v>0</v>
      </c>
      <c r="F36" s="122">
        <v>-12054791</v>
      </c>
      <c r="G36" s="83"/>
      <c r="H36" s="121"/>
      <c r="I36" s="121">
        <v>0</v>
      </c>
      <c r="J36" s="121">
        <v>-6525000</v>
      </c>
      <c r="K36" s="121"/>
      <c r="L36" s="121"/>
    </row>
    <row r="37" spans="1:12" ht="18.75">
      <c r="A37" s="87" t="s">
        <v>54</v>
      </c>
      <c r="B37" s="87"/>
      <c r="C37" s="125">
        <v>8524552</v>
      </c>
      <c r="D37" s="125">
        <v>3386479</v>
      </c>
      <c r="E37" s="89">
        <v>0</v>
      </c>
      <c r="F37" s="89">
        <v>83761</v>
      </c>
      <c r="G37" s="89">
        <v>0</v>
      </c>
      <c r="H37" s="89">
        <v>0</v>
      </c>
      <c r="I37" s="89">
        <v>0</v>
      </c>
      <c r="J37" s="89">
        <v>75000</v>
      </c>
      <c r="K37" s="89">
        <v>0</v>
      </c>
      <c r="L37" s="89">
        <v>0</v>
      </c>
    </row>
    <row r="38" spans="1:12" ht="18.75">
      <c r="A38" s="90" t="s">
        <v>55</v>
      </c>
      <c r="B38" s="90"/>
      <c r="C38" s="122">
        <v>-2425324</v>
      </c>
      <c r="D38" s="122">
        <v>-2197543</v>
      </c>
      <c r="E38" s="122">
        <v>-1850074</v>
      </c>
      <c r="F38" s="121">
        <v>-1840896</v>
      </c>
      <c r="G38" s="176">
        <v>-3085539</v>
      </c>
      <c r="H38" s="176">
        <v>-3115780</v>
      </c>
      <c r="I38" s="122">
        <v>-3226516</v>
      </c>
      <c r="J38" s="122">
        <v>-3316055</v>
      </c>
      <c r="K38" s="122">
        <v>-3318339</v>
      </c>
      <c r="L38" s="122">
        <v>-4768498</v>
      </c>
    </row>
    <row r="39" spans="1:12" ht="18.75">
      <c r="A39" s="90" t="s">
        <v>203</v>
      </c>
      <c r="B39" s="90"/>
      <c r="C39" s="122"/>
      <c r="D39" s="122"/>
      <c r="E39" s="122"/>
      <c r="F39" s="121"/>
      <c r="G39" s="176"/>
      <c r="H39" s="176"/>
      <c r="I39" s="83"/>
      <c r="J39" s="83"/>
      <c r="K39" s="122"/>
      <c r="L39" s="122">
        <v>-55100</v>
      </c>
    </row>
    <row r="40" spans="1:12" ht="18.75">
      <c r="A40" s="90" t="s">
        <v>363</v>
      </c>
      <c r="B40" s="90"/>
      <c r="C40" s="122"/>
      <c r="D40" s="122"/>
      <c r="E40" s="122"/>
      <c r="F40" s="121"/>
      <c r="G40" s="176"/>
      <c r="H40" s="176"/>
      <c r="I40" s="83"/>
      <c r="J40" s="83"/>
      <c r="K40" s="122">
        <v>0</v>
      </c>
      <c r="L40" s="122">
        <v>7999</v>
      </c>
    </row>
    <row r="41" spans="1:12" ht="18.75">
      <c r="A41" s="90" t="s">
        <v>205</v>
      </c>
      <c r="B41" s="90"/>
      <c r="C41" s="156"/>
      <c r="D41" s="156"/>
      <c r="E41" s="122">
        <v>-4272</v>
      </c>
      <c r="F41" s="122">
        <v>-7370</v>
      </c>
      <c r="G41" s="176">
        <v>-6944</v>
      </c>
      <c r="H41" s="176">
        <v>-6294</v>
      </c>
      <c r="I41" s="177"/>
      <c r="J41" s="177"/>
      <c r="K41" s="178"/>
      <c r="L41" s="178"/>
    </row>
    <row r="42" spans="1:12" ht="18.75">
      <c r="A42" s="87" t="s">
        <v>115</v>
      </c>
      <c r="B42" s="87"/>
      <c r="C42" s="128">
        <v>6099228</v>
      </c>
      <c r="D42" s="128">
        <v>1188936</v>
      </c>
      <c r="E42" s="89">
        <v>-1854346</v>
      </c>
      <c r="F42" s="89">
        <v>-1764505</v>
      </c>
      <c r="G42" s="94">
        <v>-3092483</v>
      </c>
      <c r="H42" s="94">
        <v>-3122074</v>
      </c>
      <c r="I42" s="94">
        <v>-3226516</v>
      </c>
      <c r="J42" s="94">
        <v>-3241055</v>
      </c>
      <c r="K42" s="94">
        <v>-3318339</v>
      </c>
      <c r="L42" s="94">
        <v>-4815599</v>
      </c>
    </row>
    <row r="43" spans="1:12" ht="18.75">
      <c r="A43" s="90" t="s">
        <v>364</v>
      </c>
      <c r="B43" s="90"/>
      <c r="C43" s="90"/>
      <c r="D43" s="90"/>
      <c r="E43" s="90"/>
      <c r="F43" s="90"/>
      <c r="G43" s="90"/>
      <c r="H43" s="90"/>
      <c r="I43" s="122">
        <v>200704</v>
      </c>
      <c r="J43" s="83"/>
      <c r="K43" s="83">
        <v>46056</v>
      </c>
      <c r="L43" s="83">
        <v>226964</v>
      </c>
    </row>
    <row r="44" spans="1:12" ht="18.75">
      <c r="A44" s="90" t="s">
        <v>365</v>
      </c>
      <c r="B44" s="90"/>
      <c r="C44" s="122">
        <v>0</v>
      </c>
      <c r="D44" s="122">
        <v>215812</v>
      </c>
      <c r="E44" s="122">
        <v>796987</v>
      </c>
      <c r="F44" s="122">
        <v>1927960</v>
      </c>
      <c r="G44" s="83">
        <v>-275873</v>
      </c>
      <c r="H44" s="121">
        <v>-833191</v>
      </c>
      <c r="I44" s="121">
        <v>0</v>
      </c>
      <c r="J44" s="121">
        <v>-10813594</v>
      </c>
      <c r="K44" s="121">
        <v>-6447535</v>
      </c>
      <c r="L44" s="121"/>
    </row>
    <row r="45" spans="1:12" ht="18.75">
      <c r="A45" s="95" t="s">
        <v>165</v>
      </c>
      <c r="B45" s="95"/>
      <c r="C45" s="89">
        <v>6099228</v>
      </c>
      <c r="D45" s="89">
        <v>1404748</v>
      </c>
      <c r="E45" s="89">
        <v>-1057359</v>
      </c>
      <c r="F45" s="89">
        <v>163455</v>
      </c>
      <c r="G45" s="89">
        <v>-3368356</v>
      </c>
      <c r="H45" s="89">
        <v>-3955265</v>
      </c>
      <c r="I45" s="89">
        <v>-3025812</v>
      </c>
      <c r="J45" s="89">
        <v>-14054649</v>
      </c>
      <c r="K45" s="89">
        <v>-9719818</v>
      </c>
      <c r="L45" s="89">
        <v>-4588635</v>
      </c>
    </row>
    <row r="46" spans="1:12" ht="18.75">
      <c r="A46" s="90" t="s">
        <v>67</v>
      </c>
      <c r="B46" s="90"/>
      <c r="C46" s="122">
        <v>-364057</v>
      </c>
      <c r="D46" s="122">
        <v>-108366</v>
      </c>
      <c r="E46" s="122">
        <v>-131261</v>
      </c>
      <c r="F46" s="121">
        <v>-1357587</v>
      </c>
      <c r="G46" s="83">
        <v>0</v>
      </c>
      <c r="H46" s="83">
        <v>115261</v>
      </c>
      <c r="I46" s="83">
        <v>8759907</v>
      </c>
      <c r="J46" s="83"/>
      <c r="K46" s="83">
        <v>-1823925</v>
      </c>
      <c r="L46" s="83">
        <v>-6158689</v>
      </c>
    </row>
    <row r="47" spans="1:12" ht="18.75">
      <c r="A47" s="95" t="s">
        <v>166</v>
      </c>
      <c r="B47" s="95"/>
      <c r="C47" s="98">
        <v>5735171</v>
      </c>
      <c r="D47" s="98">
        <v>1296382</v>
      </c>
      <c r="E47" s="98">
        <v>-1188620</v>
      </c>
      <c r="F47" s="98">
        <v>-1194132</v>
      </c>
      <c r="G47" s="98">
        <v>-3368356</v>
      </c>
      <c r="H47" s="98">
        <v>-3840004</v>
      </c>
      <c r="I47" s="98">
        <v>5734095</v>
      </c>
      <c r="J47" s="98">
        <v>-14054649</v>
      </c>
      <c r="K47" s="98">
        <v>-11543743</v>
      </c>
      <c r="L47" s="98">
        <v>-10747324</v>
      </c>
    </row>
    <row r="48" spans="1:12" ht="18.75">
      <c r="A48" s="95" t="s">
        <v>167</v>
      </c>
      <c r="B48" s="95"/>
      <c r="C48" s="160"/>
      <c r="D48" s="99"/>
      <c r="E48" s="99"/>
      <c r="F48" s="121"/>
      <c r="G48" s="121"/>
      <c r="H48" s="121"/>
      <c r="I48" s="121"/>
      <c r="J48" s="121"/>
      <c r="K48" s="121"/>
      <c r="L48" s="121"/>
    </row>
    <row r="49" spans="1:12" ht="18.75">
      <c r="A49" s="95" t="s">
        <v>168</v>
      </c>
      <c r="B49" s="95"/>
      <c r="C49" s="160"/>
      <c r="D49" s="100"/>
      <c r="E49" s="100"/>
      <c r="F49" s="121"/>
      <c r="G49" s="121"/>
      <c r="H49" s="121"/>
      <c r="I49" s="121"/>
      <c r="J49" s="121"/>
      <c r="K49" s="121"/>
      <c r="L49" s="121"/>
    </row>
    <row r="50" spans="1:12" ht="18.75">
      <c r="A50" s="90" t="s">
        <v>170</v>
      </c>
      <c r="B50" s="90"/>
      <c r="C50" s="122">
        <v>0</v>
      </c>
      <c r="D50" s="122">
        <v>0</v>
      </c>
      <c r="E50" s="122">
        <v>0</v>
      </c>
      <c r="F50" s="122">
        <v>0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</row>
    <row r="51" spans="1:12" ht="18.75">
      <c r="A51" s="101" t="s">
        <v>116</v>
      </c>
      <c r="B51" s="101"/>
      <c r="C51" s="103">
        <v>5735171</v>
      </c>
      <c r="D51" s="103">
        <v>1296382</v>
      </c>
      <c r="E51" s="103">
        <v>-1188620</v>
      </c>
      <c r="F51" s="103">
        <v>-1194132</v>
      </c>
      <c r="G51" s="103">
        <v>-3368356</v>
      </c>
      <c r="H51" s="103">
        <v>-3840004</v>
      </c>
      <c r="I51" s="103">
        <v>5734095</v>
      </c>
      <c r="J51" s="103">
        <v>-14054649</v>
      </c>
      <c r="K51" s="103">
        <v>-11543743</v>
      </c>
      <c r="L51" s="103">
        <v>-10747324</v>
      </c>
    </row>
    <row r="52" spans="1:12">
      <c r="K52" s="73">
        <v>0</v>
      </c>
    </row>
    <row r="53" spans="1:12">
      <c r="A53" s="71" t="s">
        <v>92</v>
      </c>
      <c r="B53" s="72" t="s">
        <v>93</v>
      </c>
      <c r="C53" s="167">
        <f>C37/C35</f>
        <v>0.51113159209279546</v>
      </c>
      <c r="D53" s="167">
        <f t="shared" ref="D53:J53" si="9">D37/D35</f>
        <v>0.60351306841562091</v>
      </c>
      <c r="E53" s="167">
        <v>0</v>
      </c>
      <c r="F53" s="167">
        <f t="shared" si="9"/>
        <v>6.900411185782291E-3</v>
      </c>
      <c r="G53" s="167">
        <v>0</v>
      </c>
      <c r="H53" s="167">
        <v>0</v>
      </c>
      <c r="I53" s="167">
        <v>0</v>
      </c>
      <c r="J53" s="167">
        <f t="shared" si="9"/>
        <v>1.1363636363636364E-2</v>
      </c>
      <c r="K53" s="167">
        <v>0</v>
      </c>
      <c r="L53" s="167">
        <v>0</v>
      </c>
    </row>
    <row r="54" spans="1:12">
      <c r="A54" s="71" t="s">
        <v>94</v>
      </c>
      <c r="B54" s="72" t="s">
        <v>95</v>
      </c>
      <c r="C54" s="167">
        <f>C51/C35</f>
        <v>0.34388048593690668</v>
      </c>
      <c r="D54" s="167">
        <f t="shared" ref="D54:J54" si="10">D51/D35</f>
        <v>0.23103154593865174</v>
      </c>
      <c r="E54" s="167">
        <v>0</v>
      </c>
      <c r="F54" s="167">
        <f t="shared" si="10"/>
        <v>-9.8375160398044184E-2</v>
      </c>
      <c r="G54" s="167">
        <v>0</v>
      </c>
      <c r="H54" s="167">
        <v>0</v>
      </c>
      <c r="I54" s="167">
        <v>0</v>
      </c>
      <c r="J54" s="167">
        <f t="shared" si="10"/>
        <v>-2.1294922727272727</v>
      </c>
      <c r="K54" s="167">
        <v>0</v>
      </c>
      <c r="L54" s="167">
        <v>0</v>
      </c>
    </row>
    <row r="55" spans="1:12">
      <c r="A55" s="71" t="s">
        <v>96</v>
      </c>
      <c r="B55" s="72" t="s">
        <v>97</v>
      </c>
      <c r="C55" s="168">
        <f>C35/C14</f>
        <v>6.267822263100889E-2</v>
      </c>
      <c r="D55" s="168">
        <f t="shared" ref="D55:L55" si="11">D35/D14</f>
        <v>2.1591804714256826E-2</v>
      </c>
      <c r="E55" s="168">
        <f t="shared" si="11"/>
        <v>0</v>
      </c>
      <c r="F55" s="168">
        <f t="shared" si="11"/>
        <v>4.6450356349833709E-2</v>
      </c>
      <c r="G55" s="168">
        <f t="shared" si="11"/>
        <v>0</v>
      </c>
      <c r="H55" s="168">
        <f t="shared" si="11"/>
        <v>0</v>
      </c>
      <c r="I55" s="168">
        <f t="shared" si="11"/>
        <v>0</v>
      </c>
      <c r="J55" s="168">
        <f t="shared" si="11"/>
        <v>2.503087444586195E-2</v>
      </c>
      <c r="K55" s="168">
        <f t="shared" si="11"/>
        <v>0</v>
      </c>
      <c r="L55" s="168">
        <f t="shared" si="11"/>
        <v>0</v>
      </c>
    </row>
    <row r="56" spans="1:12">
      <c r="A56" s="71" t="s">
        <v>98</v>
      </c>
      <c r="B56" s="72" t="s">
        <v>99</v>
      </c>
      <c r="C56" s="168">
        <f>C14/C21</f>
        <v>1.0073967001221005</v>
      </c>
      <c r="D56" s="168">
        <f t="shared" ref="D56:L56" si="12">D14/D21</f>
        <v>1.0057382044158929</v>
      </c>
      <c r="E56" s="168">
        <f t="shared" si="12"/>
        <v>1.0058376980865864</v>
      </c>
      <c r="F56" s="168">
        <f t="shared" si="12"/>
        <v>1.0117452456806926</v>
      </c>
      <c r="G56" s="168">
        <f t="shared" si="12"/>
        <v>1.0528010344632783</v>
      </c>
      <c r="H56" s="168">
        <f t="shared" si="12"/>
        <v>1.0397034930331994</v>
      </c>
      <c r="I56" s="168">
        <f t="shared" si="12"/>
        <v>1.058781850016653</v>
      </c>
      <c r="J56" s="168">
        <f t="shared" si="12"/>
        <v>1.1174638852754728</v>
      </c>
      <c r="K56" s="168">
        <f t="shared" si="12"/>
        <v>1.1521366533982269</v>
      </c>
      <c r="L56" s="168">
        <f t="shared" si="12"/>
        <v>1.0788327068984072</v>
      </c>
    </row>
    <row r="57" spans="1:12">
      <c r="A57" s="71" t="s">
        <v>100</v>
      </c>
      <c r="B57" s="72" t="s">
        <v>118</v>
      </c>
      <c r="C57" s="168">
        <f>C51/C21</f>
        <v>2.1713244781700922E-2</v>
      </c>
      <c r="D57" s="168">
        <f t="shared" ref="D57:L57" si="13">D51/D21</f>
        <v>5.0170124129204985E-3</v>
      </c>
      <c r="E57" s="168">
        <f t="shared" si="13"/>
        <v>-4.6231667882700618E-3</v>
      </c>
      <c r="F57" s="168">
        <f t="shared" si="13"/>
        <v>-4.6232318760713129E-3</v>
      </c>
      <c r="G57" s="168">
        <f t="shared" si="13"/>
        <v>-1.350131350128384E-2</v>
      </c>
      <c r="H57" s="168">
        <f t="shared" si="13"/>
        <v>-1.518676934462364E-2</v>
      </c>
      <c r="I57" s="168">
        <f t="shared" si="13"/>
        <v>2.2338430434071521E-2</v>
      </c>
      <c r="J57" s="168">
        <f t="shared" si="13"/>
        <v>-5.9564237498136476E-2</v>
      </c>
      <c r="K57" s="168">
        <f t="shared" si="13"/>
        <v>-4.6071313019987042E-2</v>
      </c>
      <c r="L57" s="168">
        <f t="shared" si="13"/>
        <v>-4.1003694551562268E-2</v>
      </c>
    </row>
    <row r="58" spans="1:12">
      <c r="A58" s="71" t="s">
        <v>101</v>
      </c>
      <c r="B58" s="72" t="s">
        <v>102</v>
      </c>
      <c r="C58" s="168">
        <f>C13/C30</f>
        <v>11.283128769295685</v>
      </c>
      <c r="D58" s="168">
        <f t="shared" ref="D58:L58" si="14">D13/D30</f>
        <v>4.736132196238934</v>
      </c>
      <c r="E58" s="168">
        <f t="shared" si="14"/>
        <v>3.6295339438468024</v>
      </c>
      <c r="F58" s="168">
        <f t="shared" si="14"/>
        <v>3.7036315548832284</v>
      </c>
      <c r="G58" s="168">
        <f t="shared" si="14"/>
        <v>3.4095649846291338E-3</v>
      </c>
      <c r="H58" s="168">
        <f t="shared" si="14"/>
        <v>6.6280206678457965E-2</v>
      </c>
      <c r="I58" s="168">
        <f t="shared" si="14"/>
        <v>0.7334047991389292</v>
      </c>
      <c r="J58" s="168">
        <f t="shared" si="14"/>
        <v>1.7749598067705218E-2</v>
      </c>
      <c r="K58" s="168">
        <f t="shared" si="14"/>
        <v>2.8567085835152203E-2</v>
      </c>
      <c r="L58" s="168">
        <f t="shared" si="14"/>
        <v>0.59469006208828712</v>
      </c>
    </row>
    <row r="59" spans="1:12">
      <c r="A59" s="71" t="s">
        <v>103</v>
      </c>
      <c r="B59" s="72" t="s">
        <v>104</v>
      </c>
      <c r="C59" s="168">
        <f>C31/C14</f>
        <v>7.3423906602076497E-3</v>
      </c>
      <c r="D59" s="168">
        <f t="shared" ref="D59:L59" si="15">D31/D14</f>
        <v>5.7054652897724186E-3</v>
      </c>
      <c r="E59" s="168">
        <f t="shared" si="15"/>
        <v>5.8038171542899699E-3</v>
      </c>
      <c r="F59" s="168">
        <f t="shared" si="15"/>
        <v>1.1608896341084923E-2</v>
      </c>
      <c r="G59" s="168">
        <f t="shared" si="15"/>
        <v>5.0152908987400956E-2</v>
      </c>
      <c r="H59" s="168">
        <f t="shared" si="15"/>
        <v>3.8187322923547803E-2</v>
      </c>
      <c r="I59" s="168">
        <f t="shared" si="15"/>
        <v>5.5518377100748834E-2</v>
      </c>
      <c r="J59" s="168">
        <f t="shared" si="15"/>
        <v>0.10511649353796877</v>
      </c>
      <c r="K59" s="168">
        <f t="shared" si="15"/>
        <v>0.13204740336096404</v>
      </c>
      <c r="L59" s="168">
        <f t="shared" si="15"/>
        <v>7.3072225558536638E-2</v>
      </c>
    </row>
    <row r="60" spans="1:12">
      <c r="A60" s="71" t="s">
        <v>105</v>
      </c>
      <c r="B60" s="72" t="s">
        <v>106</v>
      </c>
      <c r="C60" s="168">
        <f>C31/C21</f>
        <v>7.3967001221005172E-3</v>
      </c>
      <c r="D60" s="168">
        <f t="shared" ref="D60:L60" si="16">D31/D21</f>
        <v>5.7382044158929149E-3</v>
      </c>
      <c r="E60" s="168">
        <f t="shared" si="16"/>
        <v>5.837698086586466E-3</v>
      </c>
      <c r="F60" s="168">
        <f t="shared" si="16"/>
        <v>1.174524568069266E-2</v>
      </c>
      <c r="G60" s="168">
        <f t="shared" si="16"/>
        <v>5.2801034463278378E-2</v>
      </c>
      <c r="H60" s="168">
        <f t="shared" si="16"/>
        <v>3.9703493033199422E-2</v>
      </c>
      <c r="I60" s="168">
        <f t="shared" si="16"/>
        <v>5.8781850016653037E-2</v>
      </c>
      <c r="J60" s="168">
        <f t="shared" si="16"/>
        <v>0.1174638852754727</v>
      </c>
      <c r="K60" s="168">
        <f t="shared" si="16"/>
        <v>0.15213665339822691</v>
      </c>
      <c r="L60" s="168">
        <f t="shared" si="16"/>
        <v>7.8832706898407046E-2</v>
      </c>
    </row>
    <row r="61" spans="1:12">
      <c r="A61" s="71" t="s">
        <v>171</v>
      </c>
      <c r="B61" s="72" t="s">
        <v>366</v>
      </c>
      <c r="C61" s="117">
        <f>C51*7.8%</f>
        <v>447343.33799999999</v>
      </c>
      <c r="D61" s="117">
        <f t="shared" ref="D61:L61" si="17">D51*7.8%</f>
        <v>101117.796</v>
      </c>
      <c r="E61" s="117">
        <f t="shared" si="17"/>
        <v>-92712.36</v>
      </c>
      <c r="F61" s="117">
        <f t="shared" si="17"/>
        <v>-93142.296000000002</v>
      </c>
      <c r="G61" s="117">
        <f t="shared" si="17"/>
        <v>-262731.76799999998</v>
      </c>
      <c r="H61" s="117">
        <f t="shared" si="17"/>
        <v>-299520.31199999998</v>
      </c>
      <c r="I61" s="117">
        <f t="shared" si="17"/>
        <v>447259.41</v>
      </c>
      <c r="J61" s="117">
        <f t="shared" si="17"/>
        <v>-1096262.622</v>
      </c>
      <c r="K61" s="117">
        <f t="shared" si="17"/>
        <v>-900411.95400000003</v>
      </c>
      <c r="L61" s="117">
        <f t="shared" si="17"/>
        <v>-838291.272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RSR</vt:lpstr>
      <vt:lpstr>RTCC</vt:lpstr>
      <vt:lpstr>SMC</vt:lpstr>
      <vt:lpstr>SSEM</vt:lpstr>
      <vt:lpstr>Razin</vt:lpstr>
      <vt:lpstr>Rafaya</vt:lpstr>
      <vt:lpstr>PPC</vt:lpstr>
      <vt:lpstr>G.Chicken</vt:lpstr>
      <vt:lpstr>Bayan</vt:lpstr>
      <vt:lpstr>Abetong</vt:lpstr>
      <vt:lpstr>Food Aroma</vt:lpstr>
      <vt:lpstr>Impulse</vt:lpstr>
      <vt:lpstr>Marooj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Abdul Nasir</dc:creator>
  <cp:lastModifiedBy>Bilal Nasir</cp:lastModifiedBy>
  <dcterms:created xsi:type="dcterms:W3CDTF">2025-09-10T11:40:26Z</dcterms:created>
  <dcterms:modified xsi:type="dcterms:W3CDTF">2025-09-29T12:46:19Z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2025-09-10T00:00:00Z</vt:filetime>
  </property>
  <property fmtid="{D5CDD505-2E9C-101B-9397-08002B2CF9AE}" pid="3" name="Creator">
    <vt:lpwstr>PDFium</vt:lpwstr>
  </property>
  <property fmtid="{D5CDD505-2E9C-101B-9397-08002B2CF9AE}" pid="4" name="LastSaved">
    <vt:filetime>2025-09-10T00:00:00Z</vt:filetime>
  </property>
  <property fmtid="{D5CDD505-2E9C-101B-9397-08002B2CF9AE}" pid="5" name="Producer">
    <vt:lpwstr>GPL Ghostscript 9.26</vt:lpwstr>
  </property>
</Properties>
</file>